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drawings/drawing2.xml" ContentType="application/vnd.openxmlformats-officedocument.drawing+xml"/>
  <Override PartName="/xl/embeddings/oleObject2.bin" ContentType="application/vnd.openxmlformats-officedocument.oleObject"/>
  <Override PartName="/xl/drawings/drawing3.xml" ContentType="application/vnd.openxmlformats-officedocument.drawing+xml"/>
  <Override PartName="/xl/embeddings/oleObject3.bin" ContentType="application/vnd.openxmlformats-officedocument.oleObject"/>
  <Override PartName="/xl/drawings/drawing4.xml" ContentType="application/vnd.openxmlformats-officedocument.drawing+xml"/>
  <Override PartName="/xl/embeddings/oleObject4.bin" ContentType="application/vnd.openxmlformats-officedocument.oleObject"/>
  <Override PartName="/xl/drawings/drawing5.xml" ContentType="application/vnd.openxmlformats-officedocument.drawing+xml"/>
  <Override PartName="/xl/drawings/drawing6.xml" ContentType="application/vnd.openxmlformats-officedocument.drawing+xml"/>
  <Override PartName="/xl/embeddings/oleObject5.bin" ContentType="application/vnd.openxmlformats-officedocument.oleObject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/>
  <mc:AlternateContent xmlns:mc="http://schemas.openxmlformats.org/markup-compatibility/2006">
    <mc:Choice Requires="x15">
      <x15ac:absPath xmlns:x15ac="http://schemas.microsoft.com/office/spreadsheetml/2010/11/ac" url="https://monbat-my.sharepoint.com/personal/khaled_haouachi_monbat_com/Documents/Bureau/"/>
    </mc:Choice>
  </mc:AlternateContent>
  <xr:revisionPtr revIDLastSave="58" documentId="13_ncr:1_{C4940D7A-CF7E-42B9-AB5F-5FD5FE8F0290}" xr6:coauthVersionLast="47" xr6:coauthVersionMax="47" xr10:uidLastSave="{BAB112A9-9AD5-4832-966D-500800B44A2E}"/>
  <bookViews>
    <workbookView xWindow="-120" yWindow="-120" windowWidth="20730" windowHeight="11160" activeTab="6" xr2:uid="{00000000-000D-0000-FFFF-FFFF00000000}"/>
  </bookViews>
  <sheets>
    <sheet name="Tarif (2)" sheetId="14" r:id="rId1"/>
    <sheet name="Tarif" sheetId="7" r:id="rId2"/>
    <sheet name="FP230130 Auto" sheetId="2" r:id="rId3"/>
    <sheet name="FN230071" sheetId="4" state="hidden" r:id="rId4"/>
    <sheet name="FN230114" sheetId="13" r:id="rId5"/>
    <sheet name="FN230114 Auto" sheetId="15" r:id="rId6"/>
    <sheet name="PLD" sheetId="5" r:id="rId7"/>
    <sheet name="Calcul D" sheetId="8" state="hidden" r:id="rId8"/>
  </sheets>
  <definedNames>
    <definedName name="_xlnm._FilterDatabase" localSheetId="4" hidden="1">'FN230114'!$C$21:$I$58</definedName>
    <definedName name="_xlnm._FilterDatabase" localSheetId="5" hidden="1">'FN230114 Auto'!$C$21:$I$45</definedName>
    <definedName name="_xlnm._FilterDatabase" localSheetId="2" hidden="1">'FP230130 Auto'!$C$21:$I$59</definedName>
    <definedName name="_xlnm._FilterDatabase" localSheetId="1" hidden="1">Tarif!$B$3:$S$26</definedName>
    <definedName name="_xlnm._FilterDatabase" localSheetId="0" hidden="1">'Tarif (2)'!$B$3:$S$25</definedName>
    <definedName name="_xlnm.Print_Area" localSheetId="3">'FN230071'!$A$1:$I$50</definedName>
    <definedName name="_xlnm.Print_Area" localSheetId="4">'FN230114'!$A$1:$I$60</definedName>
    <definedName name="_xlnm.Print_Area" localSheetId="5">'FN230114 Auto'!$A$1:$I$56</definedName>
    <definedName name="_xlnm.Print_Area" localSheetId="2">'FP230130 Auto'!$A$1:$I$61</definedName>
    <definedName name="_xlnm.Print_Area" localSheetId="6">PLD!$A$1:$F$46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57" i="13" l="1"/>
  <c r="C36" i="15"/>
  <c r="C37" i="15" s="1"/>
  <c r="C38" i="15" s="1"/>
  <c r="H29" i="13"/>
  <c r="F35" i="5"/>
  <c r="I33" i="7"/>
  <c r="I34" i="7"/>
  <c r="I35" i="7"/>
  <c r="I36" i="7"/>
  <c r="I37" i="7"/>
  <c r="I38" i="7"/>
  <c r="I39" i="7"/>
  <c r="I40" i="7"/>
  <c r="I41" i="7"/>
  <c r="I42" i="7"/>
  <c r="I32" i="7"/>
  <c r="H46" i="13" l="1"/>
  <c r="H47" i="13"/>
  <c r="F47" i="13"/>
  <c r="I47" i="13" s="1"/>
  <c r="F48" i="13"/>
  <c r="I48" i="13" s="1"/>
  <c r="F46" i="13"/>
  <c r="D48" i="13"/>
  <c r="D47" i="13"/>
  <c r="D45" i="13"/>
  <c r="D46" i="13"/>
  <c r="G46" i="2"/>
  <c r="G46" i="13" s="1"/>
  <c r="I47" i="2"/>
  <c r="I46" i="2"/>
  <c r="G47" i="2"/>
  <c r="G47" i="13" s="1"/>
  <c r="G48" i="2"/>
  <c r="G48" i="13" s="1"/>
  <c r="I48" i="2"/>
  <c r="I49" i="2"/>
  <c r="S2" i="7"/>
  <c r="T1" i="7" s="1"/>
  <c r="S2" i="14"/>
  <c r="T1" i="14" s="1"/>
  <c r="U25" i="14" s="1"/>
  <c r="V25" i="14" s="1"/>
  <c r="D41" i="5"/>
  <c r="D40" i="5"/>
  <c r="C52" i="13"/>
  <c r="F44" i="15"/>
  <c r="F43" i="15"/>
  <c r="F42" i="15"/>
  <c r="F41" i="15"/>
  <c r="F40" i="15"/>
  <c r="F39" i="15"/>
  <c r="K38" i="15"/>
  <c r="F38" i="15"/>
  <c r="F37" i="15"/>
  <c r="F36" i="15"/>
  <c r="C39" i="15"/>
  <c r="C40" i="15" s="1"/>
  <c r="C41" i="15" s="1"/>
  <c r="C42" i="15" s="1"/>
  <c r="C43" i="15" s="1"/>
  <c r="C44" i="15" s="1"/>
  <c r="F35" i="15"/>
  <c r="F34" i="15"/>
  <c r="F33" i="15"/>
  <c r="F32" i="15"/>
  <c r="F31" i="15"/>
  <c r="F30" i="15"/>
  <c r="F29" i="15"/>
  <c r="F28" i="15"/>
  <c r="F27" i="15"/>
  <c r="F26" i="15"/>
  <c r="F25" i="15"/>
  <c r="F24" i="15"/>
  <c r="F23" i="15"/>
  <c r="L2" i="15"/>
  <c r="D5" i="14"/>
  <c r="E5" i="14"/>
  <c r="F5" i="14"/>
  <c r="G5" i="14"/>
  <c r="H5" i="14"/>
  <c r="I5" i="14"/>
  <c r="J5" i="14"/>
  <c r="K5" i="14"/>
  <c r="L5" i="14"/>
  <c r="M5" i="14"/>
  <c r="N5" i="14"/>
  <c r="O5" i="14"/>
  <c r="P5" i="14"/>
  <c r="Q5" i="14"/>
  <c r="R5" i="14"/>
  <c r="D6" i="14"/>
  <c r="E6" i="14"/>
  <c r="F6" i="14"/>
  <c r="G6" i="14"/>
  <c r="H6" i="14"/>
  <c r="I6" i="14"/>
  <c r="J6" i="14"/>
  <c r="K6" i="14"/>
  <c r="L6" i="14"/>
  <c r="M6" i="14"/>
  <c r="N6" i="14"/>
  <c r="O6" i="14"/>
  <c r="P6" i="14"/>
  <c r="Q6" i="14"/>
  <c r="R6" i="14"/>
  <c r="D7" i="14"/>
  <c r="E7" i="14"/>
  <c r="F7" i="14"/>
  <c r="G7" i="14"/>
  <c r="H7" i="14"/>
  <c r="I7" i="14"/>
  <c r="J7" i="14"/>
  <c r="K7" i="14"/>
  <c r="L7" i="14"/>
  <c r="M7" i="14"/>
  <c r="N7" i="14"/>
  <c r="O7" i="14"/>
  <c r="P7" i="14"/>
  <c r="Q7" i="14"/>
  <c r="R7" i="14"/>
  <c r="D8" i="14"/>
  <c r="E8" i="14"/>
  <c r="F8" i="14"/>
  <c r="G8" i="14"/>
  <c r="H8" i="14"/>
  <c r="I8" i="14"/>
  <c r="J8" i="14"/>
  <c r="K8" i="14"/>
  <c r="L8" i="14"/>
  <c r="M8" i="14"/>
  <c r="N8" i="14"/>
  <c r="O8" i="14"/>
  <c r="P8" i="14"/>
  <c r="Q8" i="14"/>
  <c r="R8" i="14"/>
  <c r="D9" i="14"/>
  <c r="E9" i="14"/>
  <c r="F9" i="14"/>
  <c r="G9" i="14"/>
  <c r="H9" i="14"/>
  <c r="I9" i="14"/>
  <c r="J9" i="14"/>
  <c r="K9" i="14"/>
  <c r="L9" i="14"/>
  <c r="M9" i="14"/>
  <c r="N9" i="14"/>
  <c r="O9" i="14"/>
  <c r="P9" i="14"/>
  <c r="Q9" i="14"/>
  <c r="R9" i="14"/>
  <c r="D10" i="14"/>
  <c r="E10" i="14"/>
  <c r="F10" i="14"/>
  <c r="G10" i="14"/>
  <c r="H10" i="14"/>
  <c r="I10" i="14"/>
  <c r="J10" i="14"/>
  <c r="K10" i="14"/>
  <c r="L10" i="14"/>
  <c r="M10" i="14"/>
  <c r="N10" i="14"/>
  <c r="O10" i="14"/>
  <c r="P10" i="14"/>
  <c r="Q10" i="14"/>
  <c r="R10" i="14"/>
  <c r="D11" i="14"/>
  <c r="E11" i="14"/>
  <c r="F11" i="14"/>
  <c r="G11" i="14"/>
  <c r="H11" i="14"/>
  <c r="I11" i="14"/>
  <c r="J11" i="14"/>
  <c r="K11" i="14"/>
  <c r="L11" i="14"/>
  <c r="M11" i="14"/>
  <c r="N11" i="14"/>
  <c r="O11" i="14"/>
  <c r="P11" i="14"/>
  <c r="Q11" i="14"/>
  <c r="R11" i="14"/>
  <c r="D12" i="14"/>
  <c r="E12" i="14"/>
  <c r="F12" i="14"/>
  <c r="G12" i="14"/>
  <c r="H12" i="14"/>
  <c r="I12" i="14"/>
  <c r="J12" i="14"/>
  <c r="K12" i="14"/>
  <c r="L12" i="14"/>
  <c r="M12" i="14"/>
  <c r="N12" i="14"/>
  <c r="O12" i="14"/>
  <c r="P12" i="14"/>
  <c r="Q12" i="14"/>
  <c r="R12" i="14"/>
  <c r="D13" i="14"/>
  <c r="E13" i="14"/>
  <c r="F13" i="14"/>
  <c r="G13" i="14"/>
  <c r="H13" i="14"/>
  <c r="I13" i="14"/>
  <c r="J13" i="14"/>
  <c r="K13" i="14"/>
  <c r="L13" i="14"/>
  <c r="M13" i="14"/>
  <c r="N13" i="14"/>
  <c r="O13" i="14"/>
  <c r="P13" i="14"/>
  <c r="Q13" i="14"/>
  <c r="R13" i="14"/>
  <c r="D14" i="14"/>
  <c r="E14" i="14"/>
  <c r="F14" i="14"/>
  <c r="G14" i="14"/>
  <c r="H14" i="14"/>
  <c r="I14" i="14"/>
  <c r="J14" i="14"/>
  <c r="K14" i="14"/>
  <c r="L14" i="14"/>
  <c r="M14" i="14"/>
  <c r="N14" i="14"/>
  <c r="O14" i="14"/>
  <c r="P14" i="14"/>
  <c r="Q14" i="14"/>
  <c r="R14" i="14"/>
  <c r="D15" i="14"/>
  <c r="E15" i="14"/>
  <c r="F15" i="14"/>
  <c r="G15" i="14"/>
  <c r="H15" i="14"/>
  <c r="I15" i="14"/>
  <c r="J15" i="14"/>
  <c r="K15" i="14"/>
  <c r="L15" i="14"/>
  <c r="M15" i="14"/>
  <c r="N15" i="14"/>
  <c r="O15" i="14"/>
  <c r="P15" i="14"/>
  <c r="Q15" i="14"/>
  <c r="R15" i="14"/>
  <c r="D16" i="14"/>
  <c r="E16" i="14"/>
  <c r="F16" i="14"/>
  <c r="G16" i="14"/>
  <c r="H16" i="14"/>
  <c r="I16" i="14"/>
  <c r="J16" i="14"/>
  <c r="K16" i="14"/>
  <c r="L16" i="14"/>
  <c r="M16" i="14"/>
  <c r="N16" i="14"/>
  <c r="O16" i="14"/>
  <c r="P16" i="14"/>
  <c r="Q16" i="14"/>
  <c r="R16" i="14"/>
  <c r="D17" i="14"/>
  <c r="E17" i="14"/>
  <c r="F17" i="14"/>
  <c r="G17" i="14"/>
  <c r="H17" i="14"/>
  <c r="I17" i="14"/>
  <c r="J17" i="14"/>
  <c r="K17" i="14"/>
  <c r="L17" i="14"/>
  <c r="M17" i="14"/>
  <c r="N17" i="14"/>
  <c r="O17" i="14"/>
  <c r="P17" i="14"/>
  <c r="Q17" i="14"/>
  <c r="R17" i="14"/>
  <c r="D18" i="14"/>
  <c r="E18" i="14"/>
  <c r="F18" i="14"/>
  <c r="G18" i="14"/>
  <c r="H18" i="14"/>
  <c r="I18" i="14"/>
  <c r="J18" i="14"/>
  <c r="K18" i="14"/>
  <c r="L18" i="14"/>
  <c r="M18" i="14"/>
  <c r="N18" i="14"/>
  <c r="O18" i="14"/>
  <c r="P18" i="14"/>
  <c r="Q18" i="14"/>
  <c r="R18" i="14"/>
  <c r="D19" i="14"/>
  <c r="E19" i="14"/>
  <c r="F19" i="14"/>
  <c r="G19" i="14"/>
  <c r="H19" i="14"/>
  <c r="I19" i="14"/>
  <c r="J19" i="14"/>
  <c r="K19" i="14"/>
  <c r="L19" i="14"/>
  <c r="M19" i="14"/>
  <c r="N19" i="14"/>
  <c r="O19" i="14"/>
  <c r="P19" i="14"/>
  <c r="Q19" i="14"/>
  <c r="R19" i="14"/>
  <c r="D20" i="14"/>
  <c r="E20" i="14"/>
  <c r="F20" i="14"/>
  <c r="G20" i="14"/>
  <c r="H20" i="14"/>
  <c r="I20" i="14"/>
  <c r="J20" i="14"/>
  <c r="K20" i="14"/>
  <c r="L20" i="14"/>
  <c r="M20" i="14"/>
  <c r="N20" i="14"/>
  <c r="O20" i="14"/>
  <c r="P20" i="14"/>
  <c r="Q20" i="14"/>
  <c r="R20" i="14"/>
  <c r="D21" i="14"/>
  <c r="E21" i="14"/>
  <c r="F21" i="14"/>
  <c r="G21" i="14"/>
  <c r="H21" i="14"/>
  <c r="I21" i="14"/>
  <c r="J21" i="14"/>
  <c r="K21" i="14"/>
  <c r="L21" i="14"/>
  <c r="M21" i="14"/>
  <c r="N21" i="14"/>
  <c r="O21" i="14"/>
  <c r="P21" i="14"/>
  <c r="Q21" i="14"/>
  <c r="R21" i="14"/>
  <c r="D22" i="14"/>
  <c r="E22" i="14"/>
  <c r="F22" i="14"/>
  <c r="G22" i="14"/>
  <c r="H22" i="14"/>
  <c r="I22" i="14"/>
  <c r="J22" i="14"/>
  <c r="K22" i="14"/>
  <c r="L22" i="14"/>
  <c r="M22" i="14"/>
  <c r="N22" i="14"/>
  <c r="O22" i="14"/>
  <c r="P22" i="14"/>
  <c r="Q22" i="14"/>
  <c r="R22" i="14"/>
  <c r="D23" i="14"/>
  <c r="E23" i="14"/>
  <c r="F23" i="14"/>
  <c r="G23" i="14"/>
  <c r="H23" i="14"/>
  <c r="I23" i="14"/>
  <c r="J23" i="14"/>
  <c r="K23" i="14"/>
  <c r="L23" i="14"/>
  <c r="M23" i="14"/>
  <c r="N23" i="14"/>
  <c r="O23" i="14"/>
  <c r="P23" i="14"/>
  <c r="Q23" i="14"/>
  <c r="R23" i="14"/>
  <c r="D24" i="14"/>
  <c r="E24" i="14"/>
  <c r="F24" i="14"/>
  <c r="G24" i="14"/>
  <c r="H24" i="14"/>
  <c r="I24" i="14"/>
  <c r="J24" i="14"/>
  <c r="K24" i="14"/>
  <c r="L24" i="14"/>
  <c r="M24" i="14"/>
  <c r="N24" i="14"/>
  <c r="O24" i="14"/>
  <c r="P24" i="14"/>
  <c r="Q24" i="14"/>
  <c r="R24" i="14"/>
  <c r="D25" i="14"/>
  <c r="E25" i="14"/>
  <c r="F25" i="14"/>
  <c r="G25" i="14"/>
  <c r="H25" i="14"/>
  <c r="I25" i="14"/>
  <c r="J25" i="14"/>
  <c r="K25" i="14"/>
  <c r="L25" i="14"/>
  <c r="M25" i="14"/>
  <c r="N25" i="14"/>
  <c r="O25" i="14"/>
  <c r="P25" i="14"/>
  <c r="Q25" i="14"/>
  <c r="R25" i="14"/>
  <c r="E4" i="14"/>
  <c r="F4" i="14"/>
  <c r="G4" i="14"/>
  <c r="H4" i="14"/>
  <c r="I4" i="14"/>
  <c r="J4" i="14"/>
  <c r="K4" i="14"/>
  <c r="L4" i="14"/>
  <c r="M4" i="14"/>
  <c r="N4" i="14"/>
  <c r="O4" i="14"/>
  <c r="P4" i="14"/>
  <c r="Q4" i="14"/>
  <c r="R4" i="14"/>
  <c r="D4" i="14"/>
  <c r="R26" i="14"/>
  <c r="Q26" i="14"/>
  <c r="P26" i="14"/>
  <c r="O26" i="14"/>
  <c r="N26" i="14"/>
  <c r="M26" i="14"/>
  <c r="L26" i="14"/>
  <c r="K26" i="14"/>
  <c r="J26" i="14"/>
  <c r="I26" i="14"/>
  <c r="H26" i="14"/>
  <c r="G26" i="14"/>
  <c r="F26" i="14"/>
  <c r="E26" i="14"/>
  <c r="D26" i="14"/>
  <c r="T25" i="14"/>
  <c r="T24" i="14"/>
  <c r="T23" i="14"/>
  <c r="T22" i="14"/>
  <c r="T21" i="14"/>
  <c r="T20" i="14"/>
  <c r="T19" i="14"/>
  <c r="T18" i="14"/>
  <c r="T17" i="14"/>
  <c r="T16" i="14"/>
  <c r="T15" i="14"/>
  <c r="T14" i="14"/>
  <c r="T13" i="14"/>
  <c r="T12" i="14"/>
  <c r="T11" i="14"/>
  <c r="T10" i="14"/>
  <c r="T9" i="14"/>
  <c r="T8" i="14"/>
  <c r="T7" i="14"/>
  <c r="T6" i="14"/>
  <c r="T5" i="14"/>
  <c r="T4" i="14"/>
  <c r="T5" i="7"/>
  <c r="T6" i="7"/>
  <c r="T7" i="7"/>
  <c r="T8" i="7"/>
  <c r="T9" i="7"/>
  <c r="T10" i="7"/>
  <c r="T11" i="7"/>
  <c r="T12" i="7"/>
  <c r="T13" i="7"/>
  <c r="T14" i="7"/>
  <c r="T15" i="7"/>
  <c r="T16" i="7"/>
  <c r="T17" i="7"/>
  <c r="T18" i="7"/>
  <c r="T19" i="7"/>
  <c r="T20" i="7"/>
  <c r="T21" i="7"/>
  <c r="T22" i="7"/>
  <c r="T23" i="7"/>
  <c r="T24" i="7"/>
  <c r="T25" i="7"/>
  <c r="T4" i="7"/>
  <c r="L2" i="13"/>
  <c r="F44" i="13"/>
  <c r="F43" i="13"/>
  <c r="F42" i="13"/>
  <c r="F41" i="13"/>
  <c r="F40" i="13"/>
  <c r="F39" i="13"/>
  <c r="F38" i="13"/>
  <c r="F37" i="13"/>
  <c r="F36" i="13"/>
  <c r="F35" i="13"/>
  <c r="F34" i="13"/>
  <c r="F33" i="13"/>
  <c r="F32" i="13"/>
  <c r="F31" i="13"/>
  <c r="F30" i="13"/>
  <c r="F29" i="13"/>
  <c r="F28" i="13"/>
  <c r="F27" i="13"/>
  <c r="F26" i="13"/>
  <c r="F25" i="13"/>
  <c r="F24" i="13"/>
  <c r="F23" i="13"/>
  <c r="H50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23" i="2"/>
  <c r="G50" i="2"/>
  <c r="F24" i="2"/>
  <c r="G24" i="2" s="1"/>
  <c r="F25" i="2"/>
  <c r="G25" i="2" s="1"/>
  <c r="F26" i="2"/>
  <c r="G26" i="2" s="1"/>
  <c r="F27" i="2"/>
  <c r="G27" i="2" s="1"/>
  <c r="F28" i="2"/>
  <c r="G28" i="2" s="1"/>
  <c r="F29" i="2"/>
  <c r="G29" i="2" s="1"/>
  <c r="F30" i="2"/>
  <c r="G30" i="2" s="1"/>
  <c r="F31" i="2"/>
  <c r="G31" i="2" s="1"/>
  <c r="F32" i="2"/>
  <c r="G32" i="2" s="1"/>
  <c r="F33" i="2"/>
  <c r="G33" i="2" s="1"/>
  <c r="F34" i="2"/>
  <c r="G34" i="2" s="1"/>
  <c r="F35" i="2"/>
  <c r="G35" i="2" s="1"/>
  <c r="F36" i="2"/>
  <c r="G36" i="2" s="1"/>
  <c r="F37" i="2"/>
  <c r="F38" i="2"/>
  <c r="F39" i="2"/>
  <c r="G39" i="2" s="1"/>
  <c r="F40" i="2"/>
  <c r="G40" i="2" s="1"/>
  <c r="F41" i="2"/>
  <c r="G41" i="2" s="1"/>
  <c r="F42" i="2"/>
  <c r="F43" i="2"/>
  <c r="F44" i="2"/>
  <c r="F23" i="2"/>
  <c r="G23" i="2" s="1"/>
  <c r="E26" i="7"/>
  <c r="F26" i="7"/>
  <c r="G26" i="7"/>
  <c r="H26" i="7"/>
  <c r="I26" i="7"/>
  <c r="J26" i="7"/>
  <c r="K26" i="7"/>
  <c r="L26" i="7"/>
  <c r="M26" i="7"/>
  <c r="N26" i="7"/>
  <c r="O26" i="7"/>
  <c r="P26" i="7"/>
  <c r="Q26" i="7"/>
  <c r="R26" i="7"/>
  <c r="D26" i="7"/>
  <c r="I46" i="13" l="1"/>
  <c r="I29" i="2"/>
  <c r="F51" i="2"/>
  <c r="I38" i="2"/>
  <c r="I45" i="2"/>
  <c r="U7" i="7"/>
  <c r="V7" i="7" s="1"/>
  <c r="G26" i="13" s="1"/>
  <c r="T2" i="14"/>
  <c r="I42" i="2"/>
  <c r="U7" i="14"/>
  <c r="V7" i="14" s="1"/>
  <c r="T2" i="7"/>
  <c r="U5" i="7"/>
  <c r="V5" i="7" s="1"/>
  <c r="G24" i="13" s="1"/>
  <c r="U13" i="7"/>
  <c r="V13" i="7" s="1"/>
  <c r="G32" i="13" s="1"/>
  <c r="U21" i="7"/>
  <c r="V21" i="7" s="1"/>
  <c r="U11" i="7"/>
  <c r="V11" i="7" s="1"/>
  <c r="U12" i="7"/>
  <c r="V12" i="7" s="1"/>
  <c r="G31" i="13" s="1"/>
  <c r="U6" i="7"/>
  <c r="V6" i="7" s="1"/>
  <c r="G25" i="13" s="1"/>
  <c r="U14" i="7"/>
  <c r="V14" i="7" s="1"/>
  <c r="G33" i="13" s="1"/>
  <c r="U22" i="7"/>
  <c r="V22" i="7" s="1"/>
  <c r="U19" i="7"/>
  <c r="V19" i="7" s="1"/>
  <c r="U15" i="7"/>
  <c r="V15" i="7" s="1"/>
  <c r="G34" i="13" s="1"/>
  <c r="U23" i="7"/>
  <c r="V23" i="7" s="1"/>
  <c r="U8" i="7"/>
  <c r="V8" i="7" s="1"/>
  <c r="G27" i="13" s="1"/>
  <c r="U16" i="7"/>
  <c r="V16" i="7" s="1"/>
  <c r="U24" i="7"/>
  <c r="V24" i="7" s="1"/>
  <c r="U20" i="7"/>
  <c r="V20" i="7" s="1"/>
  <c r="G39" i="13" s="1"/>
  <c r="U9" i="7"/>
  <c r="V9" i="7" s="1"/>
  <c r="U17" i="7"/>
  <c r="V17" i="7" s="1"/>
  <c r="U25" i="7"/>
  <c r="V25" i="7" s="1"/>
  <c r="U10" i="7"/>
  <c r="V10" i="7" s="1"/>
  <c r="G29" i="13" s="1"/>
  <c r="U18" i="7"/>
  <c r="V18" i="7" s="1"/>
  <c r="G37" i="13" s="1"/>
  <c r="U4" i="7"/>
  <c r="V4" i="7" s="1"/>
  <c r="U4" i="14"/>
  <c r="V4" i="14" s="1"/>
  <c r="U20" i="14"/>
  <c r="V20" i="14" s="1"/>
  <c r="I50" i="2"/>
  <c r="V2" i="14" s="1"/>
  <c r="V1" i="14" s="1"/>
  <c r="U23" i="14"/>
  <c r="V23" i="14" s="1"/>
  <c r="U12" i="14"/>
  <c r="V12" i="14" s="1"/>
  <c r="U15" i="14"/>
  <c r="V15" i="14" s="1"/>
  <c r="I44" i="2"/>
  <c r="I43" i="2"/>
  <c r="F46" i="15"/>
  <c r="G42" i="2"/>
  <c r="I37" i="2"/>
  <c r="U8" i="14"/>
  <c r="V8" i="14" s="1"/>
  <c r="U11" i="14"/>
  <c r="V11" i="14" s="1"/>
  <c r="U19" i="14"/>
  <c r="V19" i="14" s="1"/>
  <c r="U21" i="14"/>
  <c r="V21" i="14" s="1"/>
  <c r="U6" i="14"/>
  <c r="V6" i="14" s="1"/>
  <c r="U14" i="14"/>
  <c r="V14" i="14" s="1"/>
  <c r="U22" i="14"/>
  <c r="V22" i="14" s="1"/>
  <c r="U10" i="14"/>
  <c r="V10" i="14" s="1"/>
  <c r="U18" i="14"/>
  <c r="V18" i="14" s="1"/>
  <c r="U5" i="14"/>
  <c r="V5" i="14" s="1"/>
  <c r="U13" i="14"/>
  <c r="V13" i="14" s="1"/>
  <c r="U16" i="14"/>
  <c r="V16" i="14" s="1"/>
  <c r="U24" i="14"/>
  <c r="V24" i="14" s="1"/>
  <c r="U9" i="14"/>
  <c r="V9" i="14" s="1"/>
  <c r="U17" i="14"/>
  <c r="V17" i="14" s="1"/>
  <c r="G43" i="2"/>
  <c r="G38" i="2"/>
  <c r="G44" i="2"/>
  <c r="G37" i="2"/>
  <c r="I41" i="2"/>
  <c r="I40" i="2"/>
  <c r="I39" i="2"/>
  <c r="F50" i="13"/>
  <c r="G51" i="2" l="1"/>
  <c r="V2" i="7"/>
  <c r="V1" i="7" s="1"/>
  <c r="H38" i="15" s="1"/>
  <c r="I38" i="15" s="1"/>
  <c r="G40" i="13"/>
  <c r="G40" i="15"/>
  <c r="G30" i="13"/>
  <c r="G30" i="15"/>
  <c r="G38" i="13"/>
  <c r="G38" i="15"/>
  <c r="G29" i="15"/>
  <c r="G41" i="13"/>
  <c r="G41" i="15"/>
  <c r="G35" i="13"/>
  <c r="G35" i="15"/>
  <c r="G33" i="15"/>
  <c r="G37" i="15"/>
  <c r="G25" i="15"/>
  <c r="G26" i="15"/>
  <c r="G31" i="15"/>
  <c r="G23" i="13"/>
  <c r="G23" i="15"/>
  <c r="G42" i="13"/>
  <c r="G42" i="15"/>
  <c r="G34" i="15"/>
  <c r="G39" i="15"/>
  <c r="G43" i="13"/>
  <c r="G43" i="15"/>
  <c r="G27" i="15"/>
  <c r="G24" i="15"/>
  <c r="G28" i="13"/>
  <c r="G28" i="15"/>
  <c r="G32" i="15"/>
  <c r="G36" i="13"/>
  <c r="G36" i="15"/>
  <c r="G44" i="15"/>
  <c r="G44" i="13"/>
  <c r="I37" i="13"/>
  <c r="H24" i="13" l="1"/>
  <c r="I24" i="13" s="1"/>
  <c r="H25" i="13"/>
  <c r="I25" i="13" s="1"/>
  <c r="H35" i="15"/>
  <c r="I35" i="15" s="1"/>
  <c r="H24" i="15"/>
  <c r="I24" i="15" s="1"/>
  <c r="H39" i="15"/>
  <c r="I39" i="15" s="1"/>
  <c r="H33" i="15"/>
  <c r="I33" i="15" s="1"/>
  <c r="H28" i="15"/>
  <c r="I28" i="15" s="1"/>
  <c r="H23" i="13"/>
  <c r="I23" i="13" s="1"/>
  <c r="H40" i="15"/>
  <c r="I40" i="15" s="1"/>
  <c r="I29" i="13"/>
  <c r="H43" i="13"/>
  <c r="I43" i="13" s="1"/>
  <c r="H38" i="13"/>
  <c r="I38" i="13" s="1"/>
  <c r="H30" i="13"/>
  <c r="I30" i="13" s="1"/>
  <c r="H44" i="13"/>
  <c r="I44" i="13" s="1"/>
  <c r="H42" i="13"/>
  <c r="I42" i="13" s="1"/>
  <c r="H39" i="13"/>
  <c r="I39" i="13" s="1"/>
  <c r="H31" i="13"/>
  <c r="I31" i="13" s="1"/>
  <c r="H26" i="13"/>
  <c r="I26" i="13" s="1"/>
  <c r="H40" i="13"/>
  <c r="I40" i="13" s="1"/>
  <c r="H32" i="13"/>
  <c r="I32" i="13" s="1"/>
  <c r="H34" i="13"/>
  <c r="I34" i="13" s="1"/>
  <c r="H41" i="13"/>
  <c r="I41" i="13" s="1"/>
  <c r="H33" i="13"/>
  <c r="I33" i="13" s="1"/>
  <c r="H27" i="13"/>
  <c r="I27" i="13" s="1"/>
  <c r="H35" i="13"/>
  <c r="I35" i="13" s="1"/>
  <c r="H28" i="13"/>
  <c r="I28" i="13" s="1"/>
  <c r="H36" i="13"/>
  <c r="I36" i="13" s="1"/>
  <c r="H43" i="15"/>
  <c r="I43" i="15" s="1"/>
  <c r="H34" i="15"/>
  <c r="I34" i="15" s="1"/>
  <c r="H23" i="15"/>
  <c r="I23" i="15" s="1"/>
  <c r="H36" i="15"/>
  <c r="I36" i="15" s="1"/>
  <c r="H26" i="15"/>
  <c r="I26" i="15" s="1"/>
  <c r="H30" i="15"/>
  <c r="I30" i="15" s="1"/>
  <c r="H42" i="15"/>
  <c r="I42" i="15" s="1"/>
  <c r="H29" i="15"/>
  <c r="I29" i="15" s="1"/>
  <c r="H27" i="15"/>
  <c r="I27" i="15" s="1"/>
  <c r="H25" i="15"/>
  <c r="I25" i="15" s="1"/>
  <c r="H41" i="15"/>
  <c r="I41" i="15" s="1"/>
  <c r="H37" i="15"/>
  <c r="I37" i="15" s="1"/>
  <c r="H32" i="15"/>
  <c r="I32" i="15" s="1"/>
  <c r="H31" i="15"/>
  <c r="I31" i="15" s="1"/>
  <c r="H44" i="15"/>
  <c r="I44" i="15" s="1"/>
  <c r="G46" i="15"/>
  <c r="E52" i="15" s="1"/>
  <c r="E53" i="15" s="1"/>
  <c r="G50" i="13"/>
  <c r="E56" i="13" s="1"/>
  <c r="I50" i="13" l="1"/>
  <c r="I46" i="15"/>
  <c r="K46" i="15" s="1"/>
  <c r="L33" i="15" s="1"/>
  <c r="L24" i="15" l="1"/>
  <c r="L31" i="15"/>
  <c r="L36" i="15"/>
  <c r="L42" i="15"/>
  <c r="L34" i="15"/>
  <c r="L40" i="15"/>
  <c r="L46" i="15"/>
  <c r="L35" i="15"/>
  <c r="L39" i="15"/>
  <c r="L37" i="15"/>
  <c r="L27" i="15"/>
  <c r="L43" i="15"/>
  <c r="L28" i="15"/>
  <c r="L23" i="15"/>
  <c r="L25" i="15"/>
  <c r="L26" i="15"/>
  <c r="L44" i="15"/>
  <c r="L38" i="15"/>
  <c r="L30" i="15"/>
  <c r="L29" i="15"/>
  <c r="L32" i="15"/>
  <c r="L41" i="15"/>
  <c r="L45" i="15"/>
  <c r="I24" i="2"/>
  <c r="I30" i="2"/>
  <c r="I27" i="2"/>
  <c r="I32" i="2"/>
  <c r="I31" i="2"/>
  <c r="I26" i="2" l="1"/>
  <c r="I25" i="2"/>
  <c r="I23" i="2"/>
  <c r="I28" i="2" l="1"/>
  <c r="I33" i="2"/>
  <c r="I34" i="2"/>
  <c r="I35" i="2"/>
  <c r="I36" i="2"/>
  <c r="C11" i="4"/>
  <c r="H25" i="4"/>
  <c r="H26" i="4"/>
  <c r="H27" i="4"/>
  <c r="H28" i="4"/>
  <c r="H31" i="4"/>
  <c r="H32" i="4"/>
  <c r="H33" i="4"/>
  <c r="H34" i="4"/>
  <c r="H35" i="4"/>
  <c r="H36" i="4"/>
  <c r="H37" i="4"/>
  <c r="H38" i="4"/>
  <c r="H23" i="4"/>
  <c r="I51" i="2" l="1"/>
  <c r="J50" i="13" s="1"/>
  <c r="K50" i="13" s="1"/>
  <c r="K51" i="13" s="1"/>
  <c r="E57" i="2"/>
  <c r="E58" i="2" s="1"/>
  <c r="D38" i="4"/>
  <c r="D37" i="4"/>
  <c r="D36" i="4"/>
  <c r="D35" i="4"/>
  <c r="D34" i="4"/>
  <c r="D32" i="4"/>
  <c r="D33" i="4"/>
  <c r="D31" i="4"/>
  <c r="D30" i="4"/>
  <c r="D29" i="4"/>
  <c r="D27" i="4"/>
  <c r="D28" i="4"/>
  <c r="D26" i="4"/>
  <c r="D25" i="4"/>
  <c r="D24" i="4"/>
  <c r="D23" i="4"/>
  <c r="J36" i="4"/>
  <c r="J35" i="4"/>
  <c r="J54" i="13" l="1"/>
  <c r="J53" i="13"/>
  <c r="C34" i="4"/>
  <c r="C35" i="4"/>
  <c r="C36" i="4"/>
  <c r="C37" i="4"/>
  <c r="C38" i="4"/>
  <c r="C33" i="4"/>
  <c r="F38" i="4"/>
  <c r="F24" i="4"/>
  <c r="G24" i="4" s="1"/>
  <c r="J40" i="4" s="1"/>
  <c r="F25" i="4"/>
  <c r="G25" i="4" s="1"/>
  <c r="J41" i="4" s="1"/>
  <c r="F26" i="4"/>
  <c r="G26" i="4" s="1"/>
  <c r="J42" i="4" s="1"/>
  <c r="F27" i="4"/>
  <c r="G27" i="4" s="1"/>
  <c r="J43" i="4" s="1"/>
  <c r="F28" i="4"/>
  <c r="G28" i="4" s="1"/>
  <c r="J44" i="4" s="1"/>
  <c r="F29" i="4"/>
  <c r="G29" i="4" s="1"/>
  <c r="J45" i="4" s="1"/>
  <c r="F30" i="4"/>
  <c r="G30" i="4" s="1"/>
  <c r="J46" i="4" s="1"/>
  <c r="F33" i="4"/>
  <c r="F34" i="4"/>
  <c r="F23" i="4"/>
  <c r="G23" i="4" s="1"/>
  <c r="C24" i="4"/>
  <c r="C25" i="4" s="1"/>
  <c r="C27" i="4" s="1"/>
  <c r="C28" i="4" s="1"/>
  <c r="C29" i="4" s="1"/>
  <c r="C31" i="4"/>
  <c r="C41" i="4"/>
  <c r="C47" i="4"/>
  <c r="C43" i="4"/>
  <c r="C44" i="4"/>
  <c r="C42" i="4"/>
  <c r="J39" i="4" l="1"/>
  <c r="F32" i="4"/>
  <c r="C46" i="4"/>
  <c r="G37" i="4"/>
  <c r="F37" i="4"/>
  <c r="G36" i="4"/>
  <c r="F36" i="4"/>
  <c r="I36" i="4" s="1"/>
  <c r="G35" i="4"/>
  <c r="F35" i="4"/>
  <c r="G31" i="4"/>
  <c r="F31" i="4"/>
  <c r="G38" i="4"/>
  <c r="G33" i="4"/>
  <c r="G32" i="4"/>
  <c r="G34" i="4"/>
  <c r="C45" i="4"/>
  <c r="I38" i="4"/>
  <c r="I34" i="4"/>
  <c r="I33" i="4"/>
  <c r="H24" i="8"/>
  <c r="H25" i="8"/>
  <c r="H26" i="8"/>
  <c r="H27" i="8"/>
  <c r="H28" i="8"/>
  <c r="H29" i="8"/>
  <c r="H30" i="8"/>
  <c r="H23" i="8"/>
  <c r="F30" i="8"/>
  <c r="F29" i="8"/>
  <c r="F28" i="8"/>
  <c r="F27" i="8"/>
  <c r="F26" i="8"/>
  <c r="F25" i="8"/>
  <c r="C25" i="8"/>
  <c r="C26" i="8" s="1"/>
  <c r="C27" i="8" s="1"/>
  <c r="C28" i="8" s="1"/>
  <c r="C29" i="8" s="1"/>
  <c r="F24" i="8"/>
  <c r="G24" i="8" s="1"/>
  <c r="C24" i="8"/>
  <c r="K23" i="8"/>
  <c r="F23" i="8"/>
  <c r="D16" i="5"/>
  <c r="D13" i="5"/>
  <c r="D14" i="5"/>
  <c r="D15" i="5"/>
  <c r="D12" i="5"/>
  <c r="D11" i="5"/>
  <c r="K23" i="4"/>
  <c r="K29" i="4" l="1"/>
  <c r="K46" i="4" s="1"/>
  <c r="G39" i="4"/>
  <c r="I37" i="4"/>
  <c r="I32" i="4"/>
  <c r="I31" i="4"/>
  <c r="F39" i="4"/>
  <c r="I35" i="4"/>
  <c r="I27" i="8"/>
  <c r="I28" i="8"/>
  <c r="G29" i="8"/>
  <c r="G30" i="8"/>
  <c r="I29" i="8"/>
  <c r="G27" i="8"/>
  <c r="I24" i="8"/>
  <c r="I25" i="8"/>
  <c r="I26" i="8"/>
  <c r="F33" i="8"/>
  <c r="G23" i="8"/>
  <c r="I23" i="8"/>
  <c r="G28" i="8"/>
  <c r="G25" i="8"/>
  <c r="I30" i="8"/>
  <c r="G26" i="8"/>
  <c r="I28" i="4"/>
  <c r="I27" i="4"/>
  <c r="I26" i="4"/>
  <c r="I25" i="4"/>
  <c r="I24" i="4"/>
  <c r="I23" i="4"/>
  <c r="K50" i="4" l="1"/>
  <c r="K45" i="4"/>
  <c r="K48" i="4"/>
  <c r="K49" i="4"/>
  <c r="K44" i="4"/>
  <c r="K42" i="4"/>
  <c r="K41" i="4"/>
  <c r="K43" i="4"/>
  <c r="K40" i="4"/>
  <c r="K37" i="4"/>
  <c r="K38" i="4"/>
  <c r="G33" i="8"/>
  <c r="I33" i="8"/>
  <c r="K36" i="4"/>
  <c r="K35" i="4"/>
  <c r="K34" i="4"/>
  <c r="K33" i="4"/>
  <c r="K32" i="4"/>
  <c r="K47" i="4" l="1"/>
  <c r="K39" i="4"/>
  <c r="K26" i="8"/>
  <c r="K27" i="8" s="1"/>
  <c r="K25" i="4"/>
  <c r="K25" i="8"/>
  <c r="O22" i="8"/>
  <c r="K26" i="4"/>
  <c r="K27" i="4" s="1"/>
  <c r="P22" i="8" l="1"/>
  <c r="I29" i="4"/>
  <c r="I30" i="4" l="1"/>
  <c r="I39" i="4" s="1"/>
  <c r="N22" i="8" l="1"/>
  <c r="O23" i="8" s="1"/>
  <c r="K31" i="4"/>
  <c r="K24" i="8" l="1"/>
  <c r="K24" i="4"/>
</calcChain>
</file>

<file path=xl/sharedStrings.xml><?xml version="1.0" encoding="utf-8"?>
<sst xmlns="http://schemas.openxmlformats.org/spreadsheetml/2006/main" count="471" uniqueCount="158">
  <si>
    <r>
      <t>S</t>
    </r>
    <r>
      <rPr>
        <b/>
        <u/>
        <sz val="22"/>
        <color rgb="FFC00000"/>
        <rFont val="Calibri Light"/>
        <family val="1"/>
        <scheme val="major"/>
      </rPr>
      <t xml:space="preserve">ociété </t>
    </r>
    <r>
      <rPr>
        <b/>
        <u/>
        <sz val="26"/>
        <color rgb="FFC00000"/>
        <rFont val="Calibri Light"/>
        <family val="1"/>
        <scheme val="major"/>
      </rPr>
      <t>N</t>
    </r>
    <r>
      <rPr>
        <b/>
        <u/>
        <sz val="22"/>
        <color rgb="FFC00000"/>
        <rFont val="Calibri Light"/>
        <family val="1"/>
        <scheme val="major"/>
      </rPr>
      <t xml:space="preserve">ouvelle des </t>
    </r>
    <r>
      <rPr>
        <b/>
        <u/>
        <sz val="26"/>
        <color rgb="FFC00000"/>
        <rFont val="Calibri Light"/>
        <family val="1"/>
        <scheme val="major"/>
      </rPr>
      <t>A</t>
    </r>
    <r>
      <rPr>
        <b/>
        <u/>
        <sz val="22"/>
        <color rgb="FFC00000"/>
        <rFont val="Calibri Light"/>
        <family val="1"/>
        <scheme val="major"/>
      </rPr>
      <t>ccumulateurs</t>
    </r>
  </si>
  <si>
    <t>Route de sousse km 6    2033 Megrine-Tunisie      Tel : [+216] 71 433-233      Fax : [+216] 71 433-424</t>
  </si>
  <si>
    <t>Capital 10.500.000 DT     MF : 1027384 F/A/M/000    RC : B2478702007   Mail : bat.nour@nour.com.tn</t>
  </si>
  <si>
    <t xml:space="preserve">Web: www.batteriesnour.com     </t>
  </si>
  <si>
    <t>Weimarische Str. 128, 99625 Großneuhausen, Germany </t>
  </si>
  <si>
    <t>Tél : 00491714020578</t>
  </si>
  <si>
    <t>Réf</t>
  </si>
  <si>
    <t>Désignation</t>
  </si>
  <si>
    <t>Quantité pce</t>
  </si>
  <si>
    <t>Poids (tonne)</t>
  </si>
  <si>
    <t>P.U  en EURO</t>
  </si>
  <si>
    <t>P.T en EURO</t>
  </si>
  <si>
    <t>EXW</t>
  </si>
  <si>
    <t xml:space="preserve">Totaux </t>
  </si>
  <si>
    <r>
      <t>* Arrêtée la présente facture à la somme de :</t>
    </r>
    <r>
      <rPr>
        <b/>
        <sz val="10"/>
        <rFont val="Cambria"/>
        <family val="1"/>
      </rPr>
      <t xml:space="preserve">   </t>
    </r>
  </si>
  <si>
    <t>* Mode de livraison: EXW</t>
  </si>
  <si>
    <t>Banque Domiciliataire : STB bank IBAN : TN59 1010 6045 2315 2787 8897  SWIFT : STBKTNTTXXX</t>
  </si>
  <si>
    <t>* Mode de paiement :  Virement avant Expédition</t>
  </si>
  <si>
    <t>PLAQUES TUBULAIRES 399</t>
  </si>
  <si>
    <t>PLAQUES 399 internes</t>
  </si>
  <si>
    <t>PLAQUES 399 externes</t>
  </si>
  <si>
    <t>Batteriedienst Hempe</t>
  </si>
  <si>
    <t>USt-Id-Nr: DE 815903643</t>
  </si>
  <si>
    <t>Steuernummer : 151/230/26214</t>
  </si>
  <si>
    <t>Email : sabrina@batteriedienst-hempe.de  /  info@nour-batteries.de</t>
  </si>
  <si>
    <t>GRILLE</t>
  </si>
  <si>
    <t>PLAQUES TUBULAIRES 534</t>
  </si>
  <si>
    <t>PLAQUES 534 internes</t>
  </si>
  <si>
    <t>PLAQUES 534 externes</t>
  </si>
  <si>
    <t>PLAQUES OGI+</t>
  </si>
  <si>
    <t>* Produit d'origine tunisienne</t>
  </si>
  <si>
    <t>PLAQUES OGI-</t>
  </si>
  <si>
    <t>Vingt et un mille huit cent soixante neuf euros 49 centimes.</t>
  </si>
  <si>
    <t>* Nombre de Palettes  :  04</t>
  </si>
  <si>
    <t>* Poids net   : 7436 KGS</t>
  </si>
  <si>
    <t>* Poids Brut : 7516   KGS</t>
  </si>
  <si>
    <t>plomb</t>
  </si>
  <si>
    <t>OGI+/-</t>
  </si>
  <si>
    <t>Coef</t>
  </si>
  <si>
    <t>Tot Fact</t>
  </si>
  <si>
    <t>Tot OGI</t>
  </si>
  <si>
    <t>DIF</t>
  </si>
  <si>
    <t>Unit AJUST</t>
  </si>
  <si>
    <t>TOT OGI+/-</t>
  </si>
  <si>
    <t>Tot PROF REELLE</t>
  </si>
  <si>
    <t>quantité</t>
  </si>
  <si>
    <t>poids en T</t>
  </si>
  <si>
    <t>Calculé</t>
  </si>
  <si>
    <t>Ajouter au PU OGI+/-</t>
  </si>
  <si>
    <t>Address: Route de sousse km 6, 2033 Megrine, Tunis</t>
  </si>
  <si>
    <t>Tel : [+216] 71 433-233    Fax : [+216] 71 433-424</t>
  </si>
  <si>
    <t>Capital 12.000.000 DT     MF : 1027384 F/A/M/000    RC : B2478702007</t>
  </si>
  <si>
    <t>Bank Details : STB bank / IBAN : TN59 1010 6045 2315 2787 8897 / SWIFT : STBKTNTTXXX</t>
  </si>
  <si>
    <t>LISTE DE COLISAGE</t>
  </si>
  <si>
    <t>PALETTE Numéro</t>
  </si>
  <si>
    <t>Quantité</t>
  </si>
  <si>
    <t>Client:</t>
  </si>
  <si>
    <t>Societe Nouvelle des Accumulateurs NOUR</t>
  </si>
  <si>
    <t>Tot Plomb-ajustements</t>
  </si>
  <si>
    <t>GRILLE : LME +350</t>
  </si>
  <si>
    <t>Typ</t>
  </si>
  <si>
    <t>Gewicht</t>
  </si>
  <si>
    <t>LME 1500</t>
  </si>
  <si>
    <t>LME 1550</t>
  </si>
  <si>
    <t>LME 1600</t>
  </si>
  <si>
    <t>LME 1650</t>
  </si>
  <si>
    <t>LME 1700</t>
  </si>
  <si>
    <t>LME 1750</t>
  </si>
  <si>
    <t>LME 1800</t>
  </si>
  <si>
    <t>LME 1850</t>
  </si>
  <si>
    <t>LME 1900</t>
  </si>
  <si>
    <t>LME 1950</t>
  </si>
  <si>
    <t>LME 2000</t>
  </si>
  <si>
    <t>LME 2050</t>
  </si>
  <si>
    <t>LME 2100</t>
  </si>
  <si>
    <t>LME 2150</t>
  </si>
  <si>
    <t>LME 2200</t>
  </si>
  <si>
    <t>204+</t>
  </si>
  <si>
    <t>204-</t>
  </si>
  <si>
    <t>OGI+</t>
  </si>
  <si>
    <t>OGI-</t>
  </si>
  <si>
    <t>274+</t>
  </si>
  <si>
    <t>274 int</t>
  </si>
  <si>
    <t>274-ext</t>
  </si>
  <si>
    <t>289+</t>
  </si>
  <si>
    <t>289-int</t>
  </si>
  <si>
    <t>289-ext</t>
  </si>
  <si>
    <t>315+</t>
  </si>
  <si>
    <t>315-int</t>
  </si>
  <si>
    <t>315-ext</t>
  </si>
  <si>
    <t>399+</t>
  </si>
  <si>
    <t>399-int</t>
  </si>
  <si>
    <t>399-ext</t>
  </si>
  <si>
    <t>429+</t>
  </si>
  <si>
    <t>429-int</t>
  </si>
  <si>
    <t>429-ext</t>
  </si>
  <si>
    <t>534+</t>
  </si>
  <si>
    <t>534-int</t>
  </si>
  <si>
    <t>534-ext</t>
  </si>
  <si>
    <t>Preise sind gültig bis 30/06/2022</t>
  </si>
  <si>
    <t>FACTURE   N° FN220062</t>
  </si>
  <si>
    <t xml:space="preserve">Megrine le : </t>
  </si>
  <si>
    <t>TOTAL</t>
  </si>
  <si>
    <t>Ajustement Poids</t>
  </si>
  <si>
    <t>= poids réel+qtépce*K$29</t>
  </si>
  <si>
    <t>PLAQUES 204+</t>
  </si>
  <si>
    <t>PLAQUES TUBULAIRES 274</t>
  </si>
  <si>
    <t>PLAQUES 274 internes</t>
  </si>
  <si>
    <t>PLAQUES 274 externes</t>
  </si>
  <si>
    <t>PLAQUES 204-</t>
  </si>
  <si>
    <t>Palette N°01</t>
  </si>
  <si>
    <t>Type</t>
  </si>
  <si>
    <t>534 TUB</t>
  </si>
  <si>
    <t>399 TUB</t>
  </si>
  <si>
    <t>399 IN</t>
  </si>
  <si>
    <t>PLAQUES TUBULAIRES 315</t>
  </si>
  <si>
    <t>PLAQUES 315 internes</t>
  </si>
  <si>
    <t>PLAQUES 315 externes</t>
  </si>
  <si>
    <t>FACTURE   N° FN230071</t>
  </si>
  <si>
    <t>* Poids net   :</t>
  </si>
  <si>
    <t xml:space="preserve">* Poids Brut : </t>
  </si>
  <si>
    <t>PLAQUES TUBULAIRES 429</t>
  </si>
  <si>
    <t>PLAQUES 429 internes</t>
  </si>
  <si>
    <t>PLAQUES 429 externes</t>
  </si>
  <si>
    <t>PLAQUES TUBULAIRES 289</t>
  </si>
  <si>
    <t>PLAQUES 289 internes</t>
  </si>
  <si>
    <t>PLAQUES 289 externes</t>
  </si>
  <si>
    <t>LME</t>
  </si>
  <si>
    <t>* Nombre de Palettes  :</t>
  </si>
  <si>
    <t>Megrine le : 19/09/2023</t>
  </si>
  <si>
    <t>Poids</t>
  </si>
  <si>
    <t>Commande</t>
  </si>
  <si>
    <t>PLAQUES 534 externe</t>
  </si>
  <si>
    <t>PLAQUES 399 externe</t>
  </si>
  <si>
    <t>FACTURE  N° FP230128</t>
  </si>
  <si>
    <t>ML34CF00L1S13</t>
  </si>
  <si>
    <t>MSP12BF003L1S13</t>
  </si>
  <si>
    <t>MSP89AF003L1S13</t>
  </si>
  <si>
    <t>Batteries de démarrage non formées sans acide:</t>
  </si>
  <si>
    <t>Customer</t>
  </si>
  <si>
    <t>Ref Bon de commande</t>
  </si>
  <si>
    <t>Date commande</t>
  </si>
  <si>
    <t>Plate type</t>
  </si>
  <si>
    <t>Unité</t>
  </si>
  <si>
    <t>Poids Moy</t>
  </si>
  <si>
    <t>Quantity commande</t>
  </si>
  <si>
    <t>Poids Théorique</t>
  </si>
  <si>
    <t>piece</t>
  </si>
  <si>
    <t>Hempe</t>
  </si>
  <si>
    <t>COMMANDE 16</t>
  </si>
  <si>
    <t>PLAQUES 274 externe</t>
  </si>
  <si>
    <t>FACTURE PROFORMA  N° FP230150</t>
  </si>
  <si>
    <t>Megrine le : 20/11/2023</t>
  </si>
  <si>
    <t>Quinze mille cent cinquente euro et deux centimes</t>
  </si>
  <si>
    <t>Megrine le : 30/11/2023</t>
  </si>
  <si>
    <t>FACTURE  N° FN230154</t>
  </si>
  <si>
    <t>RELATIVE A LA FACTURE: FN230154</t>
  </si>
  <si>
    <t>Date:30/11/2023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</si>
</sst>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3" formatCode="_-* #,##0.00_-;\-* #,##0.00_-;_-* &quot;-&quot;??_-;_-@_-"/>
    <numFmt numFmtId="164" formatCode="_-* #,##0.00\ _€_-;\-* #,##0.00\ _€_-;_-* &quot;-&quot;??\ _€_-;_-@_-"/>
    <numFmt numFmtId="165" formatCode="#,##0.000"/>
    <numFmt numFmtId="166" formatCode="0.000"/>
    <numFmt numFmtId="167" formatCode="_-* #,##0.0000000\ _€_-;\-* #,##0.0000000\ _€_-;_-* &quot;-&quot;??\ _€_-;_-@_-"/>
    <numFmt numFmtId="168" formatCode="_-* #,##0.000000\ _€_-;\-* #,##0.000000\ _€_-;_-* &quot;-&quot;??\ _€_-;_-@_-"/>
    <numFmt numFmtId="169" formatCode="_-* #,##0.0000\ _€_-;\-* #,##0.0000\ _€_-;_-* &quot;-&quot;??\ _€_-;_-@_-"/>
    <numFmt numFmtId="170" formatCode="_-* #,##0.000\ _€_-;\-* #,##0.000\ _€_-;_-* &quot;-&quot;??\ _€_-;_-@_-"/>
    <numFmt numFmtId="171" formatCode="#,##0\ [$KGS]"/>
    <numFmt numFmtId="172" formatCode="00"/>
    <numFmt numFmtId="173" formatCode="0.00000"/>
    <numFmt numFmtId="174" formatCode="#,##0.000000"/>
    <numFmt numFmtId="175" formatCode="#,##0.000000000"/>
    <numFmt numFmtId="176" formatCode="0.0000000"/>
  </numFmts>
  <fonts count="51" x14ac:knownFonts="1">
    <font>
      <sz val="10"/>
      <color theme="1"/>
      <name val="Cambria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 Light"/>
      <family val="1"/>
      <scheme val="major"/>
    </font>
    <font>
      <b/>
      <u/>
      <sz val="26"/>
      <color rgb="FFC00000"/>
      <name val="Calibri Light"/>
      <family val="1"/>
      <scheme val="major"/>
    </font>
    <font>
      <b/>
      <u/>
      <sz val="22"/>
      <color rgb="FFC00000"/>
      <name val="Calibri Light"/>
      <family val="1"/>
      <scheme val="major"/>
    </font>
    <font>
      <sz val="9"/>
      <color theme="1"/>
      <name val="Calibri Light"/>
      <family val="1"/>
      <scheme val="major"/>
    </font>
    <font>
      <sz val="10"/>
      <name val="Calibri Light"/>
      <family val="1"/>
      <scheme val="major"/>
    </font>
    <font>
      <b/>
      <sz val="14"/>
      <name val="Cambria"/>
      <family val="1"/>
    </font>
    <font>
      <sz val="10"/>
      <name val="Cambria"/>
      <family val="1"/>
    </font>
    <font>
      <sz val="10"/>
      <name val="Arial"/>
      <family val="2"/>
    </font>
    <font>
      <sz val="12"/>
      <name val="Cambria"/>
      <family val="1"/>
    </font>
    <font>
      <b/>
      <sz val="10"/>
      <name val="Cambria"/>
      <family val="1"/>
    </font>
    <font>
      <b/>
      <sz val="12"/>
      <color theme="0"/>
      <name val="Times New Roman"/>
      <family val="1"/>
    </font>
    <font>
      <b/>
      <sz val="12"/>
      <name val="Cambria"/>
      <family val="1"/>
    </font>
    <font>
      <sz val="11"/>
      <color indexed="8"/>
      <name val="Calibri"/>
      <family val="2"/>
    </font>
    <font>
      <b/>
      <sz val="10"/>
      <color indexed="8"/>
      <name val="Cambria"/>
      <family val="1"/>
    </font>
    <font>
      <b/>
      <i/>
      <sz val="10"/>
      <name val="Cambria"/>
      <family val="1"/>
    </font>
    <font>
      <sz val="10"/>
      <color theme="1"/>
      <name val="Cambria"/>
      <family val="1"/>
    </font>
    <font>
      <sz val="8"/>
      <name val="Cambria"/>
      <family val="2"/>
    </font>
    <font>
      <sz val="10"/>
      <color rgb="FFFF0000"/>
      <name val="Calibri Light"/>
      <family val="1"/>
      <scheme val="major"/>
    </font>
    <font>
      <sz val="9"/>
      <color rgb="FFFF0000"/>
      <name val="Calibri Light"/>
      <family val="1"/>
      <scheme val="major"/>
    </font>
    <font>
      <sz val="10"/>
      <color rgb="FFFF0000"/>
      <name val="Cambria"/>
      <family val="1"/>
    </font>
    <font>
      <b/>
      <sz val="12"/>
      <color rgb="FFFF0000"/>
      <name val="Cambria"/>
      <family val="1"/>
    </font>
    <font>
      <b/>
      <sz val="10"/>
      <color rgb="FFFF0000"/>
      <name val="Cambria"/>
      <family val="1"/>
    </font>
    <font>
      <b/>
      <sz val="10"/>
      <color rgb="FFFF0000"/>
      <name val="Calibri Light"/>
      <family val="1"/>
      <scheme val="major"/>
    </font>
    <font>
      <sz val="10"/>
      <color rgb="FFFF0000"/>
      <name val="Arial"/>
      <family val="2"/>
    </font>
    <font>
      <sz val="16"/>
      <name val="Calibri Light"/>
      <family val="1"/>
      <scheme val="major"/>
    </font>
    <font>
      <b/>
      <sz val="16"/>
      <color rgb="FFC00000"/>
      <name val="Cambria"/>
      <family val="1"/>
    </font>
    <font>
      <b/>
      <sz val="18"/>
      <name val="Cambria"/>
      <family val="1"/>
    </font>
    <font>
      <b/>
      <sz val="18"/>
      <color rgb="FFD86212"/>
      <name val="Cambria"/>
      <family val="1"/>
    </font>
    <font>
      <b/>
      <sz val="11"/>
      <color theme="1"/>
      <name val="Cambria"/>
      <family val="1"/>
    </font>
    <font>
      <b/>
      <sz val="10"/>
      <color theme="1"/>
      <name val="Cambria"/>
      <family val="1"/>
    </font>
    <font>
      <sz val="10"/>
      <name val="Book Antiqua"/>
      <family val="1"/>
    </font>
    <font>
      <b/>
      <sz val="16"/>
      <name val="Calibri Light"/>
      <family val="1"/>
      <scheme val="major"/>
    </font>
    <font>
      <b/>
      <sz val="14"/>
      <name val="Calibri Light"/>
      <family val="1"/>
      <scheme val="major"/>
    </font>
    <font>
      <b/>
      <sz val="14"/>
      <color indexed="8"/>
      <name val="Calibri Light"/>
      <family val="1"/>
      <scheme val="major"/>
    </font>
    <font>
      <b/>
      <sz val="18"/>
      <name val="Calibri Light"/>
      <family val="1"/>
      <scheme val="major"/>
    </font>
    <font>
      <b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family val="2"/>
    </font>
    <font>
      <sz val="14"/>
      <name val="Calibri"/>
      <family val="2"/>
    </font>
    <font>
      <sz val="12"/>
      <color indexed="8"/>
      <name val="Calibri"/>
      <family val="2"/>
    </font>
    <font>
      <b/>
      <sz val="12"/>
      <color indexed="8"/>
      <name val="Calibri"/>
      <family val="2"/>
    </font>
    <font>
      <sz val="10"/>
      <color theme="1"/>
      <name val="Cambria"/>
      <family val="2"/>
    </font>
    <font>
      <sz val="11"/>
      <name val="Calibri"/>
      <family val="2"/>
      <scheme val="minor"/>
    </font>
    <font>
      <b/>
      <i/>
      <sz val="9"/>
      <name val="Cambria"/>
      <family val="1"/>
    </font>
    <font>
      <b/>
      <sz val="11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78637043366805E-2"/>
        <bgColor rgb="FF000000"/>
      </patternFill>
    </fill>
  </fills>
  <borders count="45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55"/>
      </left>
      <right style="hair">
        <color indexed="23"/>
      </right>
      <top/>
      <bottom style="double">
        <color indexed="55"/>
      </bottom>
      <diagonal/>
    </border>
    <border>
      <left style="medium">
        <color indexed="55"/>
      </left>
      <right/>
      <top/>
      <bottom style="double">
        <color indexed="55"/>
      </bottom>
      <diagonal/>
    </border>
    <border>
      <left style="double">
        <color indexed="55"/>
      </left>
      <right style="hair">
        <color indexed="23"/>
      </right>
      <top style="double">
        <color indexed="23"/>
      </top>
      <bottom style="hair">
        <color indexed="23"/>
      </bottom>
      <diagonal/>
    </border>
    <border>
      <left style="medium">
        <color indexed="55"/>
      </left>
      <right/>
      <top style="double">
        <color indexed="55"/>
      </top>
      <bottom style="double">
        <color indexed="55"/>
      </bottom>
      <diagonal/>
    </border>
    <border>
      <left style="double">
        <color indexed="55"/>
      </left>
      <right style="hair">
        <color indexed="23"/>
      </right>
      <top style="double">
        <color indexed="55"/>
      </top>
      <bottom style="double">
        <color indexed="55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1">
    <xf numFmtId="0" fontId="0" fillId="0" borderId="0"/>
    <xf numFmtId="0" fontId="12" fillId="0" borderId="0"/>
    <xf numFmtId="0" fontId="17" fillId="0" borderId="0"/>
    <xf numFmtId="0" fontId="17" fillId="0" borderId="0"/>
    <xf numFmtId="0" fontId="17" fillId="0" borderId="0"/>
    <xf numFmtId="0" fontId="12" fillId="0" borderId="0"/>
    <xf numFmtId="0" fontId="12" fillId="0" borderId="0"/>
    <xf numFmtId="0" fontId="12" fillId="0" borderId="0"/>
    <xf numFmtId="0" fontId="4" fillId="0" borderId="0"/>
    <xf numFmtId="0" fontId="43" fillId="0" borderId="0"/>
    <xf numFmtId="43" fontId="47" fillId="0" borderId="0" applyFont="0" applyFill="0" applyBorder="0" applyAlignment="0" applyProtection="0"/>
  </cellStyleXfs>
  <cellXfs count="246">
    <xf numFmtId="0" fontId="0" fillId="0" borderId="0" xfId="0"/>
    <xf numFmtId="0" fontId="5" fillId="0" borderId="0" xfId="0" applyFont="1"/>
    <xf numFmtId="0" fontId="5" fillId="0" borderId="0" xfId="0" applyFont="1" applyAlignment="1">
      <alignment vertical="top"/>
    </xf>
    <xf numFmtId="0" fontId="20" fillId="0" borderId="0" xfId="0" applyFont="1"/>
    <xf numFmtId="0" fontId="9" fillId="0" borderId="0" xfId="0" applyFont="1"/>
    <xf numFmtId="0" fontId="12" fillId="0" borderId="0" xfId="0" applyFont="1"/>
    <xf numFmtId="4" fontId="12" fillId="0" borderId="0" xfId="0" applyNumberFormat="1" applyFont="1" applyAlignment="1">
      <alignment horizontal="center"/>
    </xf>
    <xf numFmtId="4" fontId="5" fillId="0" borderId="0" xfId="0" applyNumberFormat="1" applyFont="1"/>
    <xf numFmtId="4" fontId="9" fillId="0" borderId="0" xfId="0" applyNumberFormat="1" applyFont="1"/>
    <xf numFmtId="0" fontId="6" fillId="0" borderId="0" xfId="0" applyFont="1"/>
    <xf numFmtId="0" fontId="8" fillId="0" borderId="0" xfId="0" applyFont="1"/>
    <xf numFmtId="4" fontId="8" fillId="0" borderId="0" xfId="0" applyNumberFormat="1" applyFont="1"/>
    <xf numFmtId="0" fontId="8" fillId="0" borderId="0" xfId="0" applyFont="1" applyAlignment="1">
      <alignment horizontal="left"/>
    </xf>
    <xf numFmtId="4" fontId="8" fillId="0" borderId="0" xfId="0" applyNumberFormat="1" applyFont="1" applyAlignment="1">
      <alignment horizontal="left"/>
    </xf>
    <xf numFmtId="0" fontId="9" fillId="0" borderId="1" xfId="0" applyFont="1" applyBorder="1"/>
    <xf numFmtId="0" fontId="9" fillId="0" borderId="2" xfId="0" applyFont="1" applyBorder="1"/>
    <xf numFmtId="4" fontId="9" fillId="0" borderId="2" xfId="0" applyNumberFormat="1" applyFont="1" applyBorder="1"/>
    <xf numFmtId="0" fontId="9" fillId="0" borderId="0" xfId="0" applyFont="1" applyAlignment="1">
      <alignment vertical="top"/>
    </xf>
    <xf numFmtId="0" fontId="9" fillId="0" borderId="3" xfId="0" applyFont="1" applyBorder="1" applyAlignment="1">
      <alignment vertical="top"/>
    </xf>
    <xf numFmtId="0" fontId="10" fillId="0" borderId="4" xfId="0" applyFont="1" applyBorder="1"/>
    <xf numFmtId="0" fontId="10" fillId="0" borderId="0" xfId="0" applyFont="1"/>
    <xf numFmtId="0" fontId="11" fillId="0" borderId="0" xfId="0" applyFont="1"/>
    <xf numFmtId="4" fontId="11" fillId="0" borderId="0" xfId="0" applyNumberFormat="1" applyFont="1" applyAlignment="1">
      <alignment horizontal="center"/>
    </xf>
    <xf numFmtId="0" fontId="9" fillId="0" borderId="3" xfId="0" applyFont="1" applyBorder="1"/>
    <xf numFmtId="0" fontId="10" fillId="0" borderId="5" xfId="1" applyFont="1" applyBorder="1"/>
    <xf numFmtId="0" fontId="10" fillId="0" borderId="6" xfId="1" applyFont="1" applyBorder="1"/>
    <xf numFmtId="0" fontId="11" fillId="0" borderId="6" xfId="0" applyFont="1" applyBorder="1"/>
    <xf numFmtId="4" fontId="11" fillId="0" borderId="6" xfId="0" applyNumberFormat="1" applyFont="1" applyBorder="1" applyAlignment="1">
      <alignment horizontal="center"/>
    </xf>
    <xf numFmtId="0" fontId="11" fillId="0" borderId="7" xfId="0" applyFont="1" applyBorder="1"/>
    <xf numFmtId="0" fontId="10" fillId="0" borderId="8" xfId="1" applyFont="1" applyBorder="1"/>
    <xf numFmtId="0" fontId="10" fillId="0" borderId="0" xfId="1" applyFont="1"/>
    <xf numFmtId="0" fontId="11" fillId="0" borderId="9" xfId="0" applyFont="1" applyBorder="1"/>
    <xf numFmtId="0" fontId="10" fillId="0" borderId="8" xfId="0" applyFont="1" applyBorder="1"/>
    <xf numFmtId="0" fontId="10" fillId="0" borderId="8" xfId="1" applyFont="1" applyBorder="1" applyAlignment="1">
      <alignment horizontal="left"/>
    </xf>
    <xf numFmtId="0" fontId="11" fillId="0" borderId="0" xfId="0" applyFont="1" applyAlignment="1">
      <alignment horizontal="left"/>
    </xf>
    <xf numFmtId="0" fontId="13" fillId="0" borderId="4" xfId="0" applyFont="1" applyBorder="1"/>
    <xf numFmtId="4" fontId="11" fillId="0" borderId="4" xfId="0" applyNumberFormat="1" applyFont="1" applyBorder="1" applyAlignment="1">
      <alignment horizontal="center"/>
    </xf>
    <xf numFmtId="0" fontId="11" fillId="0" borderId="11" xfId="0" applyFont="1" applyBorder="1"/>
    <xf numFmtId="0" fontId="14" fillId="0" borderId="0" xfId="0" applyFont="1"/>
    <xf numFmtId="0" fontId="15" fillId="0" borderId="0" xfId="0" applyFont="1"/>
    <xf numFmtId="4" fontId="14" fillId="0" borderId="15" xfId="0" applyNumberFormat="1" applyFont="1" applyBorder="1" applyAlignment="1">
      <alignment horizontal="center"/>
    </xf>
    <xf numFmtId="0" fontId="14" fillId="0" borderId="15" xfId="0" applyFont="1" applyBorder="1" applyAlignment="1">
      <alignment horizontal="center"/>
    </xf>
    <xf numFmtId="0" fontId="14" fillId="0" borderId="16" xfId="0" applyFont="1" applyBorder="1" applyAlignment="1">
      <alignment horizontal="center"/>
    </xf>
    <xf numFmtId="0" fontId="11" fillId="0" borderId="3" xfId="0" applyFont="1" applyBorder="1"/>
    <xf numFmtId="0" fontId="14" fillId="0" borderId="1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/>
    </xf>
    <xf numFmtId="0" fontId="14" fillId="0" borderId="9" xfId="0" applyFont="1" applyBorder="1" applyAlignment="1">
      <alignment horizontal="center"/>
    </xf>
    <xf numFmtId="4" fontId="18" fillId="0" borderId="9" xfId="0" applyNumberFormat="1" applyFont="1" applyBorder="1" applyAlignment="1">
      <alignment horizontal="center"/>
    </xf>
    <xf numFmtId="2" fontId="18" fillId="0" borderId="17" xfId="0" applyNumberFormat="1" applyFont="1" applyBorder="1" applyAlignment="1">
      <alignment horizontal="center"/>
    </xf>
    <xf numFmtId="3" fontId="19" fillId="0" borderId="18" xfId="0" applyNumberFormat="1" applyFont="1" applyBorder="1" applyAlignment="1">
      <alignment horizontal="center" vertical="center"/>
    </xf>
    <xf numFmtId="165" fontId="19" fillId="0" borderId="18" xfId="0" applyNumberFormat="1" applyFont="1" applyBorder="1" applyAlignment="1">
      <alignment horizontal="center" vertical="center"/>
    </xf>
    <xf numFmtId="4" fontId="19" fillId="0" borderId="18" xfId="0" applyNumberFormat="1" applyFont="1" applyBorder="1" applyAlignment="1">
      <alignment horizontal="center" vertical="center"/>
    </xf>
    <xf numFmtId="0" fontId="11" fillId="0" borderId="5" xfId="0" applyFont="1" applyBorder="1" applyAlignment="1">
      <alignment horizontal="left"/>
    </xf>
    <xf numFmtId="0" fontId="11" fillId="0" borderId="6" xfId="0" applyFont="1" applyBorder="1" applyAlignment="1">
      <alignment horizontal="left"/>
    </xf>
    <xf numFmtId="0" fontId="11" fillId="0" borderId="7" xfId="0" applyFont="1" applyBorder="1" applyAlignment="1">
      <alignment horizontal="left"/>
    </xf>
    <xf numFmtId="0" fontId="11" fillId="0" borderId="9" xfId="0" applyFont="1" applyBorder="1" applyAlignment="1">
      <alignment horizontal="left"/>
    </xf>
    <xf numFmtId="0" fontId="11" fillId="0" borderId="8" xfId="0" applyFont="1" applyBorder="1"/>
    <xf numFmtId="0" fontId="9" fillId="0" borderId="19" xfId="0" applyFont="1" applyBorder="1"/>
    <xf numFmtId="0" fontId="11" fillId="0" borderId="10" xfId="0" applyFont="1" applyBorder="1"/>
    <xf numFmtId="0" fontId="11" fillId="0" borderId="4" xfId="0" applyFont="1" applyBorder="1"/>
    <xf numFmtId="164" fontId="14" fillId="0" borderId="17" xfId="0" applyNumberFormat="1" applyFont="1" applyBorder="1" applyAlignment="1">
      <alignment horizontal="center" vertical="center"/>
    </xf>
    <xf numFmtId="0" fontId="14" fillId="2" borderId="17" xfId="0" applyFont="1" applyFill="1" applyBorder="1" applyAlignment="1">
      <alignment horizontal="center" vertical="center"/>
    </xf>
    <xf numFmtId="166" fontId="14" fillId="2" borderId="9" xfId="0" applyNumberFormat="1" applyFont="1" applyFill="1" applyBorder="1" applyAlignment="1">
      <alignment horizontal="center" vertical="center"/>
    </xf>
    <xf numFmtId="4" fontId="14" fillId="2" borderId="9" xfId="0" applyNumberFormat="1" applyFont="1" applyFill="1" applyBorder="1" applyAlignment="1">
      <alignment horizontal="center" vertical="center"/>
    </xf>
    <xf numFmtId="0" fontId="22" fillId="0" borderId="0" xfId="0" applyFont="1"/>
    <xf numFmtId="0" fontId="23" fillId="0" borderId="0" xfId="0" applyFont="1"/>
    <xf numFmtId="0" fontId="23" fillId="0" borderId="0" xfId="0" applyFont="1" applyAlignment="1">
      <alignment horizontal="center"/>
    </xf>
    <xf numFmtId="0" fontId="24" fillId="0" borderId="0" xfId="0" applyFont="1"/>
    <xf numFmtId="0" fontId="25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164" fontId="26" fillId="0" borderId="0" xfId="0" applyNumberFormat="1" applyFont="1" applyAlignment="1">
      <alignment horizontal="center" vertical="center"/>
    </xf>
    <xf numFmtId="164" fontId="27" fillId="0" borderId="0" xfId="0" applyNumberFormat="1" applyFont="1" applyAlignment="1">
      <alignment horizontal="left" vertical="center"/>
    </xf>
    <xf numFmtId="0" fontId="24" fillId="0" borderId="0" xfId="0" applyFont="1" applyAlignment="1">
      <alignment horizontal="left"/>
    </xf>
    <xf numFmtId="0" fontId="28" fillId="0" borderId="0" xfId="0" applyFont="1"/>
    <xf numFmtId="164" fontId="20" fillId="0" borderId="0" xfId="0" applyNumberFormat="1" applyFont="1"/>
    <xf numFmtId="4" fontId="5" fillId="0" borderId="0" xfId="0" applyNumberFormat="1" applyFont="1" applyAlignment="1">
      <alignment vertical="top"/>
    </xf>
    <xf numFmtId="4" fontId="20" fillId="0" borderId="0" xfId="0" applyNumberFormat="1" applyFont="1"/>
    <xf numFmtId="0" fontId="19" fillId="2" borderId="8" xfId="0" applyFont="1" applyFill="1" applyBorder="1" applyAlignment="1">
      <alignment horizontal="left" vertical="center"/>
    </xf>
    <xf numFmtId="0" fontId="19" fillId="2" borderId="9" xfId="0" applyFont="1" applyFill="1" applyBorder="1" applyAlignment="1">
      <alignment horizontal="left" vertical="center"/>
    </xf>
    <xf numFmtId="0" fontId="14" fillId="0" borderId="8" xfId="0" applyFont="1" applyBorder="1"/>
    <xf numFmtId="164" fontId="14" fillId="0" borderId="18" xfId="0" applyNumberFormat="1" applyFont="1" applyBorder="1" applyAlignment="1">
      <alignment horizontal="center" vertical="center"/>
    </xf>
    <xf numFmtId="167" fontId="26" fillId="0" borderId="0" xfId="0" applyNumberFormat="1" applyFont="1" applyAlignment="1">
      <alignment horizontal="center" vertical="center"/>
    </xf>
    <xf numFmtId="167" fontId="20" fillId="0" borderId="0" xfId="0" applyNumberFormat="1" applyFont="1"/>
    <xf numFmtId="0" fontId="5" fillId="3" borderId="0" xfId="0" applyFont="1" applyFill="1"/>
    <xf numFmtId="164" fontId="20" fillId="3" borderId="0" xfId="0" applyNumberFormat="1" applyFont="1" applyFill="1"/>
    <xf numFmtId="0" fontId="12" fillId="2" borderId="0" xfId="6" applyFill="1" applyAlignment="1">
      <alignment horizontal="center"/>
    </xf>
    <xf numFmtId="0" fontId="29" fillId="2" borderId="0" xfId="6" applyFont="1" applyFill="1" applyAlignment="1">
      <alignment horizontal="center"/>
    </xf>
    <xf numFmtId="0" fontId="30" fillId="2" borderId="0" xfId="0" applyFont="1" applyFill="1" applyAlignment="1">
      <alignment horizontal="left" vertical="center"/>
    </xf>
    <xf numFmtId="0" fontId="0" fillId="2" borderId="0" xfId="0" applyFill="1"/>
    <xf numFmtId="0" fontId="33" fillId="2" borderId="0" xfId="0" applyFont="1" applyFill="1" applyAlignment="1">
      <alignment vertical="center"/>
    </xf>
    <xf numFmtId="0" fontId="34" fillId="2" borderId="0" xfId="0" applyFont="1" applyFill="1" applyAlignment="1">
      <alignment vertical="center"/>
    </xf>
    <xf numFmtId="0" fontId="29" fillId="2" borderId="20" xfId="6" applyFont="1" applyFill="1" applyBorder="1" applyAlignment="1">
      <alignment horizontal="center"/>
    </xf>
    <xf numFmtId="0" fontId="29" fillId="2" borderId="21" xfId="6" applyFont="1" applyFill="1" applyBorder="1" applyAlignment="1">
      <alignment horizontal="center"/>
    </xf>
    <xf numFmtId="0" fontId="29" fillId="2" borderId="22" xfId="6" applyFont="1" applyFill="1" applyBorder="1" applyAlignment="1">
      <alignment horizontal="center"/>
    </xf>
    <xf numFmtId="0" fontId="36" fillId="4" borderId="6" xfId="1" applyFont="1" applyFill="1" applyBorder="1" applyAlignment="1">
      <alignment horizontal="center"/>
    </xf>
    <xf numFmtId="0" fontId="37" fillId="4" borderId="8" xfId="1" applyFont="1" applyFill="1" applyBorder="1"/>
    <xf numFmtId="0" fontId="12" fillId="2" borderId="0" xfId="6" applyFill="1" applyAlignment="1">
      <alignment horizontal="center" vertical="center" wrapText="1"/>
    </xf>
    <xf numFmtId="0" fontId="29" fillId="2" borderId="23" xfId="6" applyFont="1" applyFill="1" applyBorder="1"/>
    <xf numFmtId="0" fontId="12" fillId="2" borderId="0" xfId="6" applyFill="1"/>
    <xf numFmtId="0" fontId="29" fillId="2" borderId="0" xfId="6" applyFont="1" applyFill="1"/>
    <xf numFmtId="0" fontId="12" fillId="2" borderId="0" xfId="6" applyFill="1" applyAlignment="1">
      <alignment horizontal="center" shrinkToFit="1"/>
    </xf>
    <xf numFmtId="0" fontId="29" fillId="2" borderId="0" xfId="6" applyFont="1" applyFill="1" applyAlignment="1">
      <alignment horizontal="center" shrinkToFit="1"/>
    </xf>
    <xf numFmtId="0" fontId="29" fillId="0" borderId="0" xfId="6" applyFont="1" applyAlignment="1">
      <alignment horizontal="center"/>
    </xf>
    <xf numFmtId="0" fontId="37" fillId="4" borderId="5" xfId="1" applyFont="1" applyFill="1" applyBorder="1"/>
    <xf numFmtId="0" fontId="36" fillId="4" borderId="0" xfId="1" applyFont="1" applyFill="1" applyAlignment="1">
      <alignment horizontal="center"/>
    </xf>
    <xf numFmtId="0" fontId="39" fillId="4" borderId="8" xfId="1" applyFont="1" applyFill="1" applyBorder="1"/>
    <xf numFmtId="0" fontId="36" fillId="0" borderId="27" xfId="6" applyFont="1" applyBorder="1" applyAlignment="1">
      <alignment horizontal="center" vertical="center" wrapText="1"/>
    </xf>
    <xf numFmtId="0" fontId="36" fillId="2" borderId="28" xfId="6" applyFont="1" applyFill="1" applyBorder="1" applyAlignment="1">
      <alignment horizontal="center" vertical="center" wrapText="1"/>
    </xf>
    <xf numFmtId="0" fontId="38" fillId="2" borderId="0" xfId="2" applyFont="1" applyFill="1" applyAlignment="1">
      <alignment horizontal="left" vertical="center"/>
    </xf>
    <xf numFmtId="0" fontId="38" fillId="2" borderId="8" xfId="2" applyFont="1" applyFill="1" applyBorder="1" applyAlignment="1">
      <alignment horizontal="center" vertical="center" wrapText="1"/>
    </xf>
    <xf numFmtId="0" fontId="38" fillId="2" borderId="10" xfId="2" applyFont="1" applyFill="1" applyBorder="1" applyAlignment="1">
      <alignment horizontal="center" vertical="center" wrapText="1"/>
    </xf>
    <xf numFmtId="0" fontId="38" fillId="2" borderId="4" xfId="2" applyFont="1" applyFill="1" applyBorder="1" applyAlignment="1">
      <alignment horizontal="left" vertical="center"/>
    </xf>
    <xf numFmtId="0" fontId="29" fillId="2" borderId="23" xfId="6" applyFont="1" applyFill="1" applyBorder="1" applyAlignment="1">
      <alignment horizontal="center"/>
    </xf>
    <xf numFmtId="0" fontId="10" fillId="2" borderId="0" xfId="0" applyFont="1" applyFill="1" applyAlignment="1">
      <alignment vertical="center"/>
    </xf>
    <xf numFmtId="0" fontId="0" fillId="0" borderId="23" xfId="0" applyBorder="1"/>
    <xf numFmtId="0" fontId="29" fillId="2" borderId="23" xfId="6" applyFont="1" applyFill="1" applyBorder="1" applyAlignment="1">
      <alignment horizontal="center" vertical="center" wrapText="1"/>
    </xf>
    <xf numFmtId="0" fontId="4" fillId="0" borderId="0" xfId="8"/>
    <xf numFmtId="0" fontId="4" fillId="0" borderId="24" xfId="8" applyBorder="1" applyAlignment="1">
      <alignment horizontal="center"/>
    </xf>
    <xf numFmtId="0" fontId="40" fillId="0" borderId="24" xfId="8" applyFont="1" applyBorder="1" applyAlignment="1">
      <alignment horizontal="center"/>
    </xf>
    <xf numFmtId="0" fontId="40" fillId="5" borderId="24" xfId="8" applyFont="1" applyFill="1" applyBorder="1" applyAlignment="1">
      <alignment horizontal="center"/>
    </xf>
    <xf numFmtId="0" fontId="42" fillId="5" borderId="24" xfId="8" applyFont="1" applyFill="1" applyBorder="1" applyAlignment="1">
      <alignment horizontal="center"/>
    </xf>
    <xf numFmtId="0" fontId="40" fillId="5" borderId="25" xfId="8" applyFont="1" applyFill="1" applyBorder="1" applyAlignment="1">
      <alignment horizontal="center"/>
    </xf>
    <xf numFmtId="0" fontId="44" fillId="3" borderId="30" xfId="9" applyFont="1" applyFill="1" applyBorder="1" applyAlignment="1">
      <alignment horizontal="center" vertical="center" wrapText="1"/>
    </xf>
    <xf numFmtId="166" fontId="45" fillId="3" borderId="31" xfId="9" applyNumberFormat="1" applyFont="1" applyFill="1" applyBorder="1" applyAlignment="1">
      <alignment horizontal="center" vertical="center" wrapText="1"/>
    </xf>
    <xf numFmtId="2" fontId="42" fillId="3" borderId="26" xfId="8" applyNumberFormat="1" applyFont="1" applyFill="1" applyBorder="1"/>
    <xf numFmtId="2" fontId="42" fillId="6" borderId="26" xfId="8" applyNumberFormat="1" applyFont="1" applyFill="1" applyBorder="1"/>
    <xf numFmtId="2" fontId="42" fillId="3" borderId="24" xfId="8" applyNumberFormat="1" applyFont="1" applyFill="1" applyBorder="1"/>
    <xf numFmtId="2" fontId="42" fillId="6" borderId="24" xfId="8" applyNumberFormat="1" applyFont="1" applyFill="1" applyBorder="1"/>
    <xf numFmtId="0" fontId="44" fillId="7" borderId="32" xfId="9" applyFont="1" applyFill="1" applyBorder="1" applyAlignment="1">
      <alignment horizontal="center" vertical="center" wrapText="1"/>
    </xf>
    <xf numFmtId="166" fontId="45" fillId="2" borderId="33" xfId="9" applyNumberFormat="1" applyFont="1" applyFill="1" applyBorder="1" applyAlignment="1">
      <alignment horizontal="center" vertical="center" wrapText="1"/>
    </xf>
    <xf numFmtId="0" fontId="44" fillId="3" borderId="32" xfId="9" applyFont="1" applyFill="1" applyBorder="1" applyAlignment="1">
      <alignment horizontal="center" vertical="center" wrapText="1"/>
    </xf>
    <xf numFmtId="166" fontId="45" fillId="3" borderId="33" xfId="9" applyNumberFormat="1" applyFont="1" applyFill="1" applyBorder="1" applyAlignment="1">
      <alignment horizontal="center" vertical="center" wrapText="1"/>
    </xf>
    <xf numFmtId="0" fontId="44" fillId="3" borderId="34" xfId="9" applyFont="1" applyFill="1" applyBorder="1" applyAlignment="1">
      <alignment horizontal="center" vertical="center" wrapText="1"/>
    </xf>
    <xf numFmtId="0" fontId="44" fillId="7" borderId="34" xfId="9" applyFont="1" applyFill="1" applyBorder="1" applyAlignment="1">
      <alignment horizontal="center" vertical="center" wrapText="1"/>
    </xf>
    <xf numFmtId="2" fontId="46" fillId="6" borderId="24" xfId="9" applyNumberFormat="1" applyFont="1" applyFill="1" applyBorder="1" applyAlignment="1">
      <alignment vertical="center" wrapText="1"/>
    </xf>
    <xf numFmtId="14" fontId="10" fillId="0" borderId="0" xfId="0" applyNumberFormat="1" applyFont="1" applyAlignment="1">
      <alignment horizontal="left"/>
    </xf>
    <xf numFmtId="49" fontId="20" fillId="0" borderId="0" xfId="0" applyNumberFormat="1" applyFont="1"/>
    <xf numFmtId="168" fontId="20" fillId="0" borderId="0" xfId="0" applyNumberFormat="1" applyFont="1"/>
    <xf numFmtId="165" fontId="14" fillId="2" borderId="9" xfId="0" applyNumberFormat="1" applyFont="1" applyFill="1" applyBorder="1" applyAlignment="1">
      <alignment horizontal="center" vertical="center"/>
    </xf>
    <xf numFmtId="166" fontId="14" fillId="0" borderId="17" xfId="0" applyNumberFormat="1" applyFont="1" applyBorder="1" applyAlignment="1">
      <alignment horizontal="center" vertical="center"/>
    </xf>
    <xf numFmtId="169" fontId="26" fillId="0" borderId="0" xfId="0" applyNumberFormat="1" applyFont="1" applyAlignment="1">
      <alignment horizontal="center" vertical="center"/>
    </xf>
    <xf numFmtId="0" fontId="4" fillId="3" borderId="0" xfId="8" applyFill="1"/>
    <xf numFmtId="0" fontId="29" fillId="2" borderId="0" xfId="6" applyFont="1" applyFill="1" applyAlignment="1">
      <alignment horizontal="center" vertical="center" wrapText="1"/>
    </xf>
    <xf numFmtId="0" fontId="29" fillId="2" borderId="35" xfId="6" applyFont="1" applyFill="1" applyBorder="1" applyAlignment="1">
      <alignment horizontal="center"/>
    </xf>
    <xf numFmtId="0" fontId="36" fillId="4" borderId="36" xfId="1" applyFont="1" applyFill="1" applyBorder="1" applyAlignment="1">
      <alignment horizontal="center"/>
    </xf>
    <xf numFmtId="0" fontId="36" fillId="4" borderId="20" xfId="1" applyFont="1" applyFill="1" applyBorder="1" applyAlignment="1">
      <alignment horizontal="center"/>
    </xf>
    <xf numFmtId="0" fontId="36" fillId="4" borderId="37" xfId="1" applyFont="1" applyFill="1" applyBorder="1" applyAlignment="1">
      <alignment horizontal="left" wrapText="1"/>
    </xf>
    <xf numFmtId="0" fontId="38" fillId="2" borderId="20" xfId="2" applyFont="1" applyFill="1" applyBorder="1" applyAlignment="1">
      <alignment horizontal="center" vertical="center"/>
    </xf>
    <xf numFmtId="0" fontId="38" fillId="2" borderId="37" xfId="2" applyFont="1" applyFill="1" applyBorder="1" applyAlignment="1">
      <alignment horizontal="center" vertical="center"/>
    </xf>
    <xf numFmtId="0" fontId="29" fillId="2" borderId="39" xfId="6" applyFont="1" applyFill="1" applyBorder="1"/>
    <xf numFmtId="0" fontId="29" fillId="0" borderId="29" xfId="6" applyFont="1" applyBorder="1" applyAlignment="1">
      <alignment horizontal="center"/>
    </xf>
    <xf numFmtId="0" fontId="29" fillId="2" borderId="29" xfId="6" applyFont="1" applyFill="1" applyBorder="1" applyAlignment="1">
      <alignment horizontal="center"/>
    </xf>
    <xf numFmtId="0" fontId="29" fillId="2" borderId="40" xfId="6" applyFont="1" applyFill="1" applyBorder="1" applyAlignment="1">
      <alignment horizontal="center"/>
    </xf>
    <xf numFmtId="170" fontId="26" fillId="0" borderId="0" xfId="0" applyNumberFormat="1" applyFont="1" applyAlignment="1">
      <alignment horizontal="center" vertical="center"/>
    </xf>
    <xf numFmtId="169" fontId="27" fillId="0" borderId="0" xfId="0" applyNumberFormat="1" applyFont="1" applyAlignment="1">
      <alignment horizontal="left" vertical="center"/>
    </xf>
    <xf numFmtId="0" fontId="38" fillId="2" borderId="0" xfId="2" applyFont="1" applyFill="1" applyAlignment="1">
      <alignment horizontal="center" vertical="center" wrapText="1"/>
    </xf>
    <xf numFmtId="3" fontId="19" fillId="0" borderId="14" xfId="0" applyNumberFormat="1" applyFont="1" applyBorder="1" applyAlignment="1">
      <alignment horizontal="center" vertical="center"/>
    </xf>
    <xf numFmtId="171" fontId="11" fillId="0" borderId="0" xfId="0" applyNumberFormat="1" applyFont="1" applyAlignment="1">
      <alignment horizontal="left" vertical="top"/>
    </xf>
    <xf numFmtId="0" fontId="38" fillId="2" borderId="24" xfId="2" applyFont="1" applyFill="1" applyBorder="1" applyAlignment="1">
      <alignment horizontal="center" vertical="center"/>
    </xf>
    <xf numFmtId="0" fontId="38" fillId="2" borderId="24" xfId="2" applyFont="1" applyFill="1" applyBorder="1" applyAlignment="1">
      <alignment vertical="center"/>
    </xf>
    <xf numFmtId="0" fontId="3" fillId="0" borderId="0" xfId="8" applyFont="1"/>
    <xf numFmtId="0" fontId="19" fillId="2" borderId="9" xfId="0" applyFont="1" applyFill="1" applyBorder="1" applyAlignment="1">
      <alignment vertical="center"/>
    </xf>
    <xf numFmtId="0" fontId="44" fillId="0" borderId="0" xfId="9" applyFont="1" applyAlignment="1">
      <alignment horizontal="center" vertical="center" wrapText="1"/>
    </xf>
    <xf numFmtId="166" fontId="45" fillId="0" borderId="0" xfId="9" applyNumberFormat="1" applyFont="1" applyAlignment="1">
      <alignment horizontal="center" vertical="center" wrapText="1"/>
    </xf>
    <xf numFmtId="2" fontId="42" fillId="0" borderId="0" xfId="8" applyNumberFormat="1" applyFont="1"/>
    <xf numFmtId="165" fontId="5" fillId="0" borderId="0" xfId="0" applyNumberFormat="1" applyFont="1"/>
    <xf numFmtId="0" fontId="19" fillId="2" borderId="8" xfId="0" applyFont="1" applyFill="1" applyBorder="1" applyAlignment="1">
      <alignment vertical="center"/>
    </xf>
    <xf numFmtId="0" fontId="41" fillId="0" borderId="29" xfId="8" applyFont="1" applyBorder="1" applyAlignment="1">
      <alignment vertical="center"/>
    </xf>
    <xf numFmtId="0" fontId="48" fillId="0" borderId="29" xfId="8" applyFont="1" applyBorder="1" applyAlignment="1">
      <alignment vertical="center"/>
    </xf>
    <xf numFmtId="0" fontId="48" fillId="0" borderId="0" xfId="8" applyFont="1" applyAlignment="1">
      <alignment horizontal="center" vertical="center"/>
    </xf>
    <xf numFmtId="0" fontId="48" fillId="0" borderId="0" xfId="8" applyFont="1" applyAlignment="1">
      <alignment vertical="center"/>
    </xf>
    <xf numFmtId="172" fontId="11" fillId="0" borderId="0" xfId="0" applyNumberFormat="1" applyFont="1" applyAlignment="1">
      <alignment horizontal="left"/>
    </xf>
    <xf numFmtId="3" fontId="5" fillId="0" borderId="0" xfId="0" applyNumberFormat="1" applyFont="1"/>
    <xf numFmtId="166" fontId="4" fillId="3" borderId="0" xfId="8" applyNumberFormat="1" applyFill="1"/>
    <xf numFmtId="1" fontId="4" fillId="3" borderId="0" xfId="8" applyNumberFormat="1" applyFill="1"/>
    <xf numFmtId="173" fontId="4" fillId="0" borderId="0" xfId="8" applyNumberFormat="1"/>
    <xf numFmtId="174" fontId="5" fillId="0" borderId="0" xfId="0" applyNumberFormat="1" applyFont="1"/>
    <xf numFmtId="175" fontId="5" fillId="0" borderId="0" xfId="0" applyNumberFormat="1" applyFont="1"/>
    <xf numFmtId="3" fontId="5" fillId="3" borderId="0" xfId="0" applyNumberFormat="1" applyFont="1" applyFill="1"/>
    <xf numFmtId="171" fontId="38" fillId="2" borderId="0" xfId="10" applyNumberFormat="1" applyFont="1" applyFill="1" applyAlignment="1">
      <alignment horizontal="left" vertical="center"/>
    </xf>
    <xf numFmtId="171" fontId="38" fillId="2" borderId="0" xfId="2" applyNumberFormat="1" applyFont="1" applyFill="1" applyAlignment="1">
      <alignment horizontal="left" vertical="center"/>
    </xf>
    <xf numFmtId="2" fontId="4" fillId="3" borderId="0" xfId="8" applyNumberFormat="1" applyFill="1"/>
    <xf numFmtId="176" fontId="4" fillId="0" borderId="0" xfId="8" applyNumberFormat="1"/>
    <xf numFmtId="166" fontId="45" fillId="2" borderId="24" xfId="9" applyNumberFormat="1" applyFont="1" applyFill="1" applyBorder="1" applyAlignment="1">
      <alignment horizontal="center" vertical="center" wrapText="1"/>
    </xf>
    <xf numFmtId="0" fontId="2" fillId="0" borderId="24" xfId="8" applyFont="1" applyBorder="1" applyAlignment="1">
      <alignment horizontal="center"/>
    </xf>
    <xf numFmtId="0" fontId="40" fillId="0" borderId="24" xfId="8" applyFont="1" applyBorder="1"/>
    <xf numFmtId="0" fontId="2" fillId="2" borderId="24" xfId="8" applyFont="1" applyFill="1" applyBorder="1" applyAlignment="1">
      <alignment horizontal="center"/>
    </xf>
    <xf numFmtId="2" fontId="14" fillId="2" borderId="9" xfId="0" applyNumberFormat="1" applyFont="1" applyFill="1" applyBorder="1" applyAlignment="1">
      <alignment horizontal="center" vertical="center"/>
    </xf>
    <xf numFmtId="0" fontId="49" fillId="2" borderId="8" xfId="0" applyFont="1" applyFill="1" applyBorder="1" applyAlignment="1">
      <alignment horizontal="left" vertical="center"/>
    </xf>
    <xf numFmtId="0" fontId="1" fillId="7" borderId="24" xfId="8" applyFont="1" applyFill="1" applyBorder="1" applyAlignment="1">
      <alignment horizontal="center"/>
    </xf>
    <xf numFmtId="0" fontId="4" fillId="7" borderId="24" xfId="8" applyFill="1" applyBorder="1" applyAlignment="1">
      <alignment horizontal="center"/>
    </xf>
    <xf numFmtId="14" fontId="4" fillId="7" borderId="24" xfId="8" applyNumberFormat="1" applyFill="1" applyBorder="1" applyAlignment="1">
      <alignment horizontal="center"/>
    </xf>
    <xf numFmtId="0" fontId="44" fillId="7" borderId="24" xfId="9" applyFont="1" applyFill="1" applyBorder="1" applyAlignment="1">
      <alignment horizontal="center" vertical="center" wrapText="1"/>
    </xf>
    <xf numFmtId="166" fontId="45" fillId="7" borderId="24" xfId="9" applyNumberFormat="1" applyFont="1" applyFill="1" applyBorder="1" applyAlignment="1">
      <alignment horizontal="center" vertical="center" wrapText="1"/>
    </xf>
    <xf numFmtId="0" fontId="50" fillId="8" borderId="24" xfId="0" applyFont="1" applyFill="1" applyBorder="1" applyAlignment="1">
      <alignment horizontal="center" vertical="center"/>
    </xf>
    <xf numFmtId="0" fontId="50" fillId="8" borderId="24" xfId="0" applyFont="1" applyFill="1" applyBorder="1" applyAlignment="1">
      <alignment horizontal="center" vertical="center" wrapText="1"/>
    </xf>
    <xf numFmtId="0" fontId="50" fillId="9" borderId="24" xfId="0" applyFont="1" applyFill="1" applyBorder="1" applyAlignment="1">
      <alignment horizontal="center" vertical="center" wrapText="1"/>
    </xf>
    <xf numFmtId="0" fontId="38" fillId="2" borderId="44" xfId="2" applyFont="1" applyFill="1" applyBorder="1" applyAlignment="1">
      <alignment horizontal="center" vertical="center"/>
    </xf>
    <xf numFmtId="0" fontId="38" fillId="2" borderId="41" xfId="2" applyFont="1" applyFill="1" applyBorder="1" applyAlignment="1">
      <alignment horizontal="center" vertical="center" wrapText="1"/>
    </xf>
    <xf numFmtId="0" fontId="40" fillId="0" borderId="0" xfId="8" applyFont="1"/>
    <xf numFmtId="0" fontId="16" fillId="0" borderId="8" xfId="0" applyFont="1" applyBorder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9" fillId="2" borderId="8" xfId="0" applyFont="1" applyFill="1" applyBorder="1" applyAlignment="1">
      <alignment horizontal="left" vertical="center"/>
    </xf>
    <xf numFmtId="0" fontId="19" fillId="2" borderId="9" xfId="0" applyFont="1" applyFill="1" applyBorder="1" applyAlignment="1">
      <alignment horizontal="left" vertical="center"/>
    </xf>
    <xf numFmtId="0" fontId="14" fillId="0" borderId="10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38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0" fillId="0" borderId="10" xfId="1" applyFont="1" applyBorder="1" applyAlignment="1">
      <alignment horizontal="left" wrapText="1"/>
    </xf>
    <xf numFmtId="0" fontId="10" fillId="0" borderId="4" xfId="1" applyFont="1" applyBorder="1" applyAlignment="1">
      <alignment horizontal="left" wrapText="1"/>
    </xf>
    <xf numFmtId="0" fontId="16" fillId="0" borderId="12" xfId="0" applyFont="1" applyBorder="1" applyAlignment="1">
      <alignment horizontal="center"/>
    </xf>
    <xf numFmtId="0" fontId="16" fillId="0" borderId="13" xfId="0" applyFont="1" applyBorder="1" applyAlignment="1">
      <alignment horizontal="center"/>
    </xf>
    <xf numFmtId="0" fontId="16" fillId="0" borderId="14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4" fillId="0" borderId="5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0" fillId="0" borderId="4" xfId="0" applyFont="1" applyBorder="1" applyAlignment="1">
      <alignment horizontal="left"/>
    </xf>
    <xf numFmtId="0" fontId="38" fillId="2" borderId="42" xfId="2" applyFont="1" applyFill="1" applyBorder="1" applyAlignment="1">
      <alignment horizontal="center" vertical="center" wrapText="1"/>
    </xf>
    <xf numFmtId="0" fontId="38" fillId="2" borderId="43" xfId="2" applyFont="1" applyFill="1" applyBorder="1" applyAlignment="1">
      <alignment horizontal="center" vertical="center" wrapText="1"/>
    </xf>
    <xf numFmtId="0" fontId="36" fillId="0" borderId="12" xfId="6" applyFont="1" applyBorder="1" applyAlignment="1">
      <alignment horizontal="center" vertical="center"/>
    </xf>
    <xf numFmtId="0" fontId="36" fillId="0" borderId="13" xfId="6" applyFont="1" applyBorder="1" applyAlignment="1">
      <alignment horizontal="center" vertical="center"/>
    </xf>
    <xf numFmtId="0" fontId="36" fillId="0" borderId="38" xfId="6" applyFont="1" applyBorder="1" applyAlignment="1">
      <alignment horizontal="center" vertical="center"/>
    </xf>
    <xf numFmtId="0" fontId="36" fillId="0" borderId="5" xfId="6" applyFont="1" applyBorder="1" applyAlignment="1">
      <alignment horizontal="center" vertical="center"/>
    </xf>
    <xf numFmtId="0" fontId="36" fillId="0" borderId="6" xfId="6" applyFont="1" applyBorder="1" applyAlignment="1">
      <alignment horizontal="center" vertical="center"/>
    </xf>
    <xf numFmtId="0" fontId="36" fillId="0" borderId="36" xfId="6" applyFont="1" applyBorder="1" applyAlignment="1">
      <alignment horizontal="center" vertical="center"/>
    </xf>
    <xf numFmtId="0" fontId="38" fillId="2" borderId="41" xfId="2" applyFont="1" applyFill="1" applyBorder="1" applyAlignment="1">
      <alignment horizontal="center" vertical="center" wrapText="1"/>
    </xf>
    <xf numFmtId="0" fontId="38" fillId="2" borderId="25" xfId="2" applyFont="1" applyFill="1" applyBorder="1" applyAlignment="1">
      <alignment horizontal="center" vertical="center" wrapText="1"/>
    </xf>
    <xf numFmtId="0" fontId="38" fillId="2" borderId="24" xfId="2" applyFont="1" applyFill="1" applyBorder="1" applyAlignment="1">
      <alignment horizontal="center" vertical="center" wrapText="1"/>
    </xf>
    <xf numFmtId="0" fontId="38" fillId="2" borderId="26" xfId="2" applyFont="1" applyFill="1" applyBorder="1" applyAlignment="1">
      <alignment horizontal="center" vertical="center" wrapText="1"/>
    </xf>
    <xf numFmtId="0" fontId="36" fillId="0" borderId="8" xfId="6" applyFont="1" applyBorder="1" applyAlignment="1">
      <alignment horizontal="center"/>
    </xf>
    <xf numFmtId="0" fontId="36" fillId="0" borderId="0" xfId="6" applyFont="1" applyAlignment="1">
      <alignment horizontal="center"/>
    </xf>
    <xf numFmtId="0" fontId="36" fillId="0" borderId="20" xfId="6" applyFont="1" applyBorder="1" applyAlignment="1">
      <alignment horizontal="center"/>
    </xf>
    <xf numFmtId="0" fontId="32" fillId="2" borderId="0" xfId="0" applyFont="1" applyFill="1" applyAlignment="1">
      <alignment horizontal="left" vertical="center"/>
    </xf>
    <xf numFmtId="0" fontId="31" fillId="2" borderId="0" xfId="0" applyFont="1" applyFill="1" applyAlignment="1">
      <alignment horizontal="left" vertical="center"/>
    </xf>
    <xf numFmtId="0" fontId="33" fillId="2" borderId="0" xfId="0" applyFont="1" applyFill="1" applyAlignment="1">
      <alignment horizontal="left" vertical="center"/>
    </xf>
    <xf numFmtId="0" fontId="35" fillId="2" borderId="0" xfId="6" applyFont="1" applyFill="1" applyAlignment="1">
      <alignment horizontal="center"/>
    </xf>
    <xf numFmtId="0" fontId="37" fillId="4" borderId="10" xfId="1" applyFont="1" applyFill="1" applyBorder="1" applyAlignment="1">
      <alignment horizontal="left" wrapText="1"/>
    </xf>
    <xf numFmtId="0" fontId="37" fillId="4" borderId="4" xfId="1" applyFont="1" applyFill="1" applyBorder="1" applyAlignment="1">
      <alignment horizontal="left" wrapText="1"/>
    </xf>
    <xf numFmtId="0" fontId="10" fillId="0" borderId="4" xfId="0" applyFont="1" applyBorder="1" applyAlignment="1">
      <alignment horizontal="right"/>
    </xf>
  </cellXfs>
  <cellStyles count="11">
    <cellStyle name="Milliers" xfId="10" builtinId="3"/>
    <cellStyle name="Normal" xfId="0" builtinId="0"/>
    <cellStyle name="Normal 13" xfId="6" xr:uid="{51DA10A8-4D40-48CB-9540-87C916D18F06}"/>
    <cellStyle name="Normal 2" xfId="7" xr:uid="{459A7364-8310-4535-BDC0-2E64A2516472}"/>
    <cellStyle name="Normal 24" xfId="1" xr:uid="{00000000-0005-0000-0000-000001000000}"/>
    <cellStyle name="Normal 3" xfId="8" xr:uid="{9B95B284-C2AA-4F1A-8D4E-3A4AF1FE0C88}"/>
    <cellStyle name="Normal 4_Copie de Xl0000085" xfId="5" xr:uid="{00000000-0005-0000-0000-000002000000}"/>
    <cellStyle name="Normal 5" xfId="2" xr:uid="{00000000-0005-0000-0000-000003000000}"/>
    <cellStyle name="Normal 6" xfId="3" xr:uid="{00000000-0005-0000-0000-000004000000}"/>
    <cellStyle name="Normal 7" xfId="4" xr:uid="{00000000-0005-0000-0000-000005000000}"/>
    <cellStyle name="Normal_Nomenclature" xfId="9" xr:uid="{EA1B1092-D1AF-451F-939F-3ECF75A9553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114300</xdr:colOff>
          <xdr:row>0</xdr:row>
          <xdr:rowOff>19050</xdr:rowOff>
        </xdr:from>
        <xdr:to>
          <xdr:col>3</xdr:col>
          <xdr:colOff>428625</xdr:colOff>
          <xdr:row>6</xdr:row>
          <xdr:rowOff>95250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7</xdr:col>
      <xdr:colOff>11043</xdr:colOff>
      <xdr:row>53</xdr:row>
      <xdr:rowOff>36306</xdr:rowOff>
    </xdr:from>
    <xdr:to>
      <xdr:col>7</xdr:col>
      <xdr:colOff>1046124</xdr:colOff>
      <xdr:row>59</xdr:row>
      <xdr:rowOff>2724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15565" y="7937915"/>
          <a:ext cx="1032319" cy="96033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0</xdr:row>
          <xdr:rowOff>9525</xdr:rowOff>
        </xdr:from>
        <xdr:to>
          <xdr:col>3</xdr:col>
          <xdr:colOff>342900</xdr:colOff>
          <xdr:row>6</xdr:row>
          <xdr:rowOff>85725</xdr:rowOff>
        </xdr:to>
        <xdr:sp macro="" textlink="">
          <xdr:nvSpPr>
            <xdr:cNvPr id="4097" name="Object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0</xdr:row>
          <xdr:rowOff>9525</xdr:rowOff>
        </xdr:from>
        <xdr:to>
          <xdr:col>3</xdr:col>
          <xdr:colOff>342900</xdr:colOff>
          <xdr:row>6</xdr:row>
          <xdr:rowOff>85725</xdr:rowOff>
        </xdr:to>
        <xdr:sp macro="" textlink="">
          <xdr:nvSpPr>
            <xdr:cNvPr id="23553" name="Object 1" hidden="1">
              <a:extLst>
                <a:ext uri="{63B3BB69-23CF-44E3-9099-C40C66FF867C}">
                  <a14:compatExt spid="_x0000_s23553"/>
                </a:ext>
                <a:ext uri="{FF2B5EF4-FFF2-40B4-BE49-F238E27FC236}">
                  <a16:creationId xmlns:a16="http://schemas.microsoft.com/office/drawing/2014/main" id="{00000000-0008-0000-0400-000001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9</xdr:col>
      <xdr:colOff>327439</xdr:colOff>
      <xdr:row>55</xdr:row>
      <xdr:rowOff>47072</xdr:rowOff>
    </xdr:from>
    <xdr:to>
      <xdr:col>10</xdr:col>
      <xdr:colOff>491604</xdr:colOff>
      <xdr:row>61</xdr:row>
      <xdr:rowOff>10867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90214" y="7952822"/>
          <a:ext cx="1030940" cy="94487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0</xdr:row>
          <xdr:rowOff>9525</xdr:rowOff>
        </xdr:from>
        <xdr:to>
          <xdr:col>3</xdr:col>
          <xdr:colOff>342900</xdr:colOff>
          <xdr:row>6</xdr:row>
          <xdr:rowOff>85725</xdr:rowOff>
        </xdr:to>
        <xdr:sp macro="" textlink="">
          <xdr:nvSpPr>
            <xdr:cNvPr id="25601" name="Object 1" hidden="1">
              <a:extLst>
                <a:ext uri="{63B3BB69-23CF-44E3-9099-C40C66FF867C}">
                  <a14:compatExt spid="_x0000_s25601"/>
                </a:ext>
                <a:ext uri="{FF2B5EF4-FFF2-40B4-BE49-F238E27FC236}">
                  <a16:creationId xmlns:a16="http://schemas.microsoft.com/office/drawing/2014/main" id="{00000000-0008-0000-0500-000001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7</xdr:col>
      <xdr:colOff>11043</xdr:colOff>
      <xdr:row>48</xdr:row>
      <xdr:rowOff>36306</xdr:rowOff>
    </xdr:from>
    <xdr:to>
      <xdr:col>7</xdr:col>
      <xdr:colOff>1046124</xdr:colOff>
      <xdr:row>54</xdr:row>
      <xdr:rowOff>2724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02143" y="9418431"/>
          <a:ext cx="1035081" cy="937968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45</xdr:row>
      <xdr:rowOff>0</xdr:rowOff>
    </xdr:from>
    <xdr:ext cx="184731" cy="311803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 txBox="1"/>
      </xdr:nvSpPr>
      <xdr:spPr>
        <a:xfrm>
          <a:off x="2806700" y="13582650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45</xdr:row>
      <xdr:rowOff>0</xdr:rowOff>
    </xdr:from>
    <xdr:ext cx="184731" cy="311803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 txBox="1"/>
      </xdr:nvSpPr>
      <xdr:spPr>
        <a:xfrm>
          <a:off x="2806700" y="13582650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 editAs="oneCell">
    <xdr:from>
      <xdr:col>2</xdr:col>
      <xdr:colOff>52848</xdr:colOff>
      <xdr:row>0</xdr:row>
      <xdr:rowOff>44825</xdr:rowOff>
    </xdr:from>
    <xdr:to>
      <xdr:col>3</xdr:col>
      <xdr:colOff>1081315</xdr:colOff>
      <xdr:row>7</xdr:row>
      <xdr:rowOff>1663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6698" y="44825"/>
          <a:ext cx="1130067" cy="1727581"/>
        </a:xfrm>
        <a:prstGeom prst="rect">
          <a:avLst/>
        </a:prstGeom>
      </xdr:spPr>
    </xdr:pic>
    <xdr:clientData/>
  </xdr:twoCellAnchor>
  <xdr:oneCellAnchor>
    <xdr:from>
      <xdr:col>2</xdr:col>
      <xdr:colOff>0</xdr:colOff>
      <xdr:row>34</xdr:row>
      <xdr:rowOff>0</xdr:rowOff>
    </xdr:from>
    <xdr:ext cx="184731" cy="311803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 txBox="1"/>
      </xdr:nvSpPr>
      <xdr:spPr>
        <a:xfrm>
          <a:off x="2727325" y="9569450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34</xdr:row>
      <xdr:rowOff>0</xdr:rowOff>
    </xdr:from>
    <xdr:ext cx="184731" cy="311803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 txBox="1"/>
      </xdr:nvSpPr>
      <xdr:spPr>
        <a:xfrm>
          <a:off x="2727325" y="9569450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34</xdr:row>
      <xdr:rowOff>0</xdr:rowOff>
    </xdr:from>
    <xdr:ext cx="184731" cy="311803"/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 txBox="1"/>
      </xdr:nvSpPr>
      <xdr:spPr>
        <a:xfrm>
          <a:off x="2730046" y="890814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34</xdr:row>
      <xdr:rowOff>0</xdr:rowOff>
    </xdr:from>
    <xdr:ext cx="184731" cy="311803"/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 txBox="1"/>
      </xdr:nvSpPr>
      <xdr:spPr>
        <a:xfrm>
          <a:off x="2730046" y="890814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34</xdr:row>
      <xdr:rowOff>0</xdr:rowOff>
    </xdr:from>
    <xdr:ext cx="184731" cy="311803"/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 txBox="1"/>
      </xdr:nvSpPr>
      <xdr:spPr>
        <a:xfrm>
          <a:off x="2730046" y="890814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34</xdr:row>
      <xdr:rowOff>0</xdr:rowOff>
    </xdr:from>
    <xdr:ext cx="184731" cy="311803"/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 txBox="1"/>
      </xdr:nvSpPr>
      <xdr:spPr>
        <a:xfrm>
          <a:off x="2730046" y="890814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21</xdr:row>
      <xdr:rowOff>0</xdr:rowOff>
    </xdr:from>
    <xdr:ext cx="184731" cy="311803"/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 txBox="1"/>
      </xdr:nvSpPr>
      <xdr:spPr>
        <a:xfrm>
          <a:off x="2730046" y="9642929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21</xdr:row>
      <xdr:rowOff>0</xdr:rowOff>
    </xdr:from>
    <xdr:ext cx="184731" cy="311803"/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SpPr txBox="1"/>
      </xdr:nvSpPr>
      <xdr:spPr>
        <a:xfrm>
          <a:off x="2730046" y="9642929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SpPr txBox="1"/>
      </xdr:nvSpPr>
      <xdr:spPr>
        <a:xfrm>
          <a:off x="2730046" y="629557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SpPr txBox="1"/>
      </xdr:nvSpPr>
      <xdr:spPr>
        <a:xfrm>
          <a:off x="2730046" y="629557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SpPr txBox="1"/>
      </xdr:nvSpPr>
      <xdr:spPr>
        <a:xfrm>
          <a:off x="2730046" y="9180286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6" name="ZoneTexte 15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SpPr txBox="1"/>
      </xdr:nvSpPr>
      <xdr:spPr>
        <a:xfrm>
          <a:off x="2730046" y="9180286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7" name="ZoneTexte 16">
          <a:extLst>
            <a:ext uri="{FF2B5EF4-FFF2-40B4-BE49-F238E27FC236}">
              <a16:creationId xmlns:a16="http://schemas.microsoft.com/office/drawing/2014/main" id="{00000000-0008-0000-0600-000011000000}"/>
            </a:ext>
          </a:extLst>
        </xdr:cNvPr>
        <xdr:cNvSpPr txBox="1"/>
      </xdr:nvSpPr>
      <xdr:spPr>
        <a:xfrm>
          <a:off x="2730046" y="9497786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8" name="ZoneTexte 17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 txBox="1"/>
      </xdr:nvSpPr>
      <xdr:spPr>
        <a:xfrm>
          <a:off x="2730046" y="9497786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34</xdr:row>
      <xdr:rowOff>0</xdr:rowOff>
    </xdr:from>
    <xdr:ext cx="184731" cy="311803"/>
    <xdr:sp macro="" textlink="">
      <xdr:nvSpPr>
        <xdr:cNvPr id="20" name="ZoneTexte 19">
          <a:extLst>
            <a:ext uri="{FF2B5EF4-FFF2-40B4-BE49-F238E27FC236}">
              <a16:creationId xmlns:a16="http://schemas.microsoft.com/office/drawing/2014/main" id="{00000000-0008-0000-0600-000014000000}"/>
            </a:ext>
          </a:extLst>
        </xdr:cNvPr>
        <xdr:cNvSpPr txBox="1"/>
      </xdr:nvSpPr>
      <xdr:spPr>
        <a:xfrm>
          <a:off x="2730046" y="703035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34</xdr:row>
      <xdr:rowOff>0</xdr:rowOff>
    </xdr:from>
    <xdr:ext cx="184731" cy="311803"/>
    <xdr:sp macro="" textlink="">
      <xdr:nvSpPr>
        <xdr:cNvPr id="21" name="ZoneTexte 20">
          <a:extLst>
            <a:ext uri="{FF2B5EF4-FFF2-40B4-BE49-F238E27FC236}">
              <a16:creationId xmlns:a16="http://schemas.microsoft.com/office/drawing/2014/main" id="{00000000-0008-0000-0600-000015000000}"/>
            </a:ext>
          </a:extLst>
        </xdr:cNvPr>
        <xdr:cNvSpPr txBox="1"/>
      </xdr:nvSpPr>
      <xdr:spPr>
        <a:xfrm>
          <a:off x="2730046" y="703035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9" name="ZoneTexte 18">
          <a:extLst>
            <a:ext uri="{FF2B5EF4-FFF2-40B4-BE49-F238E27FC236}">
              <a16:creationId xmlns:a16="http://schemas.microsoft.com/office/drawing/2014/main" id="{00000000-0008-0000-0600-000013000000}"/>
            </a:ext>
          </a:extLst>
        </xdr:cNvPr>
        <xdr:cNvSpPr txBox="1"/>
      </xdr:nvSpPr>
      <xdr:spPr>
        <a:xfrm>
          <a:off x="2730046" y="6785429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22" name="ZoneTexte 21">
          <a:extLst>
            <a:ext uri="{FF2B5EF4-FFF2-40B4-BE49-F238E27FC236}">
              <a16:creationId xmlns:a16="http://schemas.microsoft.com/office/drawing/2014/main" id="{00000000-0008-0000-0600-000016000000}"/>
            </a:ext>
          </a:extLst>
        </xdr:cNvPr>
        <xdr:cNvSpPr txBox="1"/>
      </xdr:nvSpPr>
      <xdr:spPr>
        <a:xfrm>
          <a:off x="2730046" y="6785429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23" name="ZoneTexte 22">
          <a:extLst>
            <a:ext uri="{FF2B5EF4-FFF2-40B4-BE49-F238E27FC236}">
              <a16:creationId xmlns:a16="http://schemas.microsoft.com/office/drawing/2014/main" id="{00000000-0008-0000-0600-000017000000}"/>
            </a:ext>
          </a:extLst>
        </xdr:cNvPr>
        <xdr:cNvSpPr txBox="1"/>
      </xdr:nvSpPr>
      <xdr:spPr>
        <a:xfrm>
          <a:off x="2730046" y="798285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24" name="ZoneTexte 23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SpPr txBox="1"/>
      </xdr:nvSpPr>
      <xdr:spPr>
        <a:xfrm>
          <a:off x="2730046" y="798285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25" name="ZoneTexte 24">
          <a:extLst>
            <a:ext uri="{FF2B5EF4-FFF2-40B4-BE49-F238E27FC236}">
              <a16:creationId xmlns:a16="http://schemas.microsoft.com/office/drawing/2014/main" id="{00000000-0008-0000-0600-000019000000}"/>
            </a:ext>
          </a:extLst>
        </xdr:cNvPr>
        <xdr:cNvSpPr txBox="1"/>
      </xdr:nvSpPr>
      <xdr:spPr>
        <a:xfrm>
          <a:off x="2730046" y="830035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26" name="ZoneTexte 25">
          <a:extLst>
            <a:ext uri="{FF2B5EF4-FFF2-40B4-BE49-F238E27FC236}">
              <a16:creationId xmlns:a16="http://schemas.microsoft.com/office/drawing/2014/main" id="{00000000-0008-0000-0600-00001A000000}"/>
            </a:ext>
          </a:extLst>
        </xdr:cNvPr>
        <xdr:cNvSpPr txBox="1"/>
      </xdr:nvSpPr>
      <xdr:spPr>
        <a:xfrm>
          <a:off x="2730046" y="830035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27" name="ZoneTexte 26">
          <a:extLst>
            <a:ext uri="{FF2B5EF4-FFF2-40B4-BE49-F238E27FC236}">
              <a16:creationId xmlns:a16="http://schemas.microsoft.com/office/drawing/2014/main" id="{00000000-0008-0000-0600-00001B000000}"/>
            </a:ext>
          </a:extLst>
        </xdr:cNvPr>
        <xdr:cNvSpPr txBox="1"/>
      </xdr:nvSpPr>
      <xdr:spPr>
        <a:xfrm>
          <a:off x="2730046" y="629557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28" name="ZoneTexte 27">
          <a:extLst>
            <a:ext uri="{FF2B5EF4-FFF2-40B4-BE49-F238E27FC236}">
              <a16:creationId xmlns:a16="http://schemas.microsoft.com/office/drawing/2014/main" id="{00000000-0008-0000-0600-00001C000000}"/>
            </a:ext>
          </a:extLst>
        </xdr:cNvPr>
        <xdr:cNvSpPr txBox="1"/>
      </xdr:nvSpPr>
      <xdr:spPr>
        <a:xfrm>
          <a:off x="2730046" y="629557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29" name="ZoneTexte 28">
          <a:extLst>
            <a:ext uri="{FF2B5EF4-FFF2-40B4-BE49-F238E27FC236}">
              <a16:creationId xmlns:a16="http://schemas.microsoft.com/office/drawing/2014/main" id="{00000000-0008-0000-0600-00001D000000}"/>
            </a:ext>
          </a:extLst>
        </xdr:cNvPr>
        <xdr:cNvSpPr txBox="1"/>
      </xdr:nvSpPr>
      <xdr:spPr>
        <a:xfrm>
          <a:off x="2730046" y="6540500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30" name="ZoneTexte 29">
          <a:extLst>
            <a:ext uri="{FF2B5EF4-FFF2-40B4-BE49-F238E27FC236}">
              <a16:creationId xmlns:a16="http://schemas.microsoft.com/office/drawing/2014/main" id="{00000000-0008-0000-0600-00001E000000}"/>
            </a:ext>
          </a:extLst>
        </xdr:cNvPr>
        <xdr:cNvSpPr txBox="1"/>
      </xdr:nvSpPr>
      <xdr:spPr>
        <a:xfrm>
          <a:off x="2730046" y="6540500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31" name="ZoneTexte 30">
          <a:extLst>
            <a:ext uri="{FF2B5EF4-FFF2-40B4-BE49-F238E27FC236}">
              <a16:creationId xmlns:a16="http://schemas.microsoft.com/office/drawing/2014/main" id="{00000000-0008-0000-0600-00001F000000}"/>
            </a:ext>
          </a:extLst>
        </xdr:cNvPr>
        <xdr:cNvSpPr txBox="1"/>
      </xdr:nvSpPr>
      <xdr:spPr>
        <a:xfrm>
          <a:off x="2730046" y="6540500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32" name="ZoneTexte 31">
          <a:extLst>
            <a:ext uri="{FF2B5EF4-FFF2-40B4-BE49-F238E27FC236}">
              <a16:creationId xmlns:a16="http://schemas.microsoft.com/office/drawing/2014/main" id="{00000000-0008-0000-0600-000020000000}"/>
            </a:ext>
          </a:extLst>
        </xdr:cNvPr>
        <xdr:cNvSpPr txBox="1"/>
      </xdr:nvSpPr>
      <xdr:spPr>
        <a:xfrm>
          <a:off x="2730046" y="6540500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33" name="ZoneTexte 32">
          <a:extLst>
            <a:ext uri="{FF2B5EF4-FFF2-40B4-BE49-F238E27FC236}">
              <a16:creationId xmlns:a16="http://schemas.microsoft.com/office/drawing/2014/main" id="{00000000-0008-0000-0600-000021000000}"/>
            </a:ext>
          </a:extLst>
        </xdr:cNvPr>
        <xdr:cNvSpPr txBox="1"/>
      </xdr:nvSpPr>
      <xdr:spPr>
        <a:xfrm>
          <a:off x="2730046" y="6540500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34" name="ZoneTexte 33">
          <a:extLst>
            <a:ext uri="{FF2B5EF4-FFF2-40B4-BE49-F238E27FC236}">
              <a16:creationId xmlns:a16="http://schemas.microsoft.com/office/drawing/2014/main" id="{00000000-0008-0000-0600-000022000000}"/>
            </a:ext>
          </a:extLst>
        </xdr:cNvPr>
        <xdr:cNvSpPr txBox="1"/>
      </xdr:nvSpPr>
      <xdr:spPr>
        <a:xfrm>
          <a:off x="2730046" y="6540500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35" name="ZoneTexte 34">
          <a:extLst>
            <a:ext uri="{FF2B5EF4-FFF2-40B4-BE49-F238E27FC236}">
              <a16:creationId xmlns:a16="http://schemas.microsoft.com/office/drawing/2014/main" id="{00000000-0008-0000-0600-000023000000}"/>
            </a:ext>
          </a:extLst>
        </xdr:cNvPr>
        <xdr:cNvSpPr txBox="1"/>
      </xdr:nvSpPr>
      <xdr:spPr>
        <a:xfrm>
          <a:off x="2722336" y="7116536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36" name="ZoneTexte 35">
          <a:extLst>
            <a:ext uri="{FF2B5EF4-FFF2-40B4-BE49-F238E27FC236}">
              <a16:creationId xmlns:a16="http://schemas.microsoft.com/office/drawing/2014/main" id="{00000000-0008-0000-0600-000024000000}"/>
            </a:ext>
          </a:extLst>
        </xdr:cNvPr>
        <xdr:cNvSpPr txBox="1"/>
      </xdr:nvSpPr>
      <xdr:spPr>
        <a:xfrm>
          <a:off x="2722336" y="7116536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37" name="ZoneTexte 36">
          <a:extLst>
            <a:ext uri="{FF2B5EF4-FFF2-40B4-BE49-F238E27FC236}">
              <a16:creationId xmlns:a16="http://schemas.microsoft.com/office/drawing/2014/main" id="{00000000-0008-0000-0600-000025000000}"/>
            </a:ext>
          </a:extLst>
        </xdr:cNvPr>
        <xdr:cNvSpPr txBox="1"/>
      </xdr:nvSpPr>
      <xdr:spPr>
        <a:xfrm>
          <a:off x="2722336" y="7116536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38" name="ZoneTexte 37">
          <a:extLst>
            <a:ext uri="{FF2B5EF4-FFF2-40B4-BE49-F238E27FC236}">
              <a16:creationId xmlns:a16="http://schemas.microsoft.com/office/drawing/2014/main" id="{00000000-0008-0000-0600-000026000000}"/>
            </a:ext>
          </a:extLst>
        </xdr:cNvPr>
        <xdr:cNvSpPr txBox="1"/>
      </xdr:nvSpPr>
      <xdr:spPr>
        <a:xfrm>
          <a:off x="2722336" y="7116536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39" name="ZoneTexte 38">
          <a:extLst>
            <a:ext uri="{FF2B5EF4-FFF2-40B4-BE49-F238E27FC236}">
              <a16:creationId xmlns:a16="http://schemas.microsoft.com/office/drawing/2014/main" id="{00000000-0008-0000-0600-000027000000}"/>
            </a:ext>
          </a:extLst>
        </xdr:cNvPr>
        <xdr:cNvSpPr txBox="1"/>
      </xdr:nvSpPr>
      <xdr:spPr>
        <a:xfrm>
          <a:off x="2722336" y="7361464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40" name="ZoneTexte 39">
          <a:extLst>
            <a:ext uri="{FF2B5EF4-FFF2-40B4-BE49-F238E27FC236}">
              <a16:creationId xmlns:a16="http://schemas.microsoft.com/office/drawing/2014/main" id="{00000000-0008-0000-0600-000028000000}"/>
            </a:ext>
          </a:extLst>
        </xdr:cNvPr>
        <xdr:cNvSpPr txBox="1"/>
      </xdr:nvSpPr>
      <xdr:spPr>
        <a:xfrm>
          <a:off x="2722336" y="7361464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41" name="ZoneTexte 40">
          <a:extLst>
            <a:ext uri="{FF2B5EF4-FFF2-40B4-BE49-F238E27FC236}">
              <a16:creationId xmlns:a16="http://schemas.microsoft.com/office/drawing/2014/main" id="{00000000-0008-0000-0600-000029000000}"/>
            </a:ext>
          </a:extLst>
        </xdr:cNvPr>
        <xdr:cNvSpPr txBox="1"/>
      </xdr:nvSpPr>
      <xdr:spPr>
        <a:xfrm>
          <a:off x="2722336" y="7116536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42" name="ZoneTexte 41">
          <a:extLst>
            <a:ext uri="{FF2B5EF4-FFF2-40B4-BE49-F238E27FC236}">
              <a16:creationId xmlns:a16="http://schemas.microsoft.com/office/drawing/2014/main" id="{00000000-0008-0000-0600-00002A000000}"/>
            </a:ext>
          </a:extLst>
        </xdr:cNvPr>
        <xdr:cNvSpPr txBox="1"/>
      </xdr:nvSpPr>
      <xdr:spPr>
        <a:xfrm>
          <a:off x="2722336" y="7116536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43" name="ZoneTexte 42">
          <a:extLst>
            <a:ext uri="{FF2B5EF4-FFF2-40B4-BE49-F238E27FC236}">
              <a16:creationId xmlns:a16="http://schemas.microsoft.com/office/drawing/2014/main" id="{00000000-0008-0000-0600-00002B000000}"/>
            </a:ext>
          </a:extLst>
        </xdr:cNvPr>
        <xdr:cNvSpPr txBox="1"/>
      </xdr:nvSpPr>
      <xdr:spPr>
        <a:xfrm>
          <a:off x="2722336" y="7116536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44" name="ZoneTexte 43">
          <a:extLst>
            <a:ext uri="{FF2B5EF4-FFF2-40B4-BE49-F238E27FC236}">
              <a16:creationId xmlns:a16="http://schemas.microsoft.com/office/drawing/2014/main" id="{00000000-0008-0000-0600-00002C000000}"/>
            </a:ext>
          </a:extLst>
        </xdr:cNvPr>
        <xdr:cNvSpPr txBox="1"/>
      </xdr:nvSpPr>
      <xdr:spPr>
        <a:xfrm>
          <a:off x="2722336" y="7116536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45" name="ZoneTexte 44">
          <a:extLst>
            <a:ext uri="{FF2B5EF4-FFF2-40B4-BE49-F238E27FC236}">
              <a16:creationId xmlns:a16="http://schemas.microsoft.com/office/drawing/2014/main" id="{00000000-0008-0000-0600-00002D000000}"/>
            </a:ext>
          </a:extLst>
        </xdr:cNvPr>
        <xdr:cNvSpPr txBox="1"/>
      </xdr:nvSpPr>
      <xdr:spPr>
        <a:xfrm>
          <a:off x="2722336" y="7361464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46" name="ZoneTexte 45">
          <a:extLst>
            <a:ext uri="{FF2B5EF4-FFF2-40B4-BE49-F238E27FC236}">
              <a16:creationId xmlns:a16="http://schemas.microsoft.com/office/drawing/2014/main" id="{00000000-0008-0000-0600-00002E000000}"/>
            </a:ext>
          </a:extLst>
        </xdr:cNvPr>
        <xdr:cNvSpPr txBox="1"/>
      </xdr:nvSpPr>
      <xdr:spPr>
        <a:xfrm>
          <a:off x="2722336" y="7361464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47" name="ZoneTexte 46">
          <a:extLst>
            <a:ext uri="{FF2B5EF4-FFF2-40B4-BE49-F238E27FC236}">
              <a16:creationId xmlns:a16="http://schemas.microsoft.com/office/drawing/2014/main" id="{00000000-0008-0000-0600-00002F000000}"/>
            </a:ext>
          </a:extLst>
        </xdr:cNvPr>
        <xdr:cNvSpPr txBox="1"/>
      </xdr:nvSpPr>
      <xdr:spPr>
        <a:xfrm>
          <a:off x="2722336" y="7361464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48" name="ZoneTexte 47">
          <a:extLst>
            <a:ext uri="{FF2B5EF4-FFF2-40B4-BE49-F238E27FC236}">
              <a16:creationId xmlns:a16="http://schemas.microsoft.com/office/drawing/2014/main" id="{00000000-0008-0000-0600-000030000000}"/>
            </a:ext>
          </a:extLst>
        </xdr:cNvPr>
        <xdr:cNvSpPr txBox="1"/>
      </xdr:nvSpPr>
      <xdr:spPr>
        <a:xfrm>
          <a:off x="2722336" y="7361464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49" name="ZoneTexte 48">
          <a:extLst>
            <a:ext uri="{FF2B5EF4-FFF2-40B4-BE49-F238E27FC236}">
              <a16:creationId xmlns:a16="http://schemas.microsoft.com/office/drawing/2014/main" id="{00000000-0008-0000-0600-000031000000}"/>
            </a:ext>
          </a:extLst>
        </xdr:cNvPr>
        <xdr:cNvSpPr txBox="1"/>
      </xdr:nvSpPr>
      <xdr:spPr>
        <a:xfrm>
          <a:off x="2722336" y="7361464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50" name="ZoneTexte 49">
          <a:extLst>
            <a:ext uri="{FF2B5EF4-FFF2-40B4-BE49-F238E27FC236}">
              <a16:creationId xmlns:a16="http://schemas.microsoft.com/office/drawing/2014/main" id="{00000000-0008-0000-0600-000032000000}"/>
            </a:ext>
          </a:extLst>
        </xdr:cNvPr>
        <xdr:cNvSpPr txBox="1"/>
      </xdr:nvSpPr>
      <xdr:spPr>
        <a:xfrm>
          <a:off x="2722336" y="7361464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51" name="ZoneTexte 50">
          <a:extLst>
            <a:ext uri="{FF2B5EF4-FFF2-40B4-BE49-F238E27FC236}">
              <a16:creationId xmlns:a16="http://schemas.microsoft.com/office/drawing/2014/main" id="{00000000-0008-0000-0600-000033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52" name="ZoneTexte 51">
          <a:extLst>
            <a:ext uri="{FF2B5EF4-FFF2-40B4-BE49-F238E27FC236}">
              <a16:creationId xmlns:a16="http://schemas.microsoft.com/office/drawing/2014/main" id="{00000000-0008-0000-0600-000034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53" name="ZoneTexte 52">
          <a:extLst>
            <a:ext uri="{FF2B5EF4-FFF2-40B4-BE49-F238E27FC236}">
              <a16:creationId xmlns:a16="http://schemas.microsoft.com/office/drawing/2014/main" id="{00000000-0008-0000-0600-000035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54" name="ZoneTexte 53">
          <a:extLst>
            <a:ext uri="{FF2B5EF4-FFF2-40B4-BE49-F238E27FC236}">
              <a16:creationId xmlns:a16="http://schemas.microsoft.com/office/drawing/2014/main" id="{00000000-0008-0000-0600-000036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21</xdr:row>
      <xdr:rowOff>0</xdr:rowOff>
    </xdr:from>
    <xdr:ext cx="184731" cy="311803"/>
    <xdr:sp macro="" textlink="">
      <xdr:nvSpPr>
        <xdr:cNvPr id="55" name="ZoneTexte 54">
          <a:extLst>
            <a:ext uri="{FF2B5EF4-FFF2-40B4-BE49-F238E27FC236}">
              <a16:creationId xmlns:a16="http://schemas.microsoft.com/office/drawing/2014/main" id="{00000000-0008-0000-0600-000037000000}"/>
            </a:ext>
          </a:extLst>
        </xdr:cNvPr>
        <xdr:cNvSpPr txBox="1"/>
      </xdr:nvSpPr>
      <xdr:spPr>
        <a:xfrm>
          <a:off x="2722336" y="708932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21</xdr:row>
      <xdr:rowOff>0</xdr:rowOff>
    </xdr:from>
    <xdr:ext cx="184731" cy="311803"/>
    <xdr:sp macro="" textlink="">
      <xdr:nvSpPr>
        <xdr:cNvPr id="56" name="ZoneTexte 55">
          <a:extLst>
            <a:ext uri="{FF2B5EF4-FFF2-40B4-BE49-F238E27FC236}">
              <a16:creationId xmlns:a16="http://schemas.microsoft.com/office/drawing/2014/main" id="{00000000-0008-0000-0600-000038000000}"/>
            </a:ext>
          </a:extLst>
        </xdr:cNvPr>
        <xdr:cNvSpPr txBox="1"/>
      </xdr:nvSpPr>
      <xdr:spPr>
        <a:xfrm>
          <a:off x="2722336" y="708932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57" name="ZoneTexte 56">
          <a:extLst>
            <a:ext uri="{FF2B5EF4-FFF2-40B4-BE49-F238E27FC236}">
              <a16:creationId xmlns:a16="http://schemas.microsoft.com/office/drawing/2014/main" id="{00000000-0008-0000-0600-000039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58" name="ZoneTexte 57">
          <a:extLst>
            <a:ext uri="{FF2B5EF4-FFF2-40B4-BE49-F238E27FC236}">
              <a16:creationId xmlns:a16="http://schemas.microsoft.com/office/drawing/2014/main" id="{00000000-0008-0000-0600-00003A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59" name="ZoneTexte 58">
          <a:extLst>
            <a:ext uri="{FF2B5EF4-FFF2-40B4-BE49-F238E27FC236}">
              <a16:creationId xmlns:a16="http://schemas.microsoft.com/office/drawing/2014/main" id="{00000000-0008-0000-0600-00003B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60" name="ZoneTexte 59">
          <a:extLst>
            <a:ext uri="{FF2B5EF4-FFF2-40B4-BE49-F238E27FC236}">
              <a16:creationId xmlns:a16="http://schemas.microsoft.com/office/drawing/2014/main" id="{00000000-0008-0000-0600-00003C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21</xdr:row>
      <xdr:rowOff>0</xdr:rowOff>
    </xdr:from>
    <xdr:ext cx="184731" cy="311803"/>
    <xdr:sp macro="" textlink="">
      <xdr:nvSpPr>
        <xdr:cNvPr id="61" name="ZoneTexte 60">
          <a:extLst>
            <a:ext uri="{FF2B5EF4-FFF2-40B4-BE49-F238E27FC236}">
              <a16:creationId xmlns:a16="http://schemas.microsoft.com/office/drawing/2014/main" id="{00000000-0008-0000-0600-00003D000000}"/>
            </a:ext>
          </a:extLst>
        </xdr:cNvPr>
        <xdr:cNvSpPr txBox="1"/>
      </xdr:nvSpPr>
      <xdr:spPr>
        <a:xfrm>
          <a:off x="2722336" y="708932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21</xdr:row>
      <xdr:rowOff>0</xdr:rowOff>
    </xdr:from>
    <xdr:ext cx="184731" cy="311803"/>
    <xdr:sp macro="" textlink="">
      <xdr:nvSpPr>
        <xdr:cNvPr id="62" name="ZoneTexte 61">
          <a:extLst>
            <a:ext uri="{FF2B5EF4-FFF2-40B4-BE49-F238E27FC236}">
              <a16:creationId xmlns:a16="http://schemas.microsoft.com/office/drawing/2014/main" id="{00000000-0008-0000-0600-00003E000000}"/>
            </a:ext>
          </a:extLst>
        </xdr:cNvPr>
        <xdr:cNvSpPr txBox="1"/>
      </xdr:nvSpPr>
      <xdr:spPr>
        <a:xfrm>
          <a:off x="2722336" y="708932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21</xdr:row>
      <xdr:rowOff>0</xdr:rowOff>
    </xdr:from>
    <xdr:ext cx="184731" cy="311803"/>
    <xdr:sp macro="" textlink="">
      <xdr:nvSpPr>
        <xdr:cNvPr id="63" name="ZoneTexte 62">
          <a:extLst>
            <a:ext uri="{FF2B5EF4-FFF2-40B4-BE49-F238E27FC236}">
              <a16:creationId xmlns:a16="http://schemas.microsoft.com/office/drawing/2014/main" id="{00000000-0008-0000-0600-00003F000000}"/>
            </a:ext>
          </a:extLst>
        </xdr:cNvPr>
        <xdr:cNvSpPr txBox="1"/>
      </xdr:nvSpPr>
      <xdr:spPr>
        <a:xfrm>
          <a:off x="2722336" y="708932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21</xdr:row>
      <xdr:rowOff>0</xdr:rowOff>
    </xdr:from>
    <xdr:ext cx="184731" cy="311803"/>
    <xdr:sp macro="" textlink="">
      <xdr:nvSpPr>
        <xdr:cNvPr id="64" name="ZoneTexte 63">
          <a:extLst>
            <a:ext uri="{FF2B5EF4-FFF2-40B4-BE49-F238E27FC236}">
              <a16:creationId xmlns:a16="http://schemas.microsoft.com/office/drawing/2014/main" id="{00000000-0008-0000-0600-000040000000}"/>
            </a:ext>
          </a:extLst>
        </xdr:cNvPr>
        <xdr:cNvSpPr txBox="1"/>
      </xdr:nvSpPr>
      <xdr:spPr>
        <a:xfrm>
          <a:off x="2722336" y="708932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21</xdr:row>
      <xdr:rowOff>0</xdr:rowOff>
    </xdr:from>
    <xdr:ext cx="184731" cy="311803"/>
    <xdr:sp macro="" textlink="">
      <xdr:nvSpPr>
        <xdr:cNvPr id="65" name="ZoneTexte 64">
          <a:extLst>
            <a:ext uri="{FF2B5EF4-FFF2-40B4-BE49-F238E27FC236}">
              <a16:creationId xmlns:a16="http://schemas.microsoft.com/office/drawing/2014/main" id="{00000000-0008-0000-0600-000041000000}"/>
            </a:ext>
          </a:extLst>
        </xdr:cNvPr>
        <xdr:cNvSpPr txBox="1"/>
      </xdr:nvSpPr>
      <xdr:spPr>
        <a:xfrm>
          <a:off x="2722336" y="708932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21</xdr:row>
      <xdr:rowOff>0</xdr:rowOff>
    </xdr:from>
    <xdr:ext cx="184731" cy="311803"/>
    <xdr:sp macro="" textlink="">
      <xdr:nvSpPr>
        <xdr:cNvPr id="66" name="ZoneTexte 65">
          <a:extLst>
            <a:ext uri="{FF2B5EF4-FFF2-40B4-BE49-F238E27FC236}">
              <a16:creationId xmlns:a16="http://schemas.microsoft.com/office/drawing/2014/main" id="{00000000-0008-0000-0600-000042000000}"/>
            </a:ext>
          </a:extLst>
        </xdr:cNvPr>
        <xdr:cNvSpPr txBox="1"/>
      </xdr:nvSpPr>
      <xdr:spPr>
        <a:xfrm>
          <a:off x="2722336" y="708932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67" name="ZoneTexte 66">
          <a:extLst>
            <a:ext uri="{FF2B5EF4-FFF2-40B4-BE49-F238E27FC236}">
              <a16:creationId xmlns:a16="http://schemas.microsoft.com/office/drawing/2014/main" id="{00000000-0008-0000-0600-000043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68" name="ZoneTexte 67">
          <a:extLst>
            <a:ext uri="{FF2B5EF4-FFF2-40B4-BE49-F238E27FC236}">
              <a16:creationId xmlns:a16="http://schemas.microsoft.com/office/drawing/2014/main" id="{00000000-0008-0000-0600-000044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69" name="ZoneTexte 68">
          <a:extLst>
            <a:ext uri="{FF2B5EF4-FFF2-40B4-BE49-F238E27FC236}">
              <a16:creationId xmlns:a16="http://schemas.microsoft.com/office/drawing/2014/main" id="{00000000-0008-0000-0600-000045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70" name="ZoneTexte 69">
          <a:extLst>
            <a:ext uri="{FF2B5EF4-FFF2-40B4-BE49-F238E27FC236}">
              <a16:creationId xmlns:a16="http://schemas.microsoft.com/office/drawing/2014/main" id="{00000000-0008-0000-0600-000046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71" name="ZoneTexte 70">
          <a:extLst>
            <a:ext uri="{FF2B5EF4-FFF2-40B4-BE49-F238E27FC236}">
              <a16:creationId xmlns:a16="http://schemas.microsoft.com/office/drawing/2014/main" id="{00000000-0008-0000-0600-000047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72" name="ZoneTexte 71">
          <a:extLst>
            <a:ext uri="{FF2B5EF4-FFF2-40B4-BE49-F238E27FC236}">
              <a16:creationId xmlns:a16="http://schemas.microsoft.com/office/drawing/2014/main" id="{00000000-0008-0000-0600-000048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73" name="ZoneTexte 72">
          <a:extLst>
            <a:ext uri="{FF2B5EF4-FFF2-40B4-BE49-F238E27FC236}">
              <a16:creationId xmlns:a16="http://schemas.microsoft.com/office/drawing/2014/main" id="{00000000-0008-0000-0600-000049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74" name="ZoneTexte 73">
          <a:extLst>
            <a:ext uri="{FF2B5EF4-FFF2-40B4-BE49-F238E27FC236}">
              <a16:creationId xmlns:a16="http://schemas.microsoft.com/office/drawing/2014/main" id="{00000000-0008-0000-0600-00004A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75" name="ZoneTexte 74">
          <a:extLst>
            <a:ext uri="{FF2B5EF4-FFF2-40B4-BE49-F238E27FC236}">
              <a16:creationId xmlns:a16="http://schemas.microsoft.com/office/drawing/2014/main" id="{00000000-0008-0000-0600-00004B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76" name="ZoneTexte 75">
          <a:extLst>
            <a:ext uri="{FF2B5EF4-FFF2-40B4-BE49-F238E27FC236}">
              <a16:creationId xmlns:a16="http://schemas.microsoft.com/office/drawing/2014/main" id="{00000000-0008-0000-0600-00004C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77" name="ZoneTexte 76">
          <a:extLst>
            <a:ext uri="{FF2B5EF4-FFF2-40B4-BE49-F238E27FC236}">
              <a16:creationId xmlns:a16="http://schemas.microsoft.com/office/drawing/2014/main" id="{00000000-0008-0000-0600-00004D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78" name="ZoneTexte 77">
          <a:extLst>
            <a:ext uri="{FF2B5EF4-FFF2-40B4-BE49-F238E27FC236}">
              <a16:creationId xmlns:a16="http://schemas.microsoft.com/office/drawing/2014/main" id="{00000000-0008-0000-0600-00004E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79" name="ZoneTexte 78">
          <a:extLst>
            <a:ext uri="{FF2B5EF4-FFF2-40B4-BE49-F238E27FC236}">
              <a16:creationId xmlns:a16="http://schemas.microsoft.com/office/drawing/2014/main" id="{00000000-0008-0000-0600-00004F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80" name="ZoneTexte 79">
          <a:extLst>
            <a:ext uri="{FF2B5EF4-FFF2-40B4-BE49-F238E27FC236}">
              <a16:creationId xmlns:a16="http://schemas.microsoft.com/office/drawing/2014/main" id="{00000000-0008-0000-0600-000050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81" name="ZoneTexte 80">
          <a:extLst>
            <a:ext uri="{FF2B5EF4-FFF2-40B4-BE49-F238E27FC236}">
              <a16:creationId xmlns:a16="http://schemas.microsoft.com/office/drawing/2014/main" id="{00000000-0008-0000-0600-000051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82" name="ZoneTexte 81">
          <a:extLst>
            <a:ext uri="{FF2B5EF4-FFF2-40B4-BE49-F238E27FC236}">
              <a16:creationId xmlns:a16="http://schemas.microsoft.com/office/drawing/2014/main" id="{00000000-0008-0000-0600-000052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83" name="ZoneTexte 82">
          <a:extLst>
            <a:ext uri="{FF2B5EF4-FFF2-40B4-BE49-F238E27FC236}">
              <a16:creationId xmlns:a16="http://schemas.microsoft.com/office/drawing/2014/main" id="{00000000-0008-0000-0600-000053000000}"/>
            </a:ext>
          </a:extLst>
        </xdr:cNvPr>
        <xdr:cNvSpPr txBox="1"/>
      </xdr:nvSpPr>
      <xdr:spPr>
        <a:xfrm>
          <a:off x="2722336" y="6354536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84" name="ZoneTexte 83">
          <a:extLst>
            <a:ext uri="{FF2B5EF4-FFF2-40B4-BE49-F238E27FC236}">
              <a16:creationId xmlns:a16="http://schemas.microsoft.com/office/drawing/2014/main" id="{00000000-0008-0000-0600-000054000000}"/>
            </a:ext>
          </a:extLst>
        </xdr:cNvPr>
        <xdr:cNvSpPr txBox="1"/>
      </xdr:nvSpPr>
      <xdr:spPr>
        <a:xfrm>
          <a:off x="2722336" y="6354536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85" name="ZoneTexte 84">
          <a:extLst>
            <a:ext uri="{FF2B5EF4-FFF2-40B4-BE49-F238E27FC236}">
              <a16:creationId xmlns:a16="http://schemas.microsoft.com/office/drawing/2014/main" id="{00000000-0008-0000-0600-000055000000}"/>
            </a:ext>
          </a:extLst>
        </xdr:cNvPr>
        <xdr:cNvSpPr txBox="1"/>
      </xdr:nvSpPr>
      <xdr:spPr>
        <a:xfrm>
          <a:off x="2722336" y="6354536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86" name="ZoneTexte 85">
          <a:extLst>
            <a:ext uri="{FF2B5EF4-FFF2-40B4-BE49-F238E27FC236}">
              <a16:creationId xmlns:a16="http://schemas.microsoft.com/office/drawing/2014/main" id="{00000000-0008-0000-0600-000056000000}"/>
            </a:ext>
          </a:extLst>
        </xdr:cNvPr>
        <xdr:cNvSpPr txBox="1"/>
      </xdr:nvSpPr>
      <xdr:spPr>
        <a:xfrm>
          <a:off x="2722336" y="6354536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87" name="ZoneTexte 86">
          <a:extLst>
            <a:ext uri="{FF2B5EF4-FFF2-40B4-BE49-F238E27FC236}">
              <a16:creationId xmlns:a16="http://schemas.microsoft.com/office/drawing/2014/main" id="{00000000-0008-0000-0600-000057000000}"/>
            </a:ext>
          </a:extLst>
        </xdr:cNvPr>
        <xdr:cNvSpPr txBox="1"/>
      </xdr:nvSpPr>
      <xdr:spPr>
        <a:xfrm>
          <a:off x="2722336" y="6354536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88" name="ZoneTexte 87">
          <a:extLst>
            <a:ext uri="{FF2B5EF4-FFF2-40B4-BE49-F238E27FC236}">
              <a16:creationId xmlns:a16="http://schemas.microsoft.com/office/drawing/2014/main" id="{00000000-0008-0000-0600-000058000000}"/>
            </a:ext>
          </a:extLst>
        </xdr:cNvPr>
        <xdr:cNvSpPr txBox="1"/>
      </xdr:nvSpPr>
      <xdr:spPr>
        <a:xfrm>
          <a:off x="2722336" y="6354536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89" name="ZoneTexte 88">
          <a:extLst>
            <a:ext uri="{FF2B5EF4-FFF2-40B4-BE49-F238E27FC236}">
              <a16:creationId xmlns:a16="http://schemas.microsoft.com/office/drawing/2014/main" id="{00000000-0008-0000-0600-000059000000}"/>
            </a:ext>
          </a:extLst>
        </xdr:cNvPr>
        <xdr:cNvSpPr txBox="1"/>
      </xdr:nvSpPr>
      <xdr:spPr>
        <a:xfrm>
          <a:off x="2722336" y="6354536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90" name="ZoneTexte 89">
          <a:extLst>
            <a:ext uri="{FF2B5EF4-FFF2-40B4-BE49-F238E27FC236}">
              <a16:creationId xmlns:a16="http://schemas.microsoft.com/office/drawing/2014/main" id="{00000000-0008-0000-0600-00005A000000}"/>
            </a:ext>
          </a:extLst>
        </xdr:cNvPr>
        <xdr:cNvSpPr txBox="1"/>
      </xdr:nvSpPr>
      <xdr:spPr>
        <a:xfrm>
          <a:off x="2722336" y="6354536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91" name="ZoneTexte 90">
          <a:extLst>
            <a:ext uri="{FF2B5EF4-FFF2-40B4-BE49-F238E27FC236}">
              <a16:creationId xmlns:a16="http://schemas.microsoft.com/office/drawing/2014/main" id="{00000000-0008-0000-0600-00005B000000}"/>
            </a:ext>
          </a:extLst>
        </xdr:cNvPr>
        <xdr:cNvSpPr txBox="1"/>
      </xdr:nvSpPr>
      <xdr:spPr>
        <a:xfrm>
          <a:off x="2722336" y="6354536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92" name="ZoneTexte 91">
          <a:extLst>
            <a:ext uri="{FF2B5EF4-FFF2-40B4-BE49-F238E27FC236}">
              <a16:creationId xmlns:a16="http://schemas.microsoft.com/office/drawing/2014/main" id="{00000000-0008-0000-0600-00005C000000}"/>
            </a:ext>
          </a:extLst>
        </xdr:cNvPr>
        <xdr:cNvSpPr txBox="1"/>
      </xdr:nvSpPr>
      <xdr:spPr>
        <a:xfrm>
          <a:off x="2722336" y="6354536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93" name="ZoneTexte 92">
          <a:extLst>
            <a:ext uri="{FF2B5EF4-FFF2-40B4-BE49-F238E27FC236}">
              <a16:creationId xmlns:a16="http://schemas.microsoft.com/office/drawing/2014/main" id="{00000000-0008-0000-0600-00005D000000}"/>
            </a:ext>
          </a:extLst>
        </xdr:cNvPr>
        <xdr:cNvSpPr txBox="1"/>
      </xdr:nvSpPr>
      <xdr:spPr>
        <a:xfrm>
          <a:off x="2722336" y="7647214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94" name="ZoneTexte 93">
          <a:extLst>
            <a:ext uri="{FF2B5EF4-FFF2-40B4-BE49-F238E27FC236}">
              <a16:creationId xmlns:a16="http://schemas.microsoft.com/office/drawing/2014/main" id="{00000000-0008-0000-0600-00005E000000}"/>
            </a:ext>
          </a:extLst>
        </xdr:cNvPr>
        <xdr:cNvSpPr txBox="1"/>
      </xdr:nvSpPr>
      <xdr:spPr>
        <a:xfrm>
          <a:off x="2722336" y="7647214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95" name="ZoneTexte 94">
          <a:extLst>
            <a:ext uri="{FF2B5EF4-FFF2-40B4-BE49-F238E27FC236}">
              <a16:creationId xmlns:a16="http://schemas.microsoft.com/office/drawing/2014/main" id="{00000000-0008-0000-0600-00005F000000}"/>
            </a:ext>
          </a:extLst>
        </xdr:cNvPr>
        <xdr:cNvSpPr txBox="1"/>
      </xdr:nvSpPr>
      <xdr:spPr>
        <a:xfrm>
          <a:off x="2722336" y="7647214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96" name="ZoneTexte 95">
          <a:extLst>
            <a:ext uri="{FF2B5EF4-FFF2-40B4-BE49-F238E27FC236}">
              <a16:creationId xmlns:a16="http://schemas.microsoft.com/office/drawing/2014/main" id="{00000000-0008-0000-0600-000060000000}"/>
            </a:ext>
          </a:extLst>
        </xdr:cNvPr>
        <xdr:cNvSpPr txBox="1"/>
      </xdr:nvSpPr>
      <xdr:spPr>
        <a:xfrm>
          <a:off x="2722336" y="7647214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97" name="ZoneTexte 96">
          <a:extLst>
            <a:ext uri="{FF2B5EF4-FFF2-40B4-BE49-F238E27FC236}">
              <a16:creationId xmlns:a16="http://schemas.microsoft.com/office/drawing/2014/main" id="{00000000-0008-0000-0600-000061000000}"/>
            </a:ext>
          </a:extLst>
        </xdr:cNvPr>
        <xdr:cNvSpPr txBox="1"/>
      </xdr:nvSpPr>
      <xdr:spPr>
        <a:xfrm>
          <a:off x="2722336" y="708932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98" name="ZoneTexte 97">
          <a:extLst>
            <a:ext uri="{FF2B5EF4-FFF2-40B4-BE49-F238E27FC236}">
              <a16:creationId xmlns:a16="http://schemas.microsoft.com/office/drawing/2014/main" id="{00000000-0008-0000-0600-000062000000}"/>
            </a:ext>
          </a:extLst>
        </xdr:cNvPr>
        <xdr:cNvSpPr txBox="1"/>
      </xdr:nvSpPr>
      <xdr:spPr>
        <a:xfrm>
          <a:off x="2722336" y="708932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99" name="ZoneTexte 98">
          <a:extLst>
            <a:ext uri="{FF2B5EF4-FFF2-40B4-BE49-F238E27FC236}">
              <a16:creationId xmlns:a16="http://schemas.microsoft.com/office/drawing/2014/main" id="{00000000-0008-0000-0600-000063000000}"/>
            </a:ext>
          </a:extLst>
        </xdr:cNvPr>
        <xdr:cNvSpPr txBox="1"/>
      </xdr:nvSpPr>
      <xdr:spPr>
        <a:xfrm>
          <a:off x="2722336" y="708932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00" name="ZoneTexte 99">
          <a:extLst>
            <a:ext uri="{FF2B5EF4-FFF2-40B4-BE49-F238E27FC236}">
              <a16:creationId xmlns:a16="http://schemas.microsoft.com/office/drawing/2014/main" id="{00000000-0008-0000-0600-000064000000}"/>
            </a:ext>
          </a:extLst>
        </xdr:cNvPr>
        <xdr:cNvSpPr txBox="1"/>
      </xdr:nvSpPr>
      <xdr:spPr>
        <a:xfrm>
          <a:off x="2722336" y="708932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01" name="ZoneTexte 100">
          <a:extLst>
            <a:ext uri="{FF2B5EF4-FFF2-40B4-BE49-F238E27FC236}">
              <a16:creationId xmlns:a16="http://schemas.microsoft.com/office/drawing/2014/main" id="{00000000-0008-0000-0600-000065000000}"/>
            </a:ext>
          </a:extLst>
        </xdr:cNvPr>
        <xdr:cNvSpPr txBox="1"/>
      </xdr:nvSpPr>
      <xdr:spPr>
        <a:xfrm>
          <a:off x="2722336" y="708932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02" name="ZoneTexte 101">
          <a:extLst>
            <a:ext uri="{FF2B5EF4-FFF2-40B4-BE49-F238E27FC236}">
              <a16:creationId xmlns:a16="http://schemas.microsoft.com/office/drawing/2014/main" id="{00000000-0008-0000-0600-000066000000}"/>
            </a:ext>
          </a:extLst>
        </xdr:cNvPr>
        <xdr:cNvSpPr txBox="1"/>
      </xdr:nvSpPr>
      <xdr:spPr>
        <a:xfrm>
          <a:off x="2722336" y="708932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03" name="ZoneTexte 102">
          <a:extLst>
            <a:ext uri="{FF2B5EF4-FFF2-40B4-BE49-F238E27FC236}">
              <a16:creationId xmlns:a16="http://schemas.microsoft.com/office/drawing/2014/main" id="{00000000-0008-0000-0600-000067000000}"/>
            </a:ext>
          </a:extLst>
        </xdr:cNvPr>
        <xdr:cNvSpPr txBox="1"/>
      </xdr:nvSpPr>
      <xdr:spPr>
        <a:xfrm>
          <a:off x="2722336" y="708932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04" name="ZoneTexte 103">
          <a:extLst>
            <a:ext uri="{FF2B5EF4-FFF2-40B4-BE49-F238E27FC236}">
              <a16:creationId xmlns:a16="http://schemas.microsoft.com/office/drawing/2014/main" id="{00000000-0008-0000-0600-000068000000}"/>
            </a:ext>
          </a:extLst>
        </xdr:cNvPr>
        <xdr:cNvSpPr txBox="1"/>
      </xdr:nvSpPr>
      <xdr:spPr>
        <a:xfrm>
          <a:off x="2722336" y="708932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05" name="ZoneTexte 104">
          <a:extLst>
            <a:ext uri="{FF2B5EF4-FFF2-40B4-BE49-F238E27FC236}">
              <a16:creationId xmlns:a16="http://schemas.microsoft.com/office/drawing/2014/main" id="{00000000-0008-0000-0600-000069000000}"/>
            </a:ext>
          </a:extLst>
        </xdr:cNvPr>
        <xdr:cNvSpPr txBox="1"/>
      </xdr:nvSpPr>
      <xdr:spPr>
        <a:xfrm>
          <a:off x="2722336" y="708932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06" name="ZoneTexte 105">
          <a:extLst>
            <a:ext uri="{FF2B5EF4-FFF2-40B4-BE49-F238E27FC236}">
              <a16:creationId xmlns:a16="http://schemas.microsoft.com/office/drawing/2014/main" id="{00000000-0008-0000-0600-00006A000000}"/>
            </a:ext>
          </a:extLst>
        </xdr:cNvPr>
        <xdr:cNvSpPr txBox="1"/>
      </xdr:nvSpPr>
      <xdr:spPr>
        <a:xfrm>
          <a:off x="2722336" y="708932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07" name="ZoneTexte 106">
          <a:extLst>
            <a:ext uri="{FF2B5EF4-FFF2-40B4-BE49-F238E27FC236}">
              <a16:creationId xmlns:a16="http://schemas.microsoft.com/office/drawing/2014/main" id="{00000000-0008-0000-0600-00006B000000}"/>
            </a:ext>
          </a:extLst>
        </xdr:cNvPr>
        <xdr:cNvSpPr txBox="1"/>
      </xdr:nvSpPr>
      <xdr:spPr>
        <a:xfrm>
          <a:off x="2722336" y="708932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08" name="ZoneTexte 107">
          <a:extLst>
            <a:ext uri="{FF2B5EF4-FFF2-40B4-BE49-F238E27FC236}">
              <a16:creationId xmlns:a16="http://schemas.microsoft.com/office/drawing/2014/main" id="{00000000-0008-0000-0600-00006C000000}"/>
            </a:ext>
          </a:extLst>
        </xdr:cNvPr>
        <xdr:cNvSpPr txBox="1"/>
      </xdr:nvSpPr>
      <xdr:spPr>
        <a:xfrm>
          <a:off x="2722336" y="708932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09" name="ZoneTexte 108">
          <a:extLst>
            <a:ext uri="{FF2B5EF4-FFF2-40B4-BE49-F238E27FC236}">
              <a16:creationId xmlns:a16="http://schemas.microsoft.com/office/drawing/2014/main" id="{00000000-0008-0000-0600-00006D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10" name="ZoneTexte 109">
          <a:extLst>
            <a:ext uri="{FF2B5EF4-FFF2-40B4-BE49-F238E27FC236}">
              <a16:creationId xmlns:a16="http://schemas.microsoft.com/office/drawing/2014/main" id="{00000000-0008-0000-0600-00006E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11" name="ZoneTexte 110">
          <a:extLst>
            <a:ext uri="{FF2B5EF4-FFF2-40B4-BE49-F238E27FC236}">
              <a16:creationId xmlns:a16="http://schemas.microsoft.com/office/drawing/2014/main" id="{00000000-0008-0000-0600-00006F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12" name="ZoneTexte 111">
          <a:extLst>
            <a:ext uri="{FF2B5EF4-FFF2-40B4-BE49-F238E27FC236}">
              <a16:creationId xmlns:a16="http://schemas.microsoft.com/office/drawing/2014/main" id="{00000000-0008-0000-0600-000070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13" name="ZoneTexte 112">
          <a:extLst>
            <a:ext uri="{FF2B5EF4-FFF2-40B4-BE49-F238E27FC236}">
              <a16:creationId xmlns:a16="http://schemas.microsoft.com/office/drawing/2014/main" id="{00000000-0008-0000-0600-000071000000}"/>
            </a:ext>
          </a:extLst>
        </xdr:cNvPr>
        <xdr:cNvSpPr txBox="1"/>
      </xdr:nvSpPr>
      <xdr:spPr>
        <a:xfrm>
          <a:off x="2722336" y="708932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14" name="ZoneTexte 113">
          <a:extLst>
            <a:ext uri="{FF2B5EF4-FFF2-40B4-BE49-F238E27FC236}">
              <a16:creationId xmlns:a16="http://schemas.microsoft.com/office/drawing/2014/main" id="{00000000-0008-0000-0600-000072000000}"/>
            </a:ext>
          </a:extLst>
        </xdr:cNvPr>
        <xdr:cNvSpPr txBox="1"/>
      </xdr:nvSpPr>
      <xdr:spPr>
        <a:xfrm>
          <a:off x="2722336" y="708932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15" name="ZoneTexte 114">
          <a:extLst>
            <a:ext uri="{FF2B5EF4-FFF2-40B4-BE49-F238E27FC236}">
              <a16:creationId xmlns:a16="http://schemas.microsoft.com/office/drawing/2014/main" id="{00000000-0008-0000-0600-000073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16" name="ZoneTexte 115">
          <a:extLst>
            <a:ext uri="{FF2B5EF4-FFF2-40B4-BE49-F238E27FC236}">
              <a16:creationId xmlns:a16="http://schemas.microsoft.com/office/drawing/2014/main" id="{00000000-0008-0000-0600-000074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17" name="ZoneTexte 116">
          <a:extLst>
            <a:ext uri="{FF2B5EF4-FFF2-40B4-BE49-F238E27FC236}">
              <a16:creationId xmlns:a16="http://schemas.microsoft.com/office/drawing/2014/main" id="{00000000-0008-0000-0600-000075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18" name="ZoneTexte 117">
          <a:extLst>
            <a:ext uri="{FF2B5EF4-FFF2-40B4-BE49-F238E27FC236}">
              <a16:creationId xmlns:a16="http://schemas.microsoft.com/office/drawing/2014/main" id="{00000000-0008-0000-0600-000076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19" name="ZoneTexte 118">
          <a:extLst>
            <a:ext uri="{FF2B5EF4-FFF2-40B4-BE49-F238E27FC236}">
              <a16:creationId xmlns:a16="http://schemas.microsoft.com/office/drawing/2014/main" id="{00000000-0008-0000-0600-000077000000}"/>
            </a:ext>
          </a:extLst>
        </xdr:cNvPr>
        <xdr:cNvSpPr txBox="1"/>
      </xdr:nvSpPr>
      <xdr:spPr>
        <a:xfrm>
          <a:off x="2722336" y="708932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20" name="ZoneTexte 119">
          <a:extLst>
            <a:ext uri="{FF2B5EF4-FFF2-40B4-BE49-F238E27FC236}">
              <a16:creationId xmlns:a16="http://schemas.microsoft.com/office/drawing/2014/main" id="{00000000-0008-0000-0600-000078000000}"/>
            </a:ext>
          </a:extLst>
        </xdr:cNvPr>
        <xdr:cNvSpPr txBox="1"/>
      </xdr:nvSpPr>
      <xdr:spPr>
        <a:xfrm>
          <a:off x="2722336" y="708932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21" name="ZoneTexte 120">
          <a:extLst>
            <a:ext uri="{FF2B5EF4-FFF2-40B4-BE49-F238E27FC236}">
              <a16:creationId xmlns:a16="http://schemas.microsoft.com/office/drawing/2014/main" id="{00000000-0008-0000-0600-000079000000}"/>
            </a:ext>
          </a:extLst>
        </xdr:cNvPr>
        <xdr:cNvSpPr txBox="1"/>
      </xdr:nvSpPr>
      <xdr:spPr>
        <a:xfrm>
          <a:off x="2722336" y="708932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22" name="ZoneTexte 121">
          <a:extLst>
            <a:ext uri="{FF2B5EF4-FFF2-40B4-BE49-F238E27FC236}">
              <a16:creationId xmlns:a16="http://schemas.microsoft.com/office/drawing/2014/main" id="{00000000-0008-0000-0600-00007A000000}"/>
            </a:ext>
          </a:extLst>
        </xdr:cNvPr>
        <xdr:cNvSpPr txBox="1"/>
      </xdr:nvSpPr>
      <xdr:spPr>
        <a:xfrm>
          <a:off x="2722336" y="708932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23" name="ZoneTexte 122">
          <a:extLst>
            <a:ext uri="{FF2B5EF4-FFF2-40B4-BE49-F238E27FC236}">
              <a16:creationId xmlns:a16="http://schemas.microsoft.com/office/drawing/2014/main" id="{00000000-0008-0000-0600-00007B000000}"/>
            </a:ext>
          </a:extLst>
        </xdr:cNvPr>
        <xdr:cNvSpPr txBox="1"/>
      </xdr:nvSpPr>
      <xdr:spPr>
        <a:xfrm>
          <a:off x="2722336" y="708932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24" name="ZoneTexte 123">
          <a:extLst>
            <a:ext uri="{FF2B5EF4-FFF2-40B4-BE49-F238E27FC236}">
              <a16:creationId xmlns:a16="http://schemas.microsoft.com/office/drawing/2014/main" id="{00000000-0008-0000-0600-00007C000000}"/>
            </a:ext>
          </a:extLst>
        </xdr:cNvPr>
        <xdr:cNvSpPr txBox="1"/>
      </xdr:nvSpPr>
      <xdr:spPr>
        <a:xfrm>
          <a:off x="2722336" y="708932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25" name="ZoneTexte 124">
          <a:extLst>
            <a:ext uri="{FF2B5EF4-FFF2-40B4-BE49-F238E27FC236}">
              <a16:creationId xmlns:a16="http://schemas.microsoft.com/office/drawing/2014/main" id="{00000000-0008-0000-0600-00007D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26" name="ZoneTexte 125">
          <a:extLst>
            <a:ext uri="{FF2B5EF4-FFF2-40B4-BE49-F238E27FC236}">
              <a16:creationId xmlns:a16="http://schemas.microsoft.com/office/drawing/2014/main" id="{00000000-0008-0000-0600-00007E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27" name="ZoneTexte 126">
          <a:extLst>
            <a:ext uri="{FF2B5EF4-FFF2-40B4-BE49-F238E27FC236}">
              <a16:creationId xmlns:a16="http://schemas.microsoft.com/office/drawing/2014/main" id="{00000000-0008-0000-0600-00007F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28" name="ZoneTexte 127">
          <a:extLst>
            <a:ext uri="{FF2B5EF4-FFF2-40B4-BE49-F238E27FC236}">
              <a16:creationId xmlns:a16="http://schemas.microsoft.com/office/drawing/2014/main" id="{00000000-0008-0000-0600-000080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29" name="ZoneTexte 128">
          <a:extLst>
            <a:ext uri="{FF2B5EF4-FFF2-40B4-BE49-F238E27FC236}">
              <a16:creationId xmlns:a16="http://schemas.microsoft.com/office/drawing/2014/main" id="{00000000-0008-0000-0600-000081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30" name="ZoneTexte 129">
          <a:extLst>
            <a:ext uri="{FF2B5EF4-FFF2-40B4-BE49-F238E27FC236}">
              <a16:creationId xmlns:a16="http://schemas.microsoft.com/office/drawing/2014/main" id="{00000000-0008-0000-0600-000082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31" name="ZoneTexte 130">
          <a:extLst>
            <a:ext uri="{FF2B5EF4-FFF2-40B4-BE49-F238E27FC236}">
              <a16:creationId xmlns:a16="http://schemas.microsoft.com/office/drawing/2014/main" id="{00000000-0008-0000-0600-000083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32" name="ZoneTexte 131">
          <a:extLst>
            <a:ext uri="{FF2B5EF4-FFF2-40B4-BE49-F238E27FC236}">
              <a16:creationId xmlns:a16="http://schemas.microsoft.com/office/drawing/2014/main" id="{00000000-0008-0000-0600-000084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33" name="ZoneTexte 132">
          <a:extLst>
            <a:ext uri="{FF2B5EF4-FFF2-40B4-BE49-F238E27FC236}">
              <a16:creationId xmlns:a16="http://schemas.microsoft.com/office/drawing/2014/main" id="{00000000-0008-0000-0600-000085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34" name="ZoneTexte 133">
          <a:extLst>
            <a:ext uri="{FF2B5EF4-FFF2-40B4-BE49-F238E27FC236}">
              <a16:creationId xmlns:a16="http://schemas.microsoft.com/office/drawing/2014/main" id="{00000000-0008-0000-0600-000086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35" name="ZoneTexte 134">
          <a:extLst>
            <a:ext uri="{FF2B5EF4-FFF2-40B4-BE49-F238E27FC236}">
              <a16:creationId xmlns:a16="http://schemas.microsoft.com/office/drawing/2014/main" id="{00000000-0008-0000-0600-000087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36" name="ZoneTexte 135">
          <a:extLst>
            <a:ext uri="{FF2B5EF4-FFF2-40B4-BE49-F238E27FC236}">
              <a16:creationId xmlns:a16="http://schemas.microsoft.com/office/drawing/2014/main" id="{00000000-0008-0000-0600-000088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37" name="ZoneTexte 136">
          <a:extLst>
            <a:ext uri="{FF2B5EF4-FFF2-40B4-BE49-F238E27FC236}">
              <a16:creationId xmlns:a16="http://schemas.microsoft.com/office/drawing/2014/main" id="{00000000-0008-0000-0600-000089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38" name="ZoneTexte 137">
          <a:extLst>
            <a:ext uri="{FF2B5EF4-FFF2-40B4-BE49-F238E27FC236}">
              <a16:creationId xmlns:a16="http://schemas.microsoft.com/office/drawing/2014/main" id="{00000000-0008-0000-0600-00008A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39" name="ZoneTexte 138">
          <a:extLst>
            <a:ext uri="{FF2B5EF4-FFF2-40B4-BE49-F238E27FC236}">
              <a16:creationId xmlns:a16="http://schemas.microsoft.com/office/drawing/2014/main" id="{00000000-0008-0000-0600-00008B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40" name="ZoneTexte 139">
          <a:extLst>
            <a:ext uri="{FF2B5EF4-FFF2-40B4-BE49-F238E27FC236}">
              <a16:creationId xmlns:a16="http://schemas.microsoft.com/office/drawing/2014/main" id="{00000000-0008-0000-0600-00008C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41" name="ZoneTexte 140">
          <a:extLst>
            <a:ext uri="{FF2B5EF4-FFF2-40B4-BE49-F238E27FC236}">
              <a16:creationId xmlns:a16="http://schemas.microsoft.com/office/drawing/2014/main" id="{00000000-0008-0000-0600-00008D000000}"/>
            </a:ext>
          </a:extLst>
        </xdr:cNvPr>
        <xdr:cNvSpPr txBox="1"/>
      </xdr:nvSpPr>
      <xdr:spPr>
        <a:xfrm>
          <a:off x="2722336" y="708932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42" name="ZoneTexte 141">
          <a:extLst>
            <a:ext uri="{FF2B5EF4-FFF2-40B4-BE49-F238E27FC236}">
              <a16:creationId xmlns:a16="http://schemas.microsoft.com/office/drawing/2014/main" id="{00000000-0008-0000-0600-00008E000000}"/>
            </a:ext>
          </a:extLst>
        </xdr:cNvPr>
        <xdr:cNvSpPr txBox="1"/>
      </xdr:nvSpPr>
      <xdr:spPr>
        <a:xfrm>
          <a:off x="2722336" y="708932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43" name="ZoneTexte 142">
          <a:extLst>
            <a:ext uri="{FF2B5EF4-FFF2-40B4-BE49-F238E27FC236}">
              <a16:creationId xmlns:a16="http://schemas.microsoft.com/office/drawing/2014/main" id="{00000000-0008-0000-0600-00008F000000}"/>
            </a:ext>
          </a:extLst>
        </xdr:cNvPr>
        <xdr:cNvSpPr txBox="1"/>
      </xdr:nvSpPr>
      <xdr:spPr>
        <a:xfrm>
          <a:off x="2722336" y="708932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44" name="ZoneTexte 143">
          <a:extLst>
            <a:ext uri="{FF2B5EF4-FFF2-40B4-BE49-F238E27FC236}">
              <a16:creationId xmlns:a16="http://schemas.microsoft.com/office/drawing/2014/main" id="{00000000-0008-0000-0600-000090000000}"/>
            </a:ext>
          </a:extLst>
        </xdr:cNvPr>
        <xdr:cNvSpPr txBox="1"/>
      </xdr:nvSpPr>
      <xdr:spPr>
        <a:xfrm>
          <a:off x="2722336" y="708932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45" name="ZoneTexte 144">
          <a:extLst>
            <a:ext uri="{FF2B5EF4-FFF2-40B4-BE49-F238E27FC236}">
              <a16:creationId xmlns:a16="http://schemas.microsoft.com/office/drawing/2014/main" id="{00000000-0008-0000-0600-000091000000}"/>
            </a:ext>
          </a:extLst>
        </xdr:cNvPr>
        <xdr:cNvSpPr txBox="1"/>
      </xdr:nvSpPr>
      <xdr:spPr>
        <a:xfrm>
          <a:off x="2722336" y="889907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46" name="ZoneTexte 145">
          <a:extLst>
            <a:ext uri="{FF2B5EF4-FFF2-40B4-BE49-F238E27FC236}">
              <a16:creationId xmlns:a16="http://schemas.microsoft.com/office/drawing/2014/main" id="{00000000-0008-0000-0600-000092000000}"/>
            </a:ext>
          </a:extLst>
        </xdr:cNvPr>
        <xdr:cNvSpPr txBox="1"/>
      </xdr:nvSpPr>
      <xdr:spPr>
        <a:xfrm>
          <a:off x="2722336" y="889907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47" name="ZoneTexte 146">
          <a:extLst>
            <a:ext uri="{FF2B5EF4-FFF2-40B4-BE49-F238E27FC236}">
              <a16:creationId xmlns:a16="http://schemas.microsoft.com/office/drawing/2014/main" id="{00000000-0008-0000-0600-000093000000}"/>
            </a:ext>
          </a:extLst>
        </xdr:cNvPr>
        <xdr:cNvSpPr txBox="1"/>
      </xdr:nvSpPr>
      <xdr:spPr>
        <a:xfrm>
          <a:off x="2722336" y="889907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48" name="ZoneTexte 147">
          <a:extLst>
            <a:ext uri="{FF2B5EF4-FFF2-40B4-BE49-F238E27FC236}">
              <a16:creationId xmlns:a16="http://schemas.microsoft.com/office/drawing/2014/main" id="{00000000-0008-0000-0600-000094000000}"/>
            </a:ext>
          </a:extLst>
        </xdr:cNvPr>
        <xdr:cNvSpPr txBox="1"/>
      </xdr:nvSpPr>
      <xdr:spPr>
        <a:xfrm>
          <a:off x="2722336" y="889907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49" name="ZoneTexte 148">
          <a:extLst>
            <a:ext uri="{FF2B5EF4-FFF2-40B4-BE49-F238E27FC236}">
              <a16:creationId xmlns:a16="http://schemas.microsoft.com/office/drawing/2014/main" id="{00000000-0008-0000-0600-000095000000}"/>
            </a:ext>
          </a:extLst>
        </xdr:cNvPr>
        <xdr:cNvSpPr txBox="1"/>
      </xdr:nvSpPr>
      <xdr:spPr>
        <a:xfrm>
          <a:off x="2722336" y="889907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50" name="ZoneTexte 149">
          <a:extLst>
            <a:ext uri="{FF2B5EF4-FFF2-40B4-BE49-F238E27FC236}">
              <a16:creationId xmlns:a16="http://schemas.microsoft.com/office/drawing/2014/main" id="{00000000-0008-0000-0600-000096000000}"/>
            </a:ext>
          </a:extLst>
        </xdr:cNvPr>
        <xdr:cNvSpPr txBox="1"/>
      </xdr:nvSpPr>
      <xdr:spPr>
        <a:xfrm>
          <a:off x="2722336" y="889907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51" name="ZoneTexte 150">
          <a:extLst>
            <a:ext uri="{FF2B5EF4-FFF2-40B4-BE49-F238E27FC236}">
              <a16:creationId xmlns:a16="http://schemas.microsoft.com/office/drawing/2014/main" id="{00000000-0008-0000-0600-000097000000}"/>
            </a:ext>
          </a:extLst>
        </xdr:cNvPr>
        <xdr:cNvSpPr txBox="1"/>
      </xdr:nvSpPr>
      <xdr:spPr>
        <a:xfrm>
          <a:off x="2722336" y="889907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52" name="ZoneTexte 151">
          <a:extLst>
            <a:ext uri="{FF2B5EF4-FFF2-40B4-BE49-F238E27FC236}">
              <a16:creationId xmlns:a16="http://schemas.microsoft.com/office/drawing/2014/main" id="{00000000-0008-0000-0600-000098000000}"/>
            </a:ext>
          </a:extLst>
        </xdr:cNvPr>
        <xdr:cNvSpPr txBox="1"/>
      </xdr:nvSpPr>
      <xdr:spPr>
        <a:xfrm>
          <a:off x="2722336" y="889907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53" name="ZoneTexte 152">
          <a:extLst>
            <a:ext uri="{FF2B5EF4-FFF2-40B4-BE49-F238E27FC236}">
              <a16:creationId xmlns:a16="http://schemas.microsoft.com/office/drawing/2014/main" id="{00000000-0008-0000-0600-000099000000}"/>
            </a:ext>
          </a:extLst>
        </xdr:cNvPr>
        <xdr:cNvSpPr txBox="1"/>
      </xdr:nvSpPr>
      <xdr:spPr>
        <a:xfrm>
          <a:off x="2722336" y="889907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54" name="ZoneTexte 153">
          <a:extLst>
            <a:ext uri="{FF2B5EF4-FFF2-40B4-BE49-F238E27FC236}">
              <a16:creationId xmlns:a16="http://schemas.microsoft.com/office/drawing/2014/main" id="{00000000-0008-0000-0600-00009A000000}"/>
            </a:ext>
          </a:extLst>
        </xdr:cNvPr>
        <xdr:cNvSpPr txBox="1"/>
      </xdr:nvSpPr>
      <xdr:spPr>
        <a:xfrm>
          <a:off x="2722336" y="889907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55" name="ZoneTexte 154">
          <a:extLst>
            <a:ext uri="{FF2B5EF4-FFF2-40B4-BE49-F238E27FC236}">
              <a16:creationId xmlns:a16="http://schemas.microsoft.com/office/drawing/2014/main" id="{00000000-0008-0000-0600-00009B000000}"/>
            </a:ext>
          </a:extLst>
        </xdr:cNvPr>
        <xdr:cNvSpPr txBox="1"/>
      </xdr:nvSpPr>
      <xdr:spPr>
        <a:xfrm>
          <a:off x="2722336" y="889907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56" name="ZoneTexte 155">
          <a:extLst>
            <a:ext uri="{FF2B5EF4-FFF2-40B4-BE49-F238E27FC236}">
              <a16:creationId xmlns:a16="http://schemas.microsoft.com/office/drawing/2014/main" id="{00000000-0008-0000-0600-00009C000000}"/>
            </a:ext>
          </a:extLst>
        </xdr:cNvPr>
        <xdr:cNvSpPr txBox="1"/>
      </xdr:nvSpPr>
      <xdr:spPr>
        <a:xfrm>
          <a:off x="2722336" y="889907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57" name="ZoneTexte 156">
          <a:extLst>
            <a:ext uri="{FF2B5EF4-FFF2-40B4-BE49-F238E27FC236}">
              <a16:creationId xmlns:a16="http://schemas.microsoft.com/office/drawing/2014/main" id="{00000000-0008-0000-0600-00009D000000}"/>
            </a:ext>
          </a:extLst>
        </xdr:cNvPr>
        <xdr:cNvSpPr txBox="1"/>
      </xdr:nvSpPr>
      <xdr:spPr>
        <a:xfrm>
          <a:off x="2722336" y="889907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58" name="ZoneTexte 157">
          <a:extLst>
            <a:ext uri="{FF2B5EF4-FFF2-40B4-BE49-F238E27FC236}">
              <a16:creationId xmlns:a16="http://schemas.microsoft.com/office/drawing/2014/main" id="{00000000-0008-0000-0600-00009E000000}"/>
            </a:ext>
          </a:extLst>
        </xdr:cNvPr>
        <xdr:cNvSpPr txBox="1"/>
      </xdr:nvSpPr>
      <xdr:spPr>
        <a:xfrm>
          <a:off x="2722336" y="889907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59" name="ZoneTexte 158">
          <a:extLst>
            <a:ext uri="{FF2B5EF4-FFF2-40B4-BE49-F238E27FC236}">
              <a16:creationId xmlns:a16="http://schemas.microsoft.com/office/drawing/2014/main" id="{00000000-0008-0000-0600-00009F000000}"/>
            </a:ext>
          </a:extLst>
        </xdr:cNvPr>
        <xdr:cNvSpPr txBox="1"/>
      </xdr:nvSpPr>
      <xdr:spPr>
        <a:xfrm>
          <a:off x="2722336" y="889907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60" name="ZoneTexte 159">
          <a:extLst>
            <a:ext uri="{FF2B5EF4-FFF2-40B4-BE49-F238E27FC236}">
              <a16:creationId xmlns:a16="http://schemas.microsoft.com/office/drawing/2014/main" id="{00000000-0008-0000-0600-0000A0000000}"/>
            </a:ext>
          </a:extLst>
        </xdr:cNvPr>
        <xdr:cNvSpPr txBox="1"/>
      </xdr:nvSpPr>
      <xdr:spPr>
        <a:xfrm>
          <a:off x="2722336" y="889907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61" name="ZoneTexte 160">
          <a:extLst>
            <a:ext uri="{FF2B5EF4-FFF2-40B4-BE49-F238E27FC236}">
              <a16:creationId xmlns:a16="http://schemas.microsoft.com/office/drawing/2014/main" id="{00000000-0008-0000-0600-0000A1000000}"/>
            </a:ext>
          </a:extLst>
        </xdr:cNvPr>
        <xdr:cNvSpPr txBox="1"/>
      </xdr:nvSpPr>
      <xdr:spPr>
        <a:xfrm>
          <a:off x="2722336" y="889907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62" name="ZoneTexte 161">
          <a:extLst>
            <a:ext uri="{FF2B5EF4-FFF2-40B4-BE49-F238E27FC236}">
              <a16:creationId xmlns:a16="http://schemas.microsoft.com/office/drawing/2014/main" id="{00000000-0008-0000-0600-0000A2000000}"/>
            </a:ext>
          </a:extLst>
        </xdr:cNvPr>
        <xdr:cNvSpPr txBox="1"/>
      </xdr:nvSpPr>
      <xdr:spPr>
        <a:xfrm>
          <a:off x="2722336" y="889907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63" name="ZoneTexte 162">
          <a:extLst>
            <a:ext uri="{FF2B5EF4-FFF2-40B4-BE49-F238E27FC236}">
              <a16:creationId xmlns:a16="http://schemas.microsoft.com/office/drawing/2014/main" id="{00000000-0008-0000-0600-0000A3000000}"/>
            </a:ext>
          </a:extLst>
        </xdr:cNvPr>
        <xdr:cNvSpPr txBox="1"/>
      </xdr:nvSpPr>
      <xdr:spPr>
        <a:xfrm>
          <a:off x="2722336" y="889907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64" name="ZoneTexte 163">
          <a:extLst>
            <a:ext uri="{FF2B5EF4-FFF2-40B4-BE49-F238E27FC236}">
              <a16:creationId xmlns:a16="http://schemas.microsoft.com/office/drawing/2014/main" id="{00000000-0008-0000-0600-0000A4000000}"/>
            </a:ext>
          </a:extLst>
        </xdr:cNvPr>
        <xdr:cNvSpPr txBox="1"/>
      </xdr:nvSpPr>
      <xdr:spPr>
        <a:xfrm>
          <a:off x="2722336" y="889907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65" name="ZoneTexte 164">
          <a:extLst>
            <a:ext uri="{FF2B5EF4-FFF2-40B4-BE49-F238E27FC236}">
              <a16:creationId xmlns:a16="http://schemas.microsoft.com/office/drawing/2014/main" id="{00000000-0008-0000-0600-0000A5000000}"/>
            </a:ext>
          </a:extLst>
        </xdr:cNvPr>
        <xdr:cNvSpPr txBox="1"/>
      </xdr:nvSpPr>
      <xdr:spPr>
        <a:xfrm>
          <a:off x="2722336" y="889907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66" name="ZoneTexte 165">
          <a:extLst>
            <a:ext uri="{FF2B5EF4-FFF2-40B4-BE49-F238E27FC236}">
              <a16:creationId xmlns:a16="http://schemas.microsoft.com/office/drawing/2014/main" id="{00000000-0008-0000-0600-0000A6000000}"/>
            </a:ext>
          </a:extLst>
        </xdr:cNvPr>
        <xdr:cNvSpPr txBox="1"/>
      </xdr:nvSpPr>
      <xdr:spPr>
        <a:xfrm>
          <a:off x="2722336" y="889907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67" name="ZoneTexte 166">
          <a:extLst>
            <a:ext uri="{FF2B5EF4-FFF2-40B4-BE49-F238E27FC236}">
              <a16:creationId xmlns:a16="http://schemas.microsoft.com/office/drawing/2014/main" id="{00000000-0008-0000-0600-0000A7000000}"/>
            </a:ext>
          </a:extLst>
        </xdr:cNvPr>
        <xdr:cNvSpPr txBox="1"/>
      </xdr:nvSpPr>
      <xdr:spPr>
        <a:xfrm>
          <a:off x="2722336" y="889907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68" name="ZoneTexte 167">
          <a:extLst>
            <a:ext uri="{FF2B5EF4-FFF2-40B4-BE49-F238E27FC236}">
              <a16:creationId xmlns:a16="http://schemas.microsoft.com/office/drawing/2014/main" id="{00000000-0008-0000-0600-0000A8000000}"/>
            </a:ext>
          </a:extLst>
        </xdr:cNvPr>
        <xdr:cNvSpPr txBox="1"/>
      </xdr:nvSpPr>
      <xdr:spPr>
        <a:xfrm>
          <a:off x="2722336" y="889907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69" name="ZoneTexte 168">
          <a:extLst>
            <a:ext uri="{FF2B5EF4-FFF2-40B4-BE49-F238E27FC236}">
              <a16:creationId xmlns:a16="http://schemas.microsoft.com/office/drawing/2014/main" id="{00000000-0008-0000-0600-0000A9000000}"/>
            </a:ext>
          </a:extLst>
        </xdr:cNvPr>
        <xdr:cNvSpPr txBox="1"/>
      </xdr:nvSpPr>
      <xdr:spPr>
        <a:xfrm>
          <a:off x="2722336" y="9525000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70" name="ZoneTexte 169">
          <a:extLst>
            <a:ext uri="{FF2B5EF4-FFF2-40B4-BE49-F238E27FC236}">
              <a16:creationId xmlns:a16="http://schemas.microsoft.com/office/drawing/2014/main" id="{00000000-0008-0000-0600-0000AA000000}"/>
            </a:ext>
          </a:extLst>
        </xdr:cNvPr>
        <xdr:cNvSpPr txBox="1"/>
      </xdr:nvSpPr>
      <xdr:spPr>
        <a:xfrm>
          <a:off x="2722336" y="9525000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71" name="ZoneTexte 170">
          <a:extLst>
            <a:ext uri="{FF2B5EF4-FFF2-40B4-BE49-F238E27FC236}">
              <a16:creationId xmlns:a16="http://schemas.microsoft.com/office/drawing/2014/main" id="{00000000-0008-0000-0600-0000AB000000}"/>
            </a:ext>
          </a:extLst>
        </xdr:cNvPr>
        <xdr:cNvSpPr txBox="1"/>
      </xdr:nvSpPr>
      <xdr:spPr>
        <a:xfrm>
          <a:off x="2722336" y="9525000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72" name="ZoneTexte 171">
          <a:extLst>
            <a:ext uri="{FF2B5EF4-FFF2-40B4-BE49-F238E27FC236}">
              <a16:creationId xmlns:a16="http://schemas.microsoft.com/office/drawing/2014/main" id="{00000000-0008-0000-0600-0000AC000000}"/>
            </a:ext>
          </a:extLst>
        </xdr:cNvPr>
        <xdr:cNvSpPr txBox="1"/>
      </xdr:nvSpPr>
      <xdr:spPr>
        <a:xfrm>
          <a:off x="2722336" y="9525000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73" name="ZoneTexte 172">
          <a:extLst>
            <a:ext uri="{FF2B5EF4-FFF2-40B4-BE49-F238E27FC236}">
              <a16:creationId xmlns:a16="http://schemas.microsoft.com/office/drawing/2014/main" id="{00000000-0008-0000-0600-0000AD000000}"/>
            </a:ext>
          </a:extLst>
        </xdr:cNvPr>
        <xdr:cNvSpPr txBox="1"/>
      </xdr:nvSpPr>
      <xdr:spPr>
        <a:xfrm>
          <a:off x="2722336" y="9525000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74" name="ZoneTexte 173">
          <a:extLst>
            <a:ext uri="{FF2B5EF4-FFF2-40B4-BE49-F238E27FC236}">
              <a16:creationId xmlns:a16="http://schemas.microsoft.com/office/drawing/2014/main" id="{00000000-0008-0000-0600-0000AE000000}"/>
            </a:ext>
          </a:extLst>
        </xdr:cNvPr>
        <xdr:cNvSpPr txBox="1"/>
      </xdr:nvSpPr>
      <xdr:spPr>
        <a:xfrm>
          <a:off x="2722336" y="9525000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75" name="ZoneTexte 174">
          <a:extLst>
            <a:ext uri="{FF2B5EF4-FFF2-40B4-BE49-F238E27FC236}">
              <a16:creationId xmlns:a16="http://schemas.microsoft.com/office/drawing/2014/main" id="{00000000-0008-0000-0600-0000AF000000}"/>
            </a:ext>
          </a:extLst>
        </xdr:cNvPr>
        <xdr:cNvSpPr txBox="1"/>
      </xdr:nvSpPr>
      <xdr:spPr>
        <a:xfrm>
          <a:off x="2722336" y="9525000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76" name="ZoneTexte 175">
          <a:extLst>
            <a:ext uri="{FF2B5EF4-FFF2-40B4-BE49-F238E27FC236}">
              <a16:creationId xmlns:a16="http://schemas.microsoft.com/office/drawing/2014/main" id="{00000000-0008-0000-0600-0000B0000000}"/>
            </a:ext>
          </a:extLst>
        </xdr:cNvPr>
        <xdr:cNvSpPr txBox="1"/>
      </xdr:nvSpPr>
      <xdr:spPr>
        <a:xfrm>
          <a:off x="2722336" y="9525000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77" name="ZoneTexte 176">
          <a:extLst>
            <a:ext uri="{FF2B5EF4-FFF2-40B4-BE49-F238E27FC236}">
              <a16:creationId xmlns:a16="http://schemas.microsoft.com/office/drawing/2014/main" id="{00000000-0008-0000-0600-0000B1000000}"/>
            </a:ext>
          </a:extLst>
        </xdr:cNvPr>
        <xdr:cNvSpPr txBox="1"/>
      </xdr:nvSpPr>
      <xdr:spPr>
        <a:xfrm>
          <a:off x="2722336" y="9525000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78" name="ZoneTexte 177">
          <a:extLst>
            <a:ext uri="{FF2B5EF4-FFF2-40B4-BE49-F238E27FC236}">
              <a16:creationId xmlns:a16="http://schemas.microsoft.com/office/drawing/2014/main" id="{00000000-0008-0000-0600-0000B2000000}"/>
            </a:ext>
          </a:extLst>
        </xdr:cNvPr>
        <xdr:cNvSpPr txBox="1"/>
      </xdr:nvSpPr>
      <xdr:spPr>
        <a:xfrm>
          <a:off x="2722336" y="9525000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79" name="ZoneTexte 178">
          <a:extLst>
            <a:ext uri="{FF2B5EF4-FFF2-40B4-BE49-F238E27FC236}">
              <a16:creationId xmlns:a16="http://schemas.microsoft.com/office/drawing/2014/main" id="{00000000-0008-0000-0600-0000B3000000}"/>
            </a:ext>
          </a:extLst>
        </xdr:cNvPr>
        <xdr:cNvSpPr txBox="1"/>
      </xdr:nvSpPr>
      <xdr:spPr>
        <a:xfrm>
          <a:off x="2722336" y="9525000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80" name="ZoneTexte 179">
          <a:extLst>
            <a:ext uri="{FF2B5EF4-FFF2-40B4-BE49-F238E27FC236}">
              <a16:creationId xmlns:a16="http://schemas.microsoft.com/office/drawing/2014/main" id="{00000000-0008-0000-0600-0000B4000000}"/>
            </a:ext>
          </a:extLst>
        </xdr:cNvPr>
        <xdr:cNvSpPr txBox="1"/>
      </xdr:nvSpPr>
      <xdr:spPr>
        <a:xfrm>
          <a:off x="2722336" y="9525000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81" name="ZoneTexte 180">
          <a:extLst>
            <a:ext uri="{FF2B5EF4-FFF2-40B4-BE49-F238E27FC236}">
              <a16:creationId xmlns:a16="http://schemas.microsoft.com/office/drawing/2014/main" id="{00000000-0008-0000-0600-0000B5000000}"/>
            </a:ext>
          </a:extLst>
        </xdr:cNvPr>
        <xdr:cNvSpPr txBox="1"/>
      </xdr:nvSpPr>
      <xdr:spPr>
        <a:xfrm>
          <a:off x="2722336" y="9525000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82" name="ZoneTexte 181">
          <a:extLst>
            <a:ext uri="{FF2B5EF4-FFF2-40B4-BE49-F238E27FC236}">
              <a16:creationId xmlns:a16="http://schemas.microsoft.com/office/drawing/2014/main" id="{00000000-0008-0000-0600-0000B6000000}"/>
            </a:ext>
          </a:extLst>
        </xdr:cNvPr>
        <xdr:cNvSpPr txBox="1"/>
      </xdr:nvSpPr>
      <xdr:spPr>
        <a:xfrm>
          <a:off x="2722336" y="9525000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83" name="ZoneTexte 182">
          <a:extLst>
            <a:ext uri="{FF2B5EF4-FFF2-40B4-BE49-F238E27FC236}">
              <a16:creationId xmlns:a16="http://schemas.microsoft.com/office/drawing/2014/main" id="{00000000-0008-0000-0600-0000B7000000}"/>
            </a:ext>
          </a:extLst>
        </xdr:cNvPr>
        <xdr:cNvSpPr txBox="1"/>
      </xdr:nvSpPr>
      <xdr:spPr>
        <a:xfrm>
          <a:off x="2722336" y="9525000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84" name="ZoneTexte 183">
          <a:extLst>
            <a:ext uri="{FF2B5EF4-FFF2-40B4-BE49-F238E27FC236}">
              <a16:creationId xmlns:a16="http://schemas.microsoft.com/office/drawing/2014/main" id="{00000000-0008-0000-0600-0000B8000000}"/>
            </a:ext>
          </a:extLst>
        </xdr:cNvPr>
        <xdr:cNvSpPr txBox="1"/>
      </xdr:nvSpPr>
      <xdr:spPr>
        <a:xfrm>
          <a:off x="2722336" y="9525000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85" name="ZoneTexte 184">
          <a:extLst>
            <a:ext uri="{FF2B5EF4-FFF2-40B4-BE49-F238E27FC236}">
              <a16:creationId xmlns:a16="http://schemas.microsoft.com/office/drawing/2014/main" id="{00000000-0008-0000-0600-0000B9000000}"/>
            </a:ext>
          </a:extLst>
        </xdr:cNvPr>
        <xdr:cNvSpPr txBox="1"/>
      </xdr:nvSpPr>
      <xdr:spPr>
        <a:xfrm>
          <a:off x="2722336" y="9525000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86" name="ZoneTexte 185">
          <a:extLst>
            <a:ext uri="{FF2B5EF4-FFF2-40B4-BE49-F238E27FC236}">
              <a16:creationId xmlns:a16="http://schemas.microsoft.com/office/drawing/2014/main" id="{00000000-0008-0000-0600-0000BA000000}"/>
            </a:ext>
          </a:extLst>
        </xdr:cNvPr>
        <xdr:cNvSpPr txBox="1"/>
      </xdr:nvSpPr>
      <xdr:spPr>
        <a:xfrm>
          <a:off x="2722336" y="9525000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87" name="ZoneTexte 186">
          <a:extLst>
            <a:ext uri="{FF2B5EF4-FFF2-40B4-BE49-F238E27FC236}">
              <a16:creationId xmlns:a16="http://schemas.microsoft.com/office/drawing/2014/main" id="{00000000-0008-0000-0600-0000BB000000}"/>
            </a:ext>
          </a:extLst>
        </xdr:cNvPr>
        <xdr:cNvSpPr txBox="1"/>
      </xdr:nvSpPr>
      <xdr:spPr>
        <a:xfrm>
          <a:off x="2722336" y="9525000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88" name="ZoneTexte 187">
          <a:extLst>
            <a:ext uri="{FF2B5EF4-FFF2-40B4-BE49-F238E27FC236}">
              <a16:creationId xmlns:a16="http://schemas.microsoft.com/office/drawing/2014/main" id="{00000000-0008-0000-0600-0000BC000000}"/>
            </a:ext>
          </a:extLst>
        </xdr:cNvPr>
        <xdr:cNvSpPr txBox="1"/>
      </xdr:nvSpPr>
      <xdr:spPr>
        <a:xfrm>
          <a:off x="2722336" y="9525000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89" name="ZoneTexte 188">
          <a:extLst>
            <a:ext uri="{FF2B5EF4-FFF2-40B4-BE49-F238E27FC236}">
              <a16:creationId xmlns:a16="http://schemas.microsoft.com/office/drawing/2014/main" id="{00000000-0008-0000-0600-0000BD000000}"/>
            </a:ext>
          </a:extLst>
        </xdr:cNvPr>
        <xdr:cNvSpPr txBox="1"/>
      </xdr:nvSpPr>
      <xdr:spPr>
        <a:xfrm>
          <a:off x="2722336" y="9525000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90" name="ZoneTexte 189">
          <a:extLst>
            <a:ext uri="{FF2B5EF4-FFF2-40B4-BE49-F238E27FC236}">
              <a16:creationId xmlns:a16="http://schemas.microsoft.com/office/drawing/2014/main" id="{00000000-0008-0000-0600-0000BE000000}"/>
            </a:ext>
          </a:extLst>
        </xdr:cNvPr>
        <xdr:cNvSpPr txBox="1"/>
      </xdr:nvSpPr>
      <xdr:spPr>
        <a:xfrm>
          <a:off x="2722336" y="9525000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91" name="ZoneTexte 190">
          <a:extLst>
            <a:ext uri="{FF2B5EF4-FFF2-40B4-BE49-F238E27FC236}">
              <a16:creationId xmlns:a16="http://schemas.microsoft.com/office/drawing/2014/main" id="{00000000-0008-0000-0600-0000BF000000}"/>
            </a:ext>
          </a:extLst>
        </xdr:cNvPr>
        <xdr:cNvSpPr txBox="1"/>
      </xdr:nvSpPr>
      <xdr:spPr>
        <a:xfrm>
          <a:off x="2722336" y="9525000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34</xdr:row>
      <xdr:rowOff>0</xdr:rowOff>
    </xdr:from>
    <xdr:ext cx="184731" cy="311803"/>
    <xdr:sp macro="" textlink="">
      <xdr:nvSpPr>
        <xdr:cNvPr id="192" name="ZoneTexte 191">
          <a:extLst>
            <a:ext uri="{FF2B5EF4-FFF2-40B4-BE49-F238E27FC236}">
              <a16:creationId xmlns:a16="http://schemas.microsoft.com/office/drawing/2014/main" id="{00000000-0008-0000-0600-0000C0000000}"/>
            </a:ext>
          </a:extLst>
        </xdr:cNvPr>
        <xdr:cNvSpPr txBox="1"/>
      </xdr:nvSpPr>
      <xdr:spPr>
        <a:xfrm>
          <a:off x="2722336" y="9525000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93" name="ZoneTexte 192">
          <a:extLst>
            <a:ext uri="{FF2B5EF4-FFF2-40B4-BE49-F238E27FC236}">
              <a16:creationId xmlns:a16="http://schemas.microsoft.com/office/drawing/2014/main" id="{00000000-0008-0000-0600-0000C1000000}"/>
            </a:ext>
          </a:extLst>
        </xdr:cNvPr>
        <xdr:cNvSpPr txBox="1"/>
      </xdr:nvSpPr>
      <xdr:spPr>
        <a:xfrm>
          <a:off x="2722336" y="991960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94" name="ZoneTexte 193">
          <a:extLst>
            <a:ext uri="{FF2B5EF4-FFF2-40B4-BE49-F238E27FC236}">
              <a16:creationId xmlns:a16="http://schemas.microsoft.com/office/drawing/2014/main" id="{00000000-0008-0000-0600-0000C2000000}"/>
            </a:ext>
          </a:extLst>
        </xdr:cNvPr>
        <xdr:cNvSpPr txBox="1"/>
      </xdr:nvSpPr>
      <xdr:spPr>
        <a:xfrm>
          <a:off x="2722336" y="991960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95" name="ZoneTexte 194">
          <a:extLst>
            <a:ext uri="{FF2B5EF4-FFF2-40B4-BE49-F238E27FC236}">
              <a16:creationId xmlns:a16="http://schemas.microsoft.com/office/drawing/2014/main" id="{00000000-0008-0000-0600-0000C3000000}"/>
            </a:ext>
          </a:extLst>
        </xdr:cNvPr>
        <xdr:cNvSpPr txBox="1"/>
      </xdr:nvSpPr>
      <xdr:spPr>
        <a:xfrm>
          <a:off x="2722336" y="991960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96" name="ZoneTexte 195">
          <a:extLst>
            <a:ext uri="{FF2B5EF4-FFF2-40B4-BE49-F238E27FC236}">
              <a16:creationId xmlns:a16="http://schemas.microsoft.com/office/drawing/2014/main" id="{00000000-0008-0000-0600-0000C4000000}"/>
            </a:ext>
          </a:extLst>
        </xdr:cNvPr>
        <xdr:cNvSpPr txBox="1"/>
      </xdr:nvSpPr>
      <xdr:spPr>
        <a:xfrm>
          <a:off x="2722336" y="991960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97" name="ZoneTexte 196">
          <a:extLst>
            <a:ext uri="{FF2B5EF4-FFF2-40B4-BE49-F238E27FC236}">
              <a16:creationId xmlns:a16="http://schemas.microsoft.com/office/drawing/2014/main" id="{00000000-0008-0000-0600-0000C5000000}"/>
            </a:ext>
          </a:extLst>
        </xdr:cNvPr>
        <xdr:cNvSpPr txBox="1"/>
      </xdr:nvSpPr>
      <xdr:spPr>
        <a:xfrm>
          <a:off x="2722336" y="991960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98" name="ZoneTexte 197">
          <a:extLst>
            <a:ext uri="{FF2B5EF4-FFF2-40B4-BE49-F238E27FC236}">
              <a16:creationId xmlns:a16="http://schemas.microsoft.com/office/drawing/2014/main" id="{00000000-0008-0000-0600-0000C6000000}"/>
            </a:ext>
          </a:extLst>
        </xdr:cNvPr>
        <xdr:cNvSpPr txBox="1"/>
      </xdr:nvSpPr>
      <xdr:spPr>
        <a:xfrm>
          <a:off x="2722336" y="991960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99" name="ZoneTexte 198">
          <a:extLst>
            <a:ext uri="{FF2B5EF4-FFF2-40B4-BE49-F238E27FC236}">
              <a16:creationId xmlns:a16="http://schemas.microsoft.com/office/drawing/2014/main" id="{00000000-0008-0000-0600-0000C7000000}"/>
            </a:ext>
          </a:extLst>
        </xdr:cNvPr>
        <xdr:cNvSpPr txBox="1"/>
      </xdr:nvSpPr>
      <xdr:spPr>
        <a:xfrm>
          <a:off x="2722336" y="991960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200" name="ZoneTexte 199">
          <a:extLst>
            <a:ext uri="{FF2B5EF4-FFF2-40B4-BE49-F238E27FC236}">
              <a16:creationId xmlns:a16="http://schemas.microsoft.com/office/drawing/2014/main" id="{00000000-0008-0000-0600-0000C8000000}"/>
            </a:ext>
          </a:extLst>
        </xdr:cNvPr>
        <xdr:cNvSpPr txBox="1"/>
      </xdr:nvSpPr>
      <xdr:spPr>
        <a:xfrm>
          <a:off x="2722336" y="991960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201" name="ZoneTexte 200">
          <a:extLst>
            <a:ext uri="{FF2B5EF4-FFF2-40B4-BE49-F238E27FC236}">
              <a16:creationId xmlns:a16="http://schemas.microsoft.com/office/drawing/2014/main" id="{00000000-0008-0000-0600-0000C9000000}"/>
            </a:ext>
          </a:extLst>
        </xdr:cNvPr>
        <xdr:cNvSpPr txBox="1"/>
      </xdr:nvSpPr>
      <xdr:spPr>
        <a:xfrm>
          <a:off x="2722336" y="991960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202" name="ZoneTexte 201">
          <a:extLst>
            <a:ext uri="{FF2B5EF4-FFF2-40B4-BE49-F238E27FC236}">
              <a16:creationId xmlns:a16="http://schemas.microsoft.com/office/drawing/2014/main" id="{00000000-0008-0000-0600-0000CA000000}"/>
            </a:ext>
          </a:extLst>
        </xdr:cNvPr>
        <xdr:cNvSpPr txBox="1"/>
      </xdr:nvSpPr>
      <xdr:spPr>
        <a:xfrm>
          <a:off x="2722336" y="991960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22</xdr:row>
      <xdr:rowOff>0</xdr:rowOff>
    </xdr:from>
    <xdr:ext cx="184731" cy="311803"/>
    <xdr:sp macro="" textlink="">
      <xdr:nvSpPr>
        <xdr:cNvPr id="203" name="ZoneTexte 202">
          <a:extLst>
            <a:ext uri="{FF2B5EF4-FFF2-40B4-BE49-F238E27FC236}">
              <a16:creationId xmlns:a16="http://schemas.microsoft.com/office/drawing/2014/main" id="{00000000-0008-0000-0600-0000CB000000}"/>
            </a:ext>
          </a:extLst>
        </xdr:cNvPr>
        <xdr:cNvSpPr txBox="1"/>
      </xdr:nvSpPr>
      <xdr:spPr>
        <a:xfrm>
          <a:off x="2722336" y="610960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22</xdr:row>
      <xdr:rowOff>0</xdr:rowOff>
    </xdr:from>
    <xdr:ext cx="184731" cy="311803"/>
    <xdr:sp macro="" textlink="">
      <xdr:nvSpPr>
        <xdr:cNvPr id="204" name="ZoneTexte 203">
          <a:extLst>
            <a:ext uri="{FF2B5EF4-FFF2-40B4-BE49-F238E27FC236}">
              <a16:creationId xmlns:a16="http://schemas.microsoft.com/office/drawing/2014/main" id="{00000000-0008-0000-0600-0000CC000000}"/>
            </a:ext>
          </a:extLst>
        </xdr:cNvPr>
        <xdr:cNvSpPr txBox="1"/>
      </xdr:nvSpPr>
      <xdr:spPr>
        <a:xfrm>
          <a:off x="2722336" y="610960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22</xdr:row>
      <xdr:rowOff>0</xdr:rowOff>
    </xdr:from>
    <xdr:ext cx="184731" cy="311803"/>
    <xdr:sp macro="" textlink="">
      <xdr:nvSpPr>
        <xdr:cNvPr id="205" name="ZoneTexte 204">
          <a:extLst>
            <a:ext uri="{FF2B5EF4-FFF2-40B4-BE49-F238E27FC236}">
              <a16:creationId xmlns:a16="http://schemas.microsoft.com/office/drawing/2014/main" id="{00000000-0008-0000-0600-0000CD000000}"/>
            </a:ext>
          </a:extLst>
        </xdr:cNvPr>
        <xdr:cNvSpPr txBox="1"/>
      </xdr:nvSpPr>
      <xdr:spPr>
        <a:xfrm>
          <a:off x="2722336" y="610960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22</xdr:row>
      <xdr:rowOff>0</xdr:rowOff>
    </xdr:from>
    <xdr:ext cx="184731" cy="311803"/>
    <xdr:sp macro="" textlink="">
      <xdr:nvSpPr>
        <xdr:cNvPr id="206" name="ZoneTexte 205">
          <a:extLst>
            <a:ext uri="{FF2B5EF4-FFF2-40B4-BE49-F238E27FC236}">
              <a16:creationId xmlns:a16="http://schemas.microsoft.com/office/drawing/2014/main" id="{00000000-0008-0000-0600-0000CE000000}"/>
            </a:ext>
          </a:extLst>
        </xdr:cNvPr>
        <xdr:cNvSpPr txBox="1"/>
      </xdr:nvSpPr>
      <xdr:spPr>
        <a:xfrm>
          <a:off x="2722336" y="610960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22</xdr:row>
      <xdr:rowOff>0</xdr:rowOff>
    </xdr:from>
    <xdr:ext cx="184731" cy="311803"/>
    <xdr:sp macro="" textlink="">
      <xdr:nvSpPr>
        <xdr:cNvPr id="207" name="ZoneTexte 206">
          <a:extLst>
            <a:ext uri="{FF2B5EF4-FFF2-40B4-BE49-F238E27FC236}">
              <a16:creationId xmlns:a16="http://schemas.microsoft.com/office/drawing/2014/main" id="{00000000-0008-0000-0600-0000CF000000}"/>
            </a:ext>
          </a:extLst>
        </xdr:cNvPr>
        <xdr:cNvSpPr txBox="1"/>
      </xdr:nvSpPr>
      <xdr:spPr>
        <a:xfrm>
          <a:off x="2722336" y="610960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22</xdr:row>
      <xdr:rowOff>0</xdr:rowOff>
    </xdr:from>
    <xdr:ext cx="184731" cy="311803"/>
    <xdr:sp macro="" textlink="">
      <xdr:nvSpPr>
        <xdr:cNvPr id="208" name="ZoneTexte 207">
          <a:extLst>
            <a:ext uri="{FF2B5EF4-FFF2-40B4-BE49-F238E27FC236}">
              <a16:creationId xmlns:a16="http://schemas.microsoft.com/office/drawing/2014/main" id="{00000000-0008-0000-0600-0000D0000000}"/>
            </a:ext>
          </a:extLst>
        </xdr:cNvPr>
        <xdr:cNvSpPr txBox="1"/>
      </xdr:nvSpPr>
      <xdr:spPr>
        <a:xfrm>
          <a:off x="2722336" y="610960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22</xdr:row>
      <xdr:rowOff>0</xdr:rowOff>
    </xdr:from>
    <xdr:ext cx="184731" cy="311803"/>
    <xdr:sp macro="" textlink="">
      <xdr:nvSpPr>
        <xdr:cNvPr id="209" name="ZoneTexte 208">
          <a:extLst>
            <a:ext uri="{FF2B5EF4-FFF2-40B4-BE49-F238E27FC236}">
              <a16:creationId xmlns:a16="http://schemas.microsoft.com/office/drawing/2014/main" id="{00000000-0008-0000-0600-0000D1000000}"/>
            </a:ext>
          </a:extLst>
        </xdr:cNvPr>
        <xdr:cNvSpPr txBox="1"/>
      </xdr:nvSpPr>
      <xdr:spPr>
        <a:xfrm>
          <a:off x="2722336" y="610960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22</xdr:row>
      <xdr:rowOff>0</xdr:rowOff>
    </xdr:from>
    <xdr:ext cx="184731" cy="311803"/>
    <xdr:sp macro="" textlink="">
      <xdr:nvSpPr>
        <xdr:cNvPr id="210" name="ZoneTexte 209">
          <a:extLst>
            <a:ext uri="{FF2B5EF4-FFF2-40B4-BE49-F238E27FC236}">
              <a16:creationId xmlns:a16="http://schemas.microsoft.com/office/drawing/2014/main" id="{00000000-0008-0000-0600-0000D2000000}"/>
            </a:ext>
          </a:extLst>
        </xdr:cNvPr>
        <xdr:cNvSpPr txBox="1"/>
      </xdr:nvSpPr>
      <xdr:spPr>
        <a:xfrm>
          <a:off x="2722336" y="610960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22</xdr:row>
      <xdr:rowOff>0</xdr:rowOff>
    </xdr:from>
    <xdr:ext cx="184731" cy="311803"/>
    <xdr:sp macro="" textlink="">
      <xdr:nvSpPr>
        <xdr:cNvPr id="211" name="ZoneTexte 210">
          <a:extLst>
            <a:ext uri="{FF2B5EF4-FFF2-40B4-BE49-F238E27FC236}">
              <a16:creationId xmlns:a16="http://schemas.microsoft.com/office/drawing/2014/main" id="{00000000-0008-0000-0600-0000D3000000}"/>
            </a:ext>
          </a:extLst>
        </xdr:cNvPr>
        <xdr:cNvSpPr txBox="1"/>
      </xdr:nvSpPr>
      <xdr:spPr>
        <a:xfrm>
          <a:off x="2722336" y="610960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22</xdr:row>
      <xdr:rowOff>0</xdr:rowOff>
    </xdr:from>
    <xdr:ext cx="184731" cy="311803"/>
    <xdr:sp macro="" textlink="">
      <xdr:nvSpPr>
        <xdr:cNvPr id="212" name="ZoneTexte 211">
          <a:extLst>
            <a:ext uri="{FF2B5EF4-FFF2-40B4-BE49-F238E27FC236}">
              <a16:creationId xmlns:a16="http://schemas.microsoft.com/office/drawing/2014/main" id="{00000000-0008-0000-0600-0000D4000000}"/>
            </a:ext>
          </a:extLst>
        </xdr:cNvPr>
        <xdr:cNvSpPr txBox="1"/>
      </xdr:nvSpPr>
      <xdr:spPr>
        <a:xfrm>
          <a:off x="2722336" y="610960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23</xdr:row>
      <xdr:rowOff>0</xdr:rowOff>
    </xdr:from>
    <xdr:ext cx="184731" cy="311803"/>
    <xdr:sp macro="" textlink="">
      <xdr:nvSpPr>
        <xdr:cNvPr id="213" name="ZoneTexte 212">
          <a:extLst>
            <a:ext uri="{FF2B5EF4-FFF2-40B4-BE49-F238E27FC236}">
              <a16:creationId xmlns:a16="http://schemas.microsoft.com/office/drawing/2014/main" id="{00000000-0008-0000-0600-0000D5000000}"/>
            </a:ext>
          </a:extLst>
        </xdr:cNvPr>
        <xdr:cNvSpPr txBox="1"/>
      </xdr:nvSpPr>
      <xdr:spPr>
        <a:xfrm>
          <a:off x="2722336" y="1087210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23</xdr:row>
      <xdr:rowOff>0</xdr:rowOff>
    </xdr:from>
    <xdr:ext cx="184731" cy="311803"/>
    <xdr:sp macro="" textlink="">
      <xdr:nvSpPr>
        <xdr:cNvPr id="214" name="ZoneTexte 213">
          <a:extLst>
            <a:ext uri="{FF2B5EF4-FFF2-40B4-BE49-F238E27FC236}">
              <a16:creationId xmlns:a16="http://schemas.microsoft.com/office/drawing/2014/main" id="{00000000-0008-0000-0600-0000D6000000}"/>
            </a:ext>
          </a:extLst>
        </xdr:cNvPr>
        <xdr:cNvSpPr txBox="1"/>
      </xdr:nvSpPr>
      <xdr:spPr>
        <a:xfrm>
          <a:off x="2722336" y="1087210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23</xdr:row>
      <xdr:rowOff>0</xdr:rowOff>
    </xdr:from>
    <xdr:ext cx="184731" cy="311803"/>
    <xdr:sp macro="" textlink="">
      <xdr:nvSpPr>
        <xdr:cNvPr id="215" name="ZoneTexte 214">
          <a:extLst>
            <a:ext uri="{FF2B5EF4-FFF2-40B4-BE49-F238E27FC236}">
              <a16:creationId xmlns:a16="http://schemas.microsoft.com/office/drawing/2014/main" id="{00000000-0008-0000-0600-0000D7000000}"/>
            </a:ext>
          </a:extLst>
        </xdr:cNvPr>
        <xdr:cNvSpPr txBox="1"/>
      </xdr:nvSpPr>
      <xdr:spPr>
        <a:xfrm>
          <a:off x="2722336" y="1087210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23</xdr:row>
      <xdr:rowOff>0</xdr:rowOff>
    </xdr:from>
    <xdr:ext cx="184731" cy="311803"/>
    <xdr:sp macro="" textlink="">
      <xdr:nvSpPr>
        <xdr:cNvPr id="216" name="ZoneTexte 215">
          <a:extLst>
            <a:ext uri="{FF2B5EF4-FFF2-40B4-BE49-F238E27FC236}">
              <a16:creationId xmlns:a16="http://schemas.microsoft.com/office/drawing/2014/main" id="{00000000-0008-0000-0600-0000D8000000}"/>
            </a:ext>
          </a:extLst>
        </xdr:cNvPr>
        <xdr:cNvSpPr txBox="1"/>
      </xdr:nvSpPr>
      <xdr:spPr>
        <a:xfrm>
          <a:off x="2722336" y="1087210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23</xdr:row>
      <xdr:rowOff>0</xdr:rowOff>
    </xdr:from>
    <xdr:ext cx="184731" cy="311803"/>
    <xdr:sp macro="" textlink="">
      <xdr:nvSpPr>
        <xdr:cNvPr id="217" name="ZoneTexte 216">
          <a:extLst>
            <a:ext uri="{FF2B5EF4-FFF2-40B4-BE49-F238E27FC236}">
              <a16:creationId xmlns:a16="http://schemas.microsoft.com/office/drawing/2014/main" id="{00000000-0008-0000-0600-0000D9000000}"/>
            </a:ext>
          </a:extLst>
        </xdr:cNvPr>
        <xdr:cNvSpPr txBox="1"/>
      </xdr:nvSpPr>
      <xdr:spPr>
        <a:xfrm>
          <a:off x="2722336" y="1087210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23</xdr:row>
      <xdr:rowOff>0</xdr:rowOff>
    </xdr:from>
    <xdr:ext cx="184731" cy="311803"/>
    <xdr:sp macro="" textlink="">
      <xdr:nvSpPr>
        <xdr:cNvPr id="218" name="ZoneTexte 217">
          <a:extLst>
            <a:ext uri="{FF2B5EF4-FFF2-40B4-BE49-F238E27FC236}">
              <a16:creationId xmlns:a16="http://schemas.microsoft.com/office/drawing/2014/main" id="{00000000-0008-0000-0600-0000DA000000}"/>
            </a:ext>
          </a:extLst>
        </xdr:cNvPr>
        <xdr:cNvSpPr txBox="1"/>
      </xdr:nvSpPr>
      <xdr:spPr>
        <a:xfrm>
          <a:off x="2722336" y="1087210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23</xdr:row>
      <xdr:rowOff>0</xdr:rowOff>
    </xdr:from>
    <xdr:ext cx="184731" cy="311803"/>
    <xdr:sp macro="" textlink="">
      <xdr:nvSpPr>
        <xdr:cNvPr id="219" name="ZoneTexte 218">
          <a:extLst>
            <a:ext uri="{FF2B5EF4-FFF2-40B4-BE49-F238E27FC236}">
              <a16:creationId xmlns:a16="http://schemas.microsoft.com/office/drawing/2014/main" id="{00000000-0008-0000-0600-0000DB000000}"/>
            </a:ext>
          </a:extLst>
        </xdr:cNvPr>
        <xdr:cNvSpPr txBox="1"/>
      </xdr:nvSpPr>
      <xdr:spPr>
        <a:xfrm>
          <a:off x="2722336" y="1087210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23</xdr:row>
      <xdr:rowOff>0</xdr:rowOff>
    </xdr:from>
    <xdr:ext cx="184731" cy="311803"/>
    <xdr:sp macro="" textlink="">
      <xdr:nvSpPr>
        <xdr:cNvPr id="220" name="ZoneTexte 219">
          <a:extLst>
            <a:ext uri="{FF2B5EF4-FFF2-40B4-BE49-F238E27FC236}">
              <a16:creationId xmlns:a16="http://schemas.microsoft.com/office/drawing/2014/main" id="{00000000-0008-0000-0600-0000DC000000}"/>
            </a:ext>
          </a:extLst>
        </xdr:cNvPr>
        <xdr:cNvSpPr txBox="1"/>
      </xdr:nvSpPr>
      <xdr:spPr>
        <a:xfrm>
          <a:off x="2722336" y="1087210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23</xdr:row>
      <xdr:rowOff>0</xdr:rowOff>
    </xdr:from>
    <xdr:ext cx="184731" cy="311803"/>
    <xdr:sp macro="" textlink="">
      <xdr:nvSpPr>
        <xdr:cNvPr id="221" name="ZoneTexte 220">
          <a:extLst>
            <a:ext uri="{FF2B5EF4-FFF2-40B4-BE49-F238E27FC236}">
              <a16:creationId xmlns:a16="http://schemas.microsoft.com/office/drawing/2014/main" id="{00000000-0008-0000-0600-0000DD000000}"/>
            </a:ext>
          </a:extLst>
        </xdr:cNvPr>
        <xdr:cNvSpPr txBox="1"/>
      </xdr:nvSpPr>
      <xdr:spPr>
        <a:xfrm>
          <a:off x="2722336" y="1087210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23</xdr:row>
      <xdr:rowOff>0</xdr:rowOff>
    </xdr:from>
    <xdr:ext cx="184731" cy="311803"/>
    <xdr:sp macro="" textlink="">
      <xdr:nvSpPr>
        <xdr:cNvPr id="222" name="ZoneTexte 221">
          <a:extLst>
            <a:ext uri="{FF2B5EF4-FFF2-40B4-BE49-F238E27FC236}">
              <a16:creationId xmlns:a16="http://schemas.microsoft.com/office/drawing/2014/main" id="{00000000-0008-0000-0600-0000DE000000}"/>
            </a:ext>
          </a:extLst>
        </xdr:cNvPr>
        <xdr:cNvSpPr txBox="1"/>
      </xdr:nvSpPr>
      <xdr:spPr>
        <a:xfrm>
          <a:off x="2722336" y="1087210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29</xdr:row>
      <xdr:rowOff>0</xdr:rowOff>
    </xdr:from>
    <xdr:ext cx="184731" cy="311803"/>
    <xdr:sp macro="" textlink="">
      <xdr:nvSpPr>
        <xdr:cNvPr id="223" name="ZoneTexte 222">
          <a:extLst>
            <a:ext uri="{FF2B5EF4-FFF2-40B4-BE49-F238E27FC236}">
              <a16:creationId xmlns:a16="http://schemas.microsoft.com/office/drawing/2014/main" id="{00000000-0008-0000-0600-0000DF000000}"/>
            </a:ext>
          </a:extLst>
        </xdr:cNvPr>
        <xdr:cNvSpPr txBox="1"/>
      </xdr:nvSpPr>
      <xdr:spPr>
        <a:xfrm>
          <a:off x="2722336" y="1087210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29</xdr:row>
      <xdr:rowOff>0</xdr:rowOff>
    </xdr:from>
    <xdr:ext cx="184731" cy="311803"/>
    <xdr:sp macro="" textlink="">
      <xdr:nvSpPr>
        <xdr:cNvPr id="224" name="ZoneTexte 223">
          <a:extLst>
            <a:ext uri="{FF2B5EF4-FFF2-40B4-BE49-F238E27FC236}">
              <a16:creationId xmlns:a16="http://schemas.microsoft.com/office/drawing/2014/main" id="{00000000-0008-0000-0600-0000E0000000}"/>
            </a:ext>
          </a:extLst>
        </xdr:cNvPr>
        <xdr:cNvSpPr txBox="1"/>
      </xdr:nvSpPr>
      <xdr:spPr>
        <a:xfrm>
          <a:off x="2722336" y="1087210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29</xdr:row>
      <xdr:rowOff>0</xdr:rowOff>
    </xdr:from>
    <xdr:ext cx="184731" cy="311803"/>
    <xdr:sp macro="" textlink="">
      <xdr:nvSpPr>
        <xdr:cNvPr id="225" name="ZoneTexte 224">
          <a:extLst>
            <a:ext uri="{FF2B5EF4-FFF2-40B4-BE49-F238E27FC236}">
              <a16:creationId xmlns:a16="http://schemas.microsoft.com/office/drawing/2014/main" id="{00000000-0008-0000-0600-0000E1000000}"/>
            </a:ext>
          </a:extLst>
        </xdr:cNvPr>
        <xdr:cNvSpPr txBox="1"/>
      </xdr:nvSpPr>
      <xdr:spPr>
        <a:xfrm>
          <a:off x="2722336" y="1087210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29</xdr:row>
      <xdr:rowOff>0</xdr:rowOff>
    </xdr:from>
    <xdr:ext cx="184731" cy="311803"/>
    <xdr:sp macro="" textlink="">
      <xdr:nvSpPr>
        <xdr:cNvPr id="226" name="ZoneTexte 225">
          <a:extLst>
            <a:ext uri="{FF2B5EF4-FFF2-40B4-BE49-F238E27FC236}">
              <a16:creationId xmlns:a16="http://schemas.microsoft.com/office/drawing/2014/main" id="{00000000-0008-0000-0600-0000E2000000}"/>
            </a:ext>
          </a:extLst>
        </xdr:cNvPr>
        <xdr:cNvSpPr txBox="1"/>
      </xdr:nvSpPr>
      <xdr:spPr>
        <a:xfrm>
          <a:off x="2722336" y="1087210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29</xdr:row>
      <xdr:rowOff>0</xdr:rowOff>
    </xdr:from>
    <xdr:ext cx="184731" cy="311803"/>
    <xdr:sp macro="" textlink="">
      <xdr:nvSpPr>
        <xdr:cNvPr id="227" name="ZoneTexte 226">
          <a:extLst>
            <a:ext uri="{FF2B5EF4-FFF2-40B4-BE49-F238E27FC236}">
              <a16:creationId xmlns:a16="http://schemas.microsoft.com/office/drawing/2014/main" id="{00000000-0008-0000-0600-0000E3000000}"/>
            </a:ext>
          </a:extLst>
        </xdr:cNvPr>
        <xdr:cNvSpPr txBox="1"/>
      </xdr:nvSpPr>
      <xdr:spPr>
        <a:xfrm>
          <a:off x="2722336" y="1087210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29</xdr:row>
      <xdr:rowOff>0</xdr:rowOff>
    </xdr:from>
    <xdr:ext cx="184731" cy="311803"/>
    <xdr:sp macro="" textlink="">
      <xdr:nvSpPr>
        <xdr:cNvPr id="228" name="ZoneTexte 227">
          <a:extLst>
            <a:ext uri="{FF2B5EF4-FFF2-40B4-BE49-F238E27FC236}">
              <a16:creationId xmlns:a16="http://schemas.microsoft.com/office/drawing/2014/main" id="{00000000-0008-0000-0600-0000E4000000}"/>
            </a:ext>
          </a:extLst>
        </xdr:cNvPr>
        <xdr:cNvSpPr txBox="1"/>
      </xdr:nvSpPr>
      <xdr:spPr>
        <a:xfrm>
          <a:off x="2722336" y="1087210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29</xdr:row>
      <xdr:rowOff>0</xdr:rowOff>
    </xdr:from>
    <xdr:ext cx="184731" cy="311803"/>
    <xdr:sp macro="" textlink="">
      <xdr:nvSpPr>
        <xdr:cNvPr id="229" name="ZoneTexte 228">
          <a:extLst>
            <a:ext uri="{FF2B5EF4-FFF2-40B4-BE49-F238E27FC236}">
              <a16:creationId xmlns:a16="http://schemas.microsoft.com/office/drawing/2014/main" id="{00000000-0008-0000-0600-0000E5000000}"/>
            </a:ext>
          </a:extLst>
        </xdr:cNvPr>
        <xdr:cNvSpPr txBox="1"/>
      </xdr:nvSpPr>
      <xdr:spPr>
        <a:xfrm>
          <a:off x="2722336" y="1087210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29</xdr:row>
      <xdr:rowOff>0</xdr:rowOff>
    </xdr:from>
    <xdr:ext cx="184731" cy="311803"/>
    <xdr:sp macro="" textlink="">
      <xdr:nvSpPr>
        <xdr:cNvPr id="230" name="ZoneTexte 229">
          <a:extLst>
            <a:ext uri="{FF2B5EF4-FFF2-40B4-BE49-F238E27FC236}">
              <a16:creationId xmlns:a16="http://schemas.microsoft.com/office/drawing/2014/main" id="{00000000-0008-0000-0600-0000E6000000}"/>
            </a:ext>
          </a:extLst>
        </xdr:cNvPr>
        <xdr:cNvSpPr txBox="1"/>
      </xdr:nvSpPr>
      <xdr:spPr>
        <a:xfrm>
          <a:off x="2722336" y="1087210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29</xdr:row>
      <xdr:rowOff>0</xdr:rowOff>
    </xdr:from>
    <xdr:ext cx="184731" cy="311803"/>
    <xdr:sp macro="" textlink="">
      <xdr:nvSpPr>
        <xdr:cNvPr id="231" name="ZoneTexte 230">
          <a:extLst>
            <a:ext uri="{FF2B5EF4-FFF2-40B4-BE49-F238E27FC236}">
              <a16:creationId xmlns:a16="http://schemas.microsoft.com/office/drawing/2014/main" id="{00000000-0008-0000-0600-0000E7000000}"/>
            </a:ext>
          </a:extLst>
        </xdr:cNvPr>
        <xdr:cNvSpPr txBox="1"/>
      </xdr:nvSpPr>
      <xdr:spPr>
        <a:xfrm>
          <a:off x="2722336" y="1087210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29</xdr:row>
      <xdr:rowOff>0</xdr:rowOff>
    </xdr:from>
    <xdr:ext cx="184731" cy="311803"/>
    <xdr:sp macro="" textlink="">
      <xdr:nvSpPr>
        <xdr:cNvPr id="232" name="ZoneTexte 231">
          <a:extLst>
            <a:ext uri="{FF2B5EF4-FFF2-40B4-BE49-F238E27FC236}">
              <a16:creationId xmlns:a16="http://schemas.microsoft.com/office/drawing/2014/main" id="{00000000-0008-0000-0600-0000E8000000}"/>
            </a:ext>
          </a:extLst>
        </xdr:cNvPr>
        <xdr:cNvSpPr txBox="1"/>
      </xdr:nvSpPr>
      <xdr:spPr>
        <a:xfrm>
          <a:off x="2722336" y="1087210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27</xdr:row>
      <xdr:rowOff>0</xdr:rowOff>
    </xdr:from>
    <xdr:ext cx="184731" cy="311803"/>
    <xdr:sp macro="" textlink="">
      <xdr:nvSpPr>
        <xdr:cNvPr id="233" name="ZoneTexte 232">
          <a:extLst>
            <a:ext uri="{FF2B5EF4-FFF2-40B4-BE49-F238E27FC236}">
              <a16:creationId xmlns:a16="http://schemas.microsoft.com/office/drawing/2014/main" id="{00000000-0008-0000-0600-0000E9000000}"/>
            </a:ext>
          </a:extLst>
        </xdr:cNvPr>
        <xdr:cNvSpPr txBox="1"/>
      </xdr:nvSpPr>
      <xdr:spPr>
        <a:xfrm>
          <a:off x="2722336" y="706210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27</xdr:row>
      <xdr:rowOff>0</xdr:rowOff>
    </xdr:from>
    <xdr:ext cx="184731" cy="311803"/>
    <xdr:sp macro="" textlink="">
      <xdr:nvSpPr>
        <xdr:cNvPr id="234" name="ZoneTexte 233">
          <a:extLst>
            <a:ext uri="{FF2B5EF4-FFF2-40B4-BE49-F238E27FC236}">
              <a16:creationId xmlns:a16="http://schemas.microsoft.com/office/drawing/2014/main" id="{00000000-0008-0000-0600-0000EA000000}"/>
            </a:ext>
          </a:extLst>
        </xdr:cNvPr>
        <xdr:cNvSpPr txBox="1"/>
      </xdr:nvSpPr>
      <xdr:spPr>
        <a:xfrm>
          <a:off x="2722336" y="706210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27</xdr:row>
      <xdr:rowOff>0</xdr:rowOff>
    </xdr:from>
    <xdr:ext cx="184731" cy="311803"/>
    <xdr:sp macro="" textlink="">
      <xdr:nvSpPr>
        <xdr:cNvPr id="235" name="ZoneTexte 234">
          <a:extLst>
            <a:ext uri="{FF2B5EF4-FFF2-40B4-BE49-F238E27FC236}">
              <a16:creationId xmlns:a16="http://schemas.microsoft.com/office/drawing/2014/main" id="{00000000-0008-0000-0600-0000EB000000}"/>
            </a:ext>
          </a:extLst>
        </xdr:cNvPr>
        <xdr:cNvSpPr txBox="1"/>
      </xdr:nvSpPr>
      <xdr:spPr>
        <a:xfrm>
          <a:off x="2722336" y="706210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27</xdr:row>
      <xdr:rowOff>0</xdr:rowOff>
    </xdr:from>
    <xdr:ext cx="184731" cy="311803"/>
    <xdr:sp macro="" textlink="">
      <xdr:nvSpPr>
        <xdr:cNvPr id="236" name="ZoneTexte 235">
          <a:extLst>
            <a:ext uri="{FF2B5EF4-FFF2-40B4-BE49-F238E27FC236}">
              <a16:creationId xmlns:a16="http://schemas.microsoft.com/office/drawing/2014/main" id="{00000000-0008-0000-0600-0000EC000000}"/>
            </a:ext>
          </a:extLst>
        </xdr:cNvPr>
        <xdr:cNvSpPr txBox="1"/>
      </xdr:nvSpPr>
      <xdr:spPr>
        <a:xfrm>
          <a:off x="2722336" y="706210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27</xdr:row>
      <xdr:rowOff>0</xdr:rowOff>
    </xdr:from>
    <xdr:ext cx="184731" cy="311803"/>
    <xdr:sp macro="" textlink="">
      <xdr:nvSpPr>
        <xdr:cNvPr id="237" name="ZoneTexte 236">
          <a:extLst>
            <a:ext uri="{FF2B5EF4-FFF2-40B4-BE49-F238E27FC236}">
              <a16:creationId xmlns:a16="http://schemas.microsoft.com/office/drawing/2014/main" id="{00000000-0008-0000-0600-0000ED000000}"/>
            </a:ext>
          </a:extLst>
        </xdr:cNvPr>
        <xdr:cNvSpPr txBox="1"/>
      </xdr:nvSpPr>
      <xdr:spPr>
        <a:xfrm>
          <a:off x="2722336" y="706210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27</xdr:row>
      <xdr:rowOff>0</xdr:rowOff>
    </xdr:from>
    <xdr:ext cx="184731" cy="311803"/>
    <xdr:sp macro="" textlink="">
      <xdr:nvSpPr>
        <xdr:cNvPr id="238" name="ZoneTexte 237">
          <a:extLst>
            <a:ext uri="{FF2B5EF4-FFF2-40B4-BE49-F238E27FC236}">
              <a16:creationId xmlns:a16="http://schemas.microsoft.com/office/drawing/2014/main" id="{00000000-0008-0000-0600-0000EE000000}"/>
            </a:ext>
          </a:extLst>
        </xdr:cNvPr>
        <xdr:cNvSpPr txBox="1"/>
      </xdr:nvSpPr>
      <xdr:spPr>
        <a:xfrm>
          <a:off x="2722336" y="706210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27</xdr:row>
      <xdr:rowOff>0</xdr:rowOff>
    </xdr:from>
    <xdr:ext cx="184731" cy="311803"/>
    <xdr:sp macro="" textlink="">
      <xdr:nvSpPr>
        <xdr:cNvPr id="239" name="ZoneTexte 238">
          <a:extLst>
            <a:ext uri="{FF2B5EF4-FFF2-40B4-BE49-F238E27FC236}">
              <a16:creationId xmlns:a16="http://schemas.microsoft.com/office/drawing/2014/main" id="{00000000-0008-0000-0600-0000EF000000}"/>
            </a:ext>
          </a:extLst>
        </xdr:cNvPr>
        <xdr:cNvSpPr txBox="1"/>
      </xdr:nvSpPr>
      <xdr:spPr>
        <a:xfrm>
          <a:off x="2722336" y="706210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27</xdr:row>
      <xdr:rowOff>0</xdr:rowOff>
    </xdr:from>
    <xdr:ext cx="184731" cy="311803"/>
    <xdr:sp macro="" textlink="">
      <xdr:nvSpPr>
        <xdr:cNvPr id="240" name="ZoneTexte 239">
          <a:extLst>
            <a:ext uri="{FF2B5EF4-FFF2-40B4-BE49-F238E27FC236}">
              <a16:creationId xmlns:a16="http://schemas.microsoft.com/office/drawing/2014/main" id="{00000000-0008-0000-0600-0000F0000000}"/>
            </a:ext>
          </a:extLst>
        </xdr:cNvPr>
        <xdr:cNvSpPr txBox="1"/>
      </xdr:nvSpPr>
      <xdr:spPr>
        <a:xfrm>
          <a:off x="2722336" y="706210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27</xdr:row>
      <xdr:rowOff>0</xdr:rowOff>
    </xdr:from>
    <xdr:ext cx="184731" cy="311803"/>
    <xdr:sp macro="" textlink="">
      <xdr:nvSpPr>
        <xdr:cNvPr id="241" name="ZoneTexte 240">
          <a:extLst>
            <a:ext uri="{FF2B5EF4-FFF2-40B4-BE49-F238E27FC236}">
              <a16:creationId xmlns:a16="http://schemas.microsoft.com/office/drawing/2014/main" id="{00000000-0008-0000-0600-0000F1000000}"/>
            </a:ext>
          </a:extLst>
        </xdr:cNvPr>
        <xdr:cNvSpPr txBox="1"/>
      </xdr:nvSpPr>
      <xdr:spPr>
        <a:xfrm>
          <a:off x="2722336" y="706210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27</xdr:row>
      <xdr:rowOff>0</xdr:rowOff>
    </xdr:from>
    <xdr:ext cx="184731" cy="311803"/>
    <xdr:sp macro="" textlink="">
      <xdr:nvSpPr>
        <xdr:cNvPr id="242" name="ZoneTexte 241">
          <a:extLst>
            <a:ext uri="{FF2B5EF4-FFF2-40B4-BE49-F238E27FC236}">
              <a16:creationId xmlns:a16="http://schemas.microsoft.com/office/drawing/2014/main" id="{00000000-0008-0000-0600-0000F2000000}"/>
            </a:ext>
          </a:extLst>
        </xdr:cNvPr>
        <xdr:cNvSpPr txBox="1"/>
      </xdr:nvSpPr>
      <xdr:spPr>
        <a:xfrm>
          <a:off x="2722336" y="706210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30</xdr:row>
      <xdr:rowOff>0</xdr:rowOff>
    </xdr:from>
    <xdr:ext cx="184731" cy="311803"/>
    <xdr:sp macro="" textlink="">
      <xdr:nvSpPr>
        <xdr:cNvPr id="243" name="ZoneTexte 242">
          <a:extLst>
            <a:ext uri="{FF2B5EF4-FFF2-40B4-BE49-F238E27FC236}">
              <a16:creationId xmlns:a16="http://schemas.microsoft.com/office/drawing/2014/main" id="{00000000-0008-0000-0600-0000F3000000}"/>
            </a:ext>
          </a:extLst>
        </xdr:cNvPr>
        <xdr:cNvSpPr txBox="1"/>
      </xdr:nvSpPr>
      <xdr:spPr>
        <a:xfrm>
          <a:off x="2722336" y="1087210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30</xdr:row>
      <xdr:rowOff>0</xdr:rowOff>
    </xdr:from>
    <xdr:ext cx="184731" cy="311803"/>
    <xdr:sp macro="" textlink="">
      <xdr:nvSpPr>
        <xdr:cNvPr id="244" name="ZoneTexte 243">
          <a:extLst>
            <a:ext uri="{FF2B5EF4-FFF2-40B4-BE49-F238E27FC236}">
              <a16:creationId xmlns:a16="http://schemas.microsoft.com/office/drawing/2014/main" id="{00000000-0008-0000-0600-0000F4000000}"/>
            </a:ext>
          </a:extLst>
        </xdr:cNvPr>
        <xdr:cNvSpPr txBox="1"/>
      </xdr:nvSpPr>
      <xdr:spPr>
        <a:xfrm>
          <a:off x="2722336" y="1087210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30</xdr:row>
      <xdr:rowOff>0</xdr:rowOff>
    </xdr:from>
    <xdr:ext cx="184731" cy="311803"/>
    <xdr:sp macro="" textlink="">
      <xdr:nvSpPr>
        <xdr:cNvPr id="245" name="ZoneTexte 244">
          <a:extLst>
            <a:ext uri="{FF2B5EF4-FFF2-40B4-BE49-F238E27FC236}">
              <a16:creationId xmlns:a16="http://schemas.microsoft.com/office/drawing/2014/main" id="{00000000-0008-0000-0600-0000F5000000}"/>
            </a:ext>
          </a:extLst>
        </xdr:cNvPr>
        <xdr:cNvSpPr txBox="1"/>
      </xdr:nvSpPr>
      <xdr:spPr>
        <a:xfrm>
          <a:off x="2722336" y="1087210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30</xdr:row>
      <xdr:rowOff>0</xdr:rowOff>
    </xdr:from>
    <xdr:ext cx="184731" cy="311803"/>
    <xdr:sp macro="" textlink="">
      <xdr:nvSpPr>
        <xdr:cNvPr id="246" name="ZoneTexte 245">
          <a:extLst>
            <a:ext uri="{FF2B5EF4-FFF2-40B4-BE49-F238E27FC236}">
              <a16:creationId xmlns:a16="http://schemas.microsoft.com/office/drawing/2014/main" id="{00000000-0008-0000-0600-0000F6000000}"/>
            </a:ext>
          </a:extLst>
        </xdr:cNvPr>
        <xdr:cNvSpPr txBox="1"/>
      </xdr:nvSpPr>
      <xdr:spPr>
        <a:xfrm>
          <a:off x="2722336" y="1087210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30</xdr:row>
      <xdr:rowOff>0</xdr:rowOff>
    </xdr:from>
    <xdr:ext cx="184731" cy="311803"/>
    <xdr:sp macro="" textlink="">
      <xdr:nvSpPr>
        <xdr:cNvPr id="247" name="ZoneTexte 246">
          <a:extLst>
            <a:ext uri="{FF2B5EF4-FFF2-40B4-BE49-F238E27FC236}">
              <a16:creationId xmlns:a16="http://schemas.microsoft.com/office/drawing/2014/main" id="{00000000-0008-0000-0600-0000F7000000}"/>
            </a:ext>
          </a:extLst>
        </xdr:cNvPr>
        <xdr:cNvSpPr txBox="1"/>
      </xdr:nvSpPr>
      <xdr:spPr>
        <a:xfrm>
          <a:off x="2722336" y="1087210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30</xdr:row>
      <xdr:rowOff>0</xdr:rowOff>
    </xdr:from>
    <xdr:ext cx="184731" cy="311803"/>
    <xdr:sp macro="" textlink="">
      <xdr:nvSpPr>
        <xdr:cNvPr id="248" name="ZoneTexte 247">
          <a:extLst>
            <a:ext uri="{FF2B5EF4-FFF2-40B4-BE49-F238E27FC236}">
              <a16:creationId xmlns:a16="http://schemas.microsoft.com/office/drawing/2014/main" id="{00000000-0008-0000-0600-0000F8000000}"/>
            </a:ext>
          </a:extLst>
        </xdr:cNvPr>
        <xdr:cNvSpPr txBox="1"/>
      </xdr:nvSpPr>
      <xdr:spPr>
        <a:xfrm>
          <a:off x="2722336" y="1087210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30</xdr:row>
      <xdr:rowOff>0</xdr:rowOff>
    </xdr:from>
    <xdr:ext cx="184731" cy="311803"/>
    <xdr:sp macro="" textlink="">
      <xdr:nvSpPr>
        <xdr:cNvPr id="249" name="ZoneTexte 248">
          <a:extLst>
            <a:ext uri="{FF2B5EF4-FFF2-40B4-BE49-F238E27FC236}">
              <a16:creationId xmlns:a16="http://schemas.microsoft.com/office/drawing/2014/main" id="{00000000-0008-0000-0600-0000F9000000}"/>
            </a:ext>
          </a:extLst>
        </xdr:cNvPr>
        <xdr:cNvSpPr txBox="1"/>
      </xdr:nvSpPr>
      <xdr:spPr>
        <a:xfrm>
          <a:off x="2722336" y="1087210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30</xdr:row>
      <xdr:rowOff>0</xdr:rowOff>
    </xdr:from>
    <xdr:ext cx="184731" cy="311803"/>
    <xdr:sp macro="" textlink="">
      <xdr:nvSpPr>
        <xdr:cNvPr id="250" name="ZoneTexte 249">
          <a:extLst>
            <a:ext uri="{FF2B5EF4-FFF2-40B4-BE49-F238E27FC236}">
              <a16:creationId xmlns:a16="http://schemas.microsoft.com/office/drawing/2014/main" id="{00000000-0008-0000-0600-0000FA000000}"/>
            </a:ext>
          </a:extLst>
        </xdr:cNvPr>
        <xdr:cNvSpPr txBox="1"/>
      </xdr:nvSpPr>
      <xdr:spPr>
        <a:xfrm>
          <a:off x="2722336" y="1087210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30</xdr:row>
      <xdr:rowOff>0</xdr:rowOff>
    </xdr:from>
    <xdr:ext cx="184731" cy="311803"/>
    <xdr:sp macro="" textlink="">
      <xdr:nvSpPr>
        <xdr:cNvPr id="251" name="ZoneTexte 250">
          <a:extLst>
            <a:ext uri="{FF2B5EF4-FFF2-40B4-BE49-F238E27FC236}">
              <a16:creationId xmlns:a16="http://schemas.microsoft.com/office/drawing/2014/main" id="{00000000-0008-0000-0600-0000FB000000}"/>
            </a:ext>
          </a:extLst>
        </xdr:cNvPr>
        <xdr:cNvSpPr txBox="1"/>
      </xdr:nvSpPr>
      <xdr:spPr>
        <a:xfrm>
          <a:off x="2722336" y="1087210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30</xdr:row>
      <xdr:rowOff>0</xdr:rowOff>
    </xdr:from>
    <xdr:ext cx="184731" cy="311803"/>
    <xdr:sp macro="" textlink="">
      <xdr:nvSpPr>
        <xdr:cNvPr id="252" name="ZoneTexte 251">
          <a:extLst>
            <a:ext uri="{FF2B5EF4-FFF2-40B4-BE49-F238E27FC236}">
              <a16:creationId xmlns:a16="http://schemas.microsoft.com/office/drawing/2014/main" id="{00000000-0008-0000-0600-0000FC000000}"/>
            </a:ext>
          </a:extLst>
        </xdr:cNvPr>
        <xdr:cNvSpPr txBox="1"/>
      </xdr:nvSpPr>
      <xdr:spPr>
        <a:xfrm>
          <a:off x="2722336" y="1087210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31</xdr:row>
      <xdr:rowOff>0</xdr:rowOff>
    </xdr:from>
    <xdr:ext cx="184731" cy="311803"/>
    <xdr:sp macro="" textlink="">
      <xdr:nvSpPr>
        <xdr:cNvPr id="253" name="ZoneTexte 252">
          <a:extLst>
            <a:ext uri="{FF2B5EF4-FFF2-40B4-BE49-F238E27FC236}">
              <a16:creationId xmlns:a16="http://schemas.microsoft.com/office/drawing/2014/main" id="{00000000-0008-0000-0600-0000FD000000}"/>
            </a:ext>
          </a:extLst>
        </xdr:cNvPr>
        <xdr:cNvSpPr txBox="1"/>
      </xdr:nvSpPr>
      <xdr:spPr>
        <a:xfrm>
          <a:off x="2722336" y="1039585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31</xdr:row>
      <xdr:rowOff>0</xdr:rowOff>
    </xdr:from>
    <xdr:ext cx="184731" cy="311803"/>
    <xdr:sp macro="" textlink="">
      <xdr:nvSpPr>
        <xdr:cNvPr id="254" name="ZoneTexte 253">
          <a:extLst>
            <a:ext uri="{FF2B5EF4-FFF2-40B4-BE49-F238E27FC236}">
              <a16:creationId xmlns:a16="http://schemas.microsoft.com/office/drawing/2014/main" id="{00000000-0008-0000-0600-0000FE000000}"/>
            </a:ext>
          </a:extLst>
        </xdr:cNvPr>
        <xdr:cNvSpPr txBox="1"/>
      </xdr:nvSpPr>
      <xdr:spPr>
        <a:xfrm>
          <a:off x="2722336" y="1039585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31</xdr:row>
      <xdr:rowOff>0</xdr:rowOff>
    </xdr:from>
    <xdr:ext cx="184731" cy="311803"/>
    <xdr:sp macro="" textlink="">
      <xdr:nvSpPr>
        <xdr:cNvPr id="255" name="ZoneTexte 254">
          <a:extLst>
            <a:ext uri="{FF2B5EF4-FFF2-40B4-BE49-F238E27FC236}">
              <a16:creationId xmlns:a16="http://schemas.microsoft.com/office/drawing/2014/main" id="{00000000-0008-0000-0600-0000FF000000}"/>
            </a:ext>
          </a:extLst>
        </xdr:cNvPr>
        <xdr:cNvSpPr txBox="1"/>
      </xdr:nvSpPr>
      <xdr:spPr>
        <a:xfrm>
          <a:off x="2722336" y="1039585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31</xdr:row>
      <xdr:rowOff>0</xdr:rowOff>
    </xdr:from>
    <xdr:ext cx="184731" cy="311803"/>
    <xdr:sp macro="" textlink="">
      <xdr:nvSpPr>
        <xdr:cNvPr id="256" name="ZoneTexte 255">
          <a:extLst>
            <a:ext uri="{FF2B5EF4-FFF2-40B4-BE49-F238E27FC236}">
              <a16:creationId xmlns:a16="http://schemas.microsoft.com/office/drawing/2014/main" id="{00000000-0008-0000-0600-000000010000}"/>
            </a:ext>
          </a:extLst>
        </xdr:cNvPr>
        <xdr:cNvSpPr txBox="1"/>
      </xdr:nvSpPr>
      <xdr:spPr>
        <a:xfrm>
          <a:off x="2722336" y="1039585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31</xdr:row>
      <xdr:rowOff>0</xdr:rowOff>
    </xdr:from>
    <xdr:ext cx="184731" cy="311803"/>
    <xdr:sp macro="" textlink="">
      <xdr:nvSpPr>
        <xdr:cNvPr id="257" name="ZoneTexte 256">
          <a:extLst>
            <a:ext uri="{FF2B5EF4-FFF2-40B4-BE49-F238E27FC236}">
              <a16:creationId xmlns:a16="http://schemas.microsoft.com/office/drawing/2014/main" id="{00000000-0008-0000-0600-000001010000}"/>
            </a:ext>
          </a:extLst>
        </xdr:cNvPr>
        <xdr:cNvSpPr txBox="1"/>
      </xdr:nvSpPr>
      <xdr:spPr>
        <a:xfrm>
          <a:off x="2722336" y="1039585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31</xdr:row>
      <xdr:rowOff>0</xdr:rowOff>
    </xdr:from>
    <xdr:ext cx="184731" cy="311803"/>
    <xdr:sp macro="" textlink="">
      <xdr:nvSpPr>
        <xdr:cNvPr id="258" name="ZoneTexte 257">
          <a:extLst>
            <a:ext uri="{FF2B5EF4-FFF2-40B4-BE49-F238E27FC236}">
              <a16:creationId xmlns:a16="http://schemas.microsoft.com/office/drawing/2014/main" id="{00000000-0008-0000-0600-000002010000}"/>
            </a:ext>
          </a:extLst>
        </xdr:cNvPr>
        <xdr:cNvSpPr txBox="1"/>
      </xdr:nvSpPr>
      <xdr:spPr>
        <a:xfrm>
          <a:off x="2722336" y="1039585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31</xdr:row>
      <xdr:rowOff>0</xdr:rowOff>
    </xdr:from>
    <xdr:ext cx="184731" cy="311803"/>
    <xdr:sp macro="" textlink="">
      <xdr:nvSpPr>
        <xdr:cNvPr id="259" name="ZoneTexte 258">
          <a:extLst>
            <a:ext uri="{FF2B5EF4-FFF2-40B4-BE49-F238E27FC236}">
              <a16:creationId xmlns:a16="http://schemas.microsoft.com/office/drawing/2014/main" id="{00000000-0008-0000-0600-000003010000}"/>
            </a:ext>
          </a:extLst>
        </xdr:cNvPr>
        <xdr:cNvSpPr txBox="1"/>
      </xdr:nvSpPr>
      <xdr:spPr>
        <a:xfrm>
          <a:off x="2722336" y="1039585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31</xdr:row>
      <xdr:rowOff>0</xdr:rowOff>
    </xdr:from>
    <xdr:ext cx="184731" cy="311803"/>
    <xdr:sp macro="" textlink="">
      <xdr:nvSpPr>
        <xdr:cNvPr id="260" name="ZoneTexte 259">
          <a:extLst>
            <a:ext uri="{FF2B5EF4-FFF2-40B4-BE49-F238E27FC236}">
              <a16:creationId xmlns:a16="http://schemas.microsoft.com/office/drawing/2014/main" id="{00000000-0008-0000-0600-000004010000}"/>
            </a:ext>
          </a:extLst>
        </xdr:cNvPr>
        <xdr:cNvSpPr txBox="1"/>
      </xdr:nvSpPr>
      <xdr:spPr>
        <a:xfrm>
          <a:off x="2722336" y="1039585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31</xdr:row>
      <xdr:rowOff>0</xdr:rowOff>
    </xdr:from>
    <xdr:ext cx="184731" cy="311803"/>
    <xdr:sp macro="" textlink="">
      <xdr:nvSpPr>
        <xdr:cNvPr id="261" name="ZoneTexte 260">
          <a:extLst>
            <a:ext uri="{FF2B5EF4-FFF2-40B4-BE49-F238E27FC236}">
              <a16:creationId xmlns:a16="http://schemas.microsoft.com/office/drawing/2014/main" id="{00000000-0008-0000-0600-000005010000}"/>
            </a:ext>
          </a:extLst>
        </xdr:cNvPr>
        <xdr:cNvSpPr txBox="1"/>
      </xdr:nvSpPr>
      <xdr:spPr>
        <a:xfrm>
          <a:off x="2722336" y="1039585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31</xdr:row>
      <xdr:rowOff>0</xdr:rowOff>
    </xdr:from>
    <xdr:ext cx="184731" cy="311803"/>
    <xdr:sp macro="" textlink="">
      <xdr:nvSpPr>
        <xdr:cNvPr id="262" name="ZoneTexte 261">
          <a:extLst>
            <a:ext uri="{FF2B5EF4-FFF2-40B4-BE49-F238E27FC236}">
              <a16:creationId xmlns:a16="http://schemas.microsoft.com/office/drawing/2014/main" id="{00000000-0008-0000-0600-000006010000}"/>
            </a:ext>
          </a:extLst>
        </xdr:cNvPr>
        <xdr:cNvSpPr txBox="1"/>
      </xdr:nvSpPr>
      <xdr:spPr>
        <a:xfrm>
          <a:off x="2722336" y="1039585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33</xdr:row>
      <xdr:rowOff>0</xdr:rowOff>
    </xdr:from>
    <xdr:ext cx="184731" cy="311803"/>
    <xdr:sp macro="" textlink="">
      <xdr:nvSpPr>
        <xdr:cNvPr id="263" name="ZoneTexte 262">
          <a:extLst>
            <a:ext uri="{FF2B5EF4-FFF2-40B4-BE49-F238E27FC236}">
              <a16:creationId xmlns:a16="http://schemas.microsoft.com/office/drawing/2014/main" id="{00000000-0008-0000-0600-000007010000}"/>
            </a:ext>
          </a:extLst>
        </xdr:cNvPr>
        <xdr:cNvSpPr txBox="1"/>
      </xdr:nvSpPr>
      <xdr:spPr>
        <a:xfrm>
          <a:off x="2722336" y="1087210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33</xdr:row>
      <xdr:rowOff>0</xdr:rowOff>
    </xdr:from>
    <xdr:ext cx="184731" cy="311803"/>
    <xdr:sp macro="" textlink="">
      <xdr:nvSpPr>
        <xdr:cNvPr id="264" name="ZoneTexte 263">
          <a:extLst>
            <a:ext uri="{FF2B5EF4-FFF2-40B4-BE49-F238E27FC236}">
              <a16:creationId xmlns:a16="http://schemas.microsoft.com/office/drawing/2014/main" id="{00000000-0008-0000-0600-000008010000}"/>
            </a:ext>
          </a:extLst>
        </xdr:cNvPr>
        <xdr:cNvSpPr txBox="1"/>
      </xdr:nvSpPr>
      <xdr:spPr>
        <a:xfrm>
          <a:off x="2722336" y="1087210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33</xdr:row>
      <xdr:rowOff>0</xdr:rowOff>
    </xdr:from>
    <xdr:ext cx="184731" cy="311803"/>
    <xdr:sp macro="" textlink="">
      <xdr:nvSpPr>
        <xdr:cNvPr id="265" name="ZoneTexte 264">
          <a:extLst>
            <a:ext uri="{FF2B5EF4-FFF2-40B4-BE49-F238E27FC236}">
              <a16:creationId xmlns:a16="http://schemas.microsoft.com/office/drawing/2014/main" id="{00000000-0008-0000-0600-000009010000}"/>
            </a:ext>
          </a:extLst>
        </xdr:cNvPr>
        <xdr:cNvSpPr txBox="1"/>
      </xdr:nvSpPr>
      <xdr:spPr>
        <a:xfrm>
          <a:off x="2722336" y="1087210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33</xdr:row>
      <xdr:rowOff>0</xdr:rowOff>
    </xdr:from>
    <xdr:ext cx="184731" cy="311803"/>
    <xdr:sp macro="" textlink="">
      <xdr:nvSpPr>
        <xdr:cNvPr id="266" name="ZoneTexte 265">
          <a:extLst>
            <a:ext uri="{FF2B5EF4-FFF2-40B4-BE49-F238E27FC236}">
              <a16:creationId xmlns:a16="http://schemas.microsoft.com/office/drawing/2014/main" id="{00000000-0008-0000-0600-00000A010000}"/>
            </a:ext>
          </a:extLst>
        </xdr:cNvPr>
        <xdr:cNvSpPr txBox="1"/>
      </xdr:nvSpPr>
      <xdr:spPr>
        <a:xfrm>
          <a:off x="2722336" y="1087210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33</xdr:row>
      <xdr:rowOff>0</xdr:rowOff>
    </xdr:from>
    <xdr:ext cx="184731" cy="311803"/>
    <xdr:sp macro="" textlink="">
      <xdr:nvSpPr>
        <xdr:cNvPr id="267" name="ZoneTexte 266">
          <a:extLst>
            <a:ext uri="{FF2B5EF4-FFF2-40B4-BE49-F238E27FC236}">
              <a16:creationId xmlns:a16="http://schemas.microsoft.com/office/drawing/2014/main" id="{00000000-0008-0000-0600-00000B010000}"/>
            </a:ext>
          </a:extLst>
        </xdr:cNvPr>
        <xdr:cNvSpPr txBox="1"/>
      </xdr:nvSpPr>
      <xdr:spPr>
        <a:xfrm>
          <a:off x="2722336" y="1087210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33</xdr:row>
      <xdr:rowOff>0</xdr:rowOff>
    </xdr:from>
    <xdr:ext cx="184731" cy="311803"/>
    <xdr:sp macro="" textlink="">
      <xdr:nvSpPr>
        <xdr:cNvPr id="268" name="ZoneTexte 267">
          <a:extLst>
            <a:ext uri="{FF2B5EF4-FFF2-40B4-BE49-F238E27FC236}">
              <a16:creationId xmlns:a16="http://schemas.microsoft.com/office/drawing/2014/main" id="{00000000-0008-0000-0600-00000C010000}"/>
            </a:ext>
          </a:extLst>
        </xdr:cNvPr>
        <xdr:cNvSpPr txBox="1"/>
      </xdr:nvSpPr>
      <xdr:spPr>
        <a:xfrm>
          <a:off x="2722336" y="1087210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33</xdr:row>
      <xdr:rowOff>0</xdr:rowOff>
    </xdr:from>
    <xdr:ext cx="184731" cy="311803"/>
    <xdr:sp macro="" textlink="">
      <xdr:nvSpPr>
        <xdr:cNvPr id="269" name="ZoneTexte 268">
          <a:extLst>
            <a:ext uri="{FF2B5EF4-FFF2-40B4-BE49-F238E27FC236}">
              <a16:creationId xmlns:a16="http://schemas.microsoft.com/office/drawing/2014/main" id="{00000000-0008-0000-0600-00000D010000}"/>
            </a:ext>
          </a:extLst>
        </xdr:cNvPr>
        <xdr:cNvSpPr txBox="1"/>
      </xdr:nvSpPr>
      <xdr:spPr>
        <a:xfrm>
          <a:off x="2722336" y="1087210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33</xdr:row>
      <xdr:rowOff>0</xdr:rowOff>
    </xdr:from>
    <xdr:ext cx="184731" cy="311803"/>
    <xdr:sp macro="" textlink="">
      <xdr:nvSpPr>
        <xdr:cNvPr id="270" name="ZoneTexte 269">
          <a:extLst>
            <a:ext uri="{FF2B5EF4-FFF2-40B4-BE49-F238E27FC236}">
              <a16:creationId xmlns:a16="http://schemas.microsoft.com/office/drawing/2014/main" id="{00000000-0008-0000-0600-00000E010000}"/>
            </a:ext>
          </a:extLst>
        </xdr:cNvPr>
        <xdr:cNvSpPr txBox="1"/>
      </xdr:nvSpPr>
      <xdr:spPr>
        <a:xfrm>
          <a:off x="2722336" y="1087210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33</xdr:row>
      <xdr:rowOff>0</xdr:rowOff>
    </xdr:from>
    <xdr:ext cx="184731" cy="311803"/>
    <xdr:sp macro="" textlink="">
      <xdr:nvSpPr>
        <xdr:cNvPr id="271" name="ZoneTexte 270">
          <a:extLst>
            <a:ext uri="{FF2B5EF4-FFF2-40B4-BE49-F238E27FC236}">
              <a16:creationId xmlns:a16="http://schemas.microsoft.com/office/drawing/2014/main" id="{00000000-0008-0000-0600-00000F010000}"/>
            </a:ext>
          </a:extLst>
        </xdr:cNvPr>
        <xdr:cNvSpPr txBox="1"/>
      </xdr:nvSpPr>
      <xdr:spPr>
        <a:xfrm>
          <a:off x="2722336" y="1087210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33</xdr:row>
      <xdr:rowOff>0</xdr:rowOff>
    </xdr:from>
    <xdr:ext cx="184731" cy="311803"/>
    <xdr:sp macro="" textlink="">
      <xdr:nvSpPr>
        <xdr:cNvPr id="272" name="ZoneTexte 271">
          <a:extLst>
            <a:ext uri="{FF2B5EF4-FFF2-40B4-BE49-F238E27FC236}">
              <a16:creationId xmlns:a16="http://schemas.microsoft.com/office/drawing/2014/main" id="{00000000-0008-0000-0600-000010010000}"/>
            </a:ext>
          </a:extLst>
        </xdr:cNvPr>
        <xdr:cNvSpPr txBox="1"/>
      </xdr:nvSpPr>
      <xdr:spPr>
        <a:xfrm>
          <a:off x="2722336" y="1087210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32</xdr:row>
      <xdr:rowOff>0</xdr:rowOff>
    </xdr:from>
    <xdr:ext cx="184731" cy="311803"/>
    <xdr:sp macro="" textlink="">
      <xdr:nvSpPr>
        <xdr:cNvPr id="273" name="ZoneTexte 272">
          <a:extLst>
            <a:ext uri="{FF2B5EF4-FFF2-40B4-BE49-F238E27FC236}">
              <a16:creationId xmlns:a16="http://schemas.microsoft.com/office/drawing/2014/main" id="{00000000-0008-0000-0600-000011010000}"/>
            </a:ext>
          </a:extLst>
        </xdr:cNvPr>
        <xdr:cNvSpPr txBox="1"/>
      </xdr:nvSpPr>
      <xdr:spPr>
        <a:xfrm>
          <a:off x="2722336" y="1039585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32</xdr:row>
      <xdr:rowOff>0</xdr:rowOff>
    </xdr:from>
    <xdr:ext cx="184731" cy="311803"/>
    <xdr:sp macro="" textlink="">
      <xdr:nvSpPr>
        <xdr:cNvPr id="274" name="ZoneTexte 273">
          <a:extLst>
            <a:ext uri="{FF2B5EF4-FFF2-40B4-BE49-F238E27FC236}">
              <a16:creationId xmlns:a16="http://schemas.microsoft.com/office/drawing/2014/main" id="{00000000-0008-0000-0600-000012010000}"/>
            </a:ext>
          </a:extLst>
        </xdr:cNvPr>
        <xdr:cNvSpPr txBox="1"/>
      </xdr:nvSpPr>
      <xdr:spPr>
        <a:xfrm>
          <a:off x="2722336" y="1039585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32</xdr:row>
      <xdr:rowOff>0</xdr:rowOff>
    </xdr:from>
    <xdr:ext cx="184731" cy="311803"/>
    <xdr:sp macro="" textlink="">
      <xdr:nvSpPr>
        <xdr:cNvPr id="275" name="ZoneTexte 274">
          <a:extLst>
            <a:ext uri="{FF2B5EF4-FFF2-40B4-BE49-F238E27FC236}">
              <a16:creationId xmlns:a16="http://schemas.microsoft.com/office/drawing/2014/main" id="{00000000-0008-0000-0600-000013010000}"/>
            </a:ext>
          </a:extLst>
        </xdr:cNvPr>
        <xdr:cNvSpPr txBox="1"/>
      </xdr:nvSpPr>
      <xdr:spPr>
        <a:xfrm>
          <a:off x="2722336" y="1039585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32</xdr:row>
      <xdr:rowOff>0</xdr:rowOff>
    </xdr:from>
    <xdr:ext cx="184731" cy="311803"/>
    <xdr:sp macro="" textlink="">
      <xdr:nvSpPr>
        <xdr:cNvPr id="276" name="ZoneTexte 275">
          <a:extLst>
            <a:ext uri="{FF2B5EF4-FFF2-40B4-BE49-F238E27FC236}">
              <a16:creationId xmlns:a16="http://schemas.microsoft.com/office/drawing/2014/main" id="{00000000-0008-0000-0600-000014010000}"/>
            </a:ext>
          </a:extLst>
        </xdr:cNvPr>
        <xdr:cNvSpPr txBox="1"/>
      </xdr:nvSpPr>
      <xdr:spPr>
        <a:xfrm>
          <a:off x="2722336" y="1039585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32</xdr:row>
      <xdr:rowOff>0</xdr:rowOff>
    </xdr:from>
    <xdr:ext cx="184731" cy="311803"/>
    <xdr:sp macro="" textlink="">
      <xdr:nvSpPr>
        <xdr:cNvPr id="277" name="ZoneTexte 276">
          <a:extLst>
            <a:ext uri="{FF2B5EF4-FFF2-40B4-BE49-F238E27FC236}">
              <a16:creationId xmlns:a16="http://schemas.microsoft.com/office/drawing/2014/main" id="{00000000-0008-0000-0600-000015010000}"/>
            </a:ext>
          </a:extLst>
        </xdr:cNvPr>
        <xdr:cNvSpPr txBox="1"/>
      </xdr:nvSpPr>
      <xdr:spPr>
        <a:xfrm>
          <a:off x="2722336" y="1039585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32</xdr:row>
      <xdr:rowOff>0</xdr:rowOff>
    </xdr:from>
    <xdr:ext cx="184731" cy="311803"/>
    <xdr:sp macro="" textlink="">
      <xdr:nvSpPr>
        <xdr:cNvPr id="278" name="ZoneTexte 277">
          <a:extLst>
            <a:ext uri="{FF2B5EF4-FFF2-40B4-BE49-F238E27FC236}">
              <a16:creationId xmlns:a16="http://schemas.microsoft.com/office/drawing/2014/main" id="{00000000-0008-0000-0600-000016010000}"/>
            </a:ext>
          </a:extLst>
        </xdr:cNvPr>
        <xdr:cNvSpPr txBox="1"/>
      </xdr:nvSpPr>
      <xdr:spPr>
        <a:xfrm>
          <a:off x="2722336" y="1039585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32</xdr:row>
      <xdr:rowOff>0</xdr:rowOff>
    </xdr:from>
    <xdr:ext cx="184731" cy="311803"/>
    <xdr:sp macro="" textlink="">
      <xdr:nvSpPr>
        <xdr:cNvPr id="279" name="ZoneTexte 278">
          <a:extLst>
            <a:ext uri="{FF2B5EF4-FFF2-40B4-BE49-F238E27FC236}">
              <a16:creationId xmlns:a16="http://schemas.microsoft.com/office/drawing/2014/main" id="{00000000-0008-0000-0600-000017010000}"/>
            </a:ext>
          </a:extLst>
        </xdr:cNvPr>
        <xdr:cNvSpPr txBox="1"/>
      </xdr:nvSpPr>
      <xdr:spPr>
        <a:xfrm>
          <a:off x="2722336" y="1039585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32</xdr:row>
      <xdr:rowOff>0</xdr:rowOff>
    </xdr:from>
    <xdr:ext cx="184731" cy="311803"/>
    <xdr:sp macro="" textlink="">
      <xdr:nvSpPr>
        <xdr:cNvPr id="280" name="ZoneTexte 279">
          <a:extLst>
            <a:ext uri="{FF2B5EF4-FFF2-40B4-BE49-F238E27FC236}">
              <a16:creationId xmlns:a16="http://schemas.microsoft.com/office/drawing/2014/main" id="{00000000-0008-0000-0600-000018010000}"/>
            </a:ext>
          </a:extLst>
        </xdr:cNvPr>
        <xdr:cNvSpPr txBox="1"/>
      </xdr:nvSpPr>
      <xdr:spPr>
        <a:xfrm>
          <a:off x="2722336" y="1039585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32</xdr:row>
      <xdr:rowOff>0</xdr:rowOff>
    </xdr:from>
    <xdr:ext cx="184731" cy="311803"/>
    <xdr:sp macro="" textlink="">
      <xdr:nvSpPr>
        <xdr:cNvPr id="281" name="ZoneTexte 280">
          <a:extLst>
            <a:ext uri="{FF2B5EF4-FFF2-40B4-BE49-F238E27FC236}">
              <a16:creationId xmlns:a16="http://schemas.microsoft.com/office/drawing/2014/main" id="{00000000-0008-0000-0600-000019010000}"/>
            </a:ext>
          </a:extLst>
        </xdr:cNvPr>
        <xdr:cNvSpPr txBox="1"/>
      </xdr:nvSpPr>
      <xdr:spPr>
        <a:xfrm>
          <a:off x="2722336" y="1039585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32</xdr:row>
      <xdr:rowOff>0</xdr:rowOff>
    </xdr:from>
    <xdr:ext cx="184731" cy="311803"/>
    <xdr:sp macro="" textlink="">
      <xdr:nvSpPr>
        <xdr:cNvPr id="282" name="ZoneTexte 281">
          <a:extLst>
            <a:ext uri="{FF2B5EF4-FFF2-40B4-BE49-F238E27FC236}">
              <a16:creationId xmlns:a16="http://schemas.microsoft.com/office/drawing/2014/main" id="{00000000-0008-0000-0600-00001A010000}"/>
            </a:ext>
          </a:extLst>
        </xdr:cNvPr>
        <xdr:cNvSpPr txBox="1"/>
      </xdr:nvSpPr>
      <xdr:spPr>
        <a:xfrm>
          <a:off x="2722336" y="1039585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32</xdr:row>
      <xdr:rowOff>0</xdr:rowOff>
    </xdr:from>
    <xdr:ext cx="184731" cy="311803"/>
    <xdr:sp macro="" textlink="">
      <xdr:nvSpPr>
        <xdr:cNvPr id="283" name="ZoneTexte 282">
          <a:extLst>
            <a:ext uri="{FF2B5EF4-FFF2-40B4-BE49-F238E27FC236}">
              <a16:creationId xmlns:a16="http://schemas.microsoft.com/office/drawing/2014/main" id="{00000000-0008-0000-0600-00001B010000}"/>
            </a:ext>
          </a:extLst>
        </xdr:cNvPr>
        <xdr:cNvSpPr txBox="1"/>
      </xdr:nvSpPr>
      <xdr:spPr>
        <a:xfrm>
          <a:off x="2722336" y="991960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32</xdr:row>
      <xdr:rowOff>0</xdr:rowOff>
    </xdr:from>
    <xdr:ext cx="184731" cy="311803"/>
    <xdr:sp macro="" textlink="">
      <xdr:nvSpPr>
        <xdr:cNvPr id="284" name="ZoneTexte 283">
          <a:extLst>
            <a:ext uri="{FF2B5EF4-FFF2-40B4-BE49-F238E27FC236}">
              <a16:creationId xmlns:a16="http://schemas.microsoft.com/office/drawing/2014/main" id="{00000000-0008-0000-0600-00001C010000}"/>
            </a:ext>
          </a:extLst>
        </xdr:cNvPr>
        <xdr:cNvSpPr txBox="1"/>
      </xdr:nvSpPr>
      <xdr:spPr>
        <a:xfrm>
          <a:off x="2722336" y="991960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32</xdr:row>
      <xdr:rowOff>0</xdr:rowOff>
    </xdr:from>
    <xdr:ext cx="184731" cy="311803"/>
    <xdr:sp macro="" textlink="">
      <xdr:nvSpPr>
        <xdr:cNvPr id="285" name="ZoneTexte 284">
          <a:extLst>
            <a:ext uri="{FF2B5EF4-FFF2-40B4-BE49-F238E27FC236}">
              <a16:creationId xmlns:a16="http://schemas.microsoft.com/office/drawing/2014/main" id="{00000000-0008-0000-0600-00001D010000}"/>
            </a:ext>
          </a:extLst>
        </xdr:cNvPr>
        <xdr:cNvSpPr txBox="1"/>
      </xdr:nvSpPr>
      <xdr:spPr>
        <a:xfrm>
          <a:off x="2722336" y="991960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32</xdr:row>
      <xdr:rowOff>0</xdr:rowOff>
    </xdr:from>
    <xdr:ext cx="184731" cy="311803"/>
    <xdr:sp macro="" textlink="">
      <xdr:nvSpPr>
        <xdr:cNvPr id="286" name="ZoneTexte 285">
          <a:extLst>
            <a:ext uri="{FF2B5EF4-FFF2-40B4-BE49-F238E27FC236}">
              <a16:creationId xmlns:a16="http://schemas.microsoft.com/office/drawing/2014/main" id="{00000000-0008-0000-0600-00001E010000}"/>
            </a:ext>
          </a:extLst>
        </xdr:cNvPr>
        <xdr:cNvSpPr txBox="1"/>
      </xdr:nvSpPr>
      <xdr:spPr>
        <a:xfrm>
          <a:off x="2722336" y="991960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32</xdr:row>
      <xdr:rowOff>0</xdr:rowOff>
    </xdr:from>
    <xdr:ext cx="184731" cy="311803"/>
    <xdr:sp macro="" textlink="">
      <xdr:nvSpPr>
        <xdr:cNvPr id="287" name="ZoneTexte 286">
          <a:extLst>
            <a:ext uri="{FF2B5EF4-FFF2-40B4-BE49-F238E27FC236}">
              <a16:creationId xmlns:a16="http://schemas.microsoft.com/office/drawing/2014/main" id="{00000000-0008-0000-0600-00001F010000}"/>
            </a:ext>
          </a:extLst>
        </xdr:cNvPr>
        <xdr:cNvSpPr txBox="1"/>
      </xdr:nvSpPr>
      <xdr:spPr>
        <a:xfrm>
          <a:off x="2722336" y="991960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32</xdr:row>
      <xdr:rowOff>0</xdr:rowOff>
    </xdr:from>
    <xdr:ext cx="184731" cy="311803"/>
    <xdr:sp macro="" textlink="">
      <xdr:nvSpPr>
        <xdr:cNvPr id="288" name="ZoneTexte 287">
          <a:extLst>
            <a:ext uri="{FF2B5EF4-FFF2-40B4-BE49-F238E27FC236}">
              <a16:creationId xmlns:a16="http://schemas.microsoft.com/office/drawing/2014/main" id="{00000000-0008-0000-0600-000020010000}"/>
            </a:ext>
          </a:extLst>
        </xdr:cNvPr>
        <xdr:cNvSpPr txBox="1"/>
      </xdr:nvSpPr>
      <xdr:spPr>
        <a:xfrm>
          <a:off x="2722336" y="991960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32</xdr:row>
      <xdr:rowOff>0</xdr:rowOff>
    </xdr:from>
    <xdr:ext cx="184731" cy="311803"/>
    <xdr:sp macro="" textlink="">
      <xdr:nvSpPr>
        <xdr:cNvPr id="289" name="ZoneTexte 288">
          <a:extLst>
            <a:ext uri="{FF2B5EF4-FFF2-40B4-BE49-F238E27FC236}">
              <a16:creationId xmlns:a16="http://schemas.microsoft.com/office/drawing/2014/main" id="{00000000-0008-0000-0600-000021010000}"/>
            </a:ext>
          </a:extLst>
        </xdr:cNvPr>
        <xdr:cNvSpPr txBox="1"/>
      </xdr:nvSpPr>
      <xdr:spPr>
        <a:xfrm>
          <a:off x="2722336" y="991960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32</xdr:row>
      <xdr:rowOff>0</xdr:rowOff>
    </xdr:from>
    <xdr:ext cx="184731" cy="311803"/>
    <xdr:sp macro="" textlink="">
      <xdr:nvSpPr>
        <xdr:cNvPr id="290" name="ZoneTexte 289">
          <a:extLst>
            <a:ext uri="{FF2B5EF4-FFF2-40B4-BE49-F238E27FC236}">
              <a16:creationId xmlns:a16="http://schemas.microsoft.com/office/drawing/2014/main" id="{00000000-0008-0000-0600-000022010000}"/>
            </a:ext>
          </a:extLst>
        </xdr:cNvPr>
        <xdr:cNvSpPr txBox="1"/>
      </xdr:nvSpPr>
      <xdr:spPr>
        <a:xfrm>
          <a:off x="2722336" y="991960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32</xdr:row>
      <xdr:rowOff>0</xdr:rowOff>
    </xdr:from>
    <xdr:ext cx="184731" cy="311803"/>
    <xdr:sp macro="" textlink="">
      <xdr:nvSpPr>
        <xdr:cNvPr id="291" name="ZoneTexte 290">
          <a:extLst>
            <a:ext uri="{FF2B5EF4-FFF2-40B4-BE49-F238E27FC236}">
              <a16:creationId xmlns:a16="http://schemas.microsoft.com/office/drawing/2014/main" id="{00000000-0008-0000-0600-000023010000}"/>
            </a:ext>
          </a:extLst>
        </xdr:cNvPr>
        <xdr:cNvSpPr txBox="1"/>
      </xdr:nvSpPr>
      <xdr:spPr>
        <a:xfrm>
          <a:off x="2722336" y="991960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32</xdr:row>
      <xdr:rowOff>0</xdr:rowOff>
    </xdr:from>
    <xdr:ext cx="184731" cy="311803"/>
    <xdr:sp macro="" textlink="">
      <xdr:nvSpPr>
        <xdr:cNvPr id="292" name="ZoneTexte 291">
          <a:extLst>
            <a:ext uri="{FF2B5EF4-FFF2-40B4-BE49-F238E27FC236}">
              <a16:creationId xmlns:a16="http://schemas.microsoft.com/office/drawing/2014/main" id="{00000000-0008-0000-0600-000024010000}"/>
            </a:ext>
          </a:extLst>
        </xdr:cNvPr>
        <xdr:cNvSpPr txBox="1"/>
      </xdr:nvSpPr>
      <xdr:spPr>
        <a:xfrm>
          <a:off x="2722336" y="991960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0</xdr:row>
          <xdr:rowOff>9525</xdr:rowOff>
        </xdr:from>
        <xdr:to>
          <xdr:col>3</xdr:col>
          <xdr:colOff>342900</xdr:colOff>
          <xdr:row>6</xdr:row>
          <xdr:rowOff>85725</xdr:rowOff>
        </xdr:to>
        <xdr:sp macro="" textlink="">
          <xdr:nvSpPr>
            <xdr:cNvPr id="8193" name="Object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7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7</xdr:col>
      <xdr:colOff>165653</xdr:colOff>
      <xdr:row>34</xdr:row>
      <xdr:rowOff>127000</xdr:rowOff>
    </xdr:from>
    <xdr:to>
      <xdr:col>8</xdr:col>
      <xdr:colOff>282881</xdr:colOff>
      <xdr:row>40</xdr:row>
      <xdr:rowOff>59458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80553" y="6381750"/>
          <a:ext cx="974478" cy="9484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582784-F92A-4554-9BA7-DC54E7FBB70B}">
  <dimension ref="A1:W27"/>
  <sheetViews>
    <sheetView workbookViewId="0">
      <pane xSplit="3" ySplit="3" topLeftCell="I32" activePane="bottomRight" state="frozen"/>
      <selection pane="topRight" activeCell="C1" sqref="C1"/>
      <selection pane="bottomLeft" activeCell="A3" sqref="A3"/>
      <selection pane="bottomRight" activeCell="S7" sqref="S7:S24"/>
    </sheetView>
  </sheetViews>
  <sheetFormatPr baseColWidth="10" defaultColWidth="10.85546875" defaultRowHeight="15" x14ac:dyDescent="0.25"/>
  <cols>
    <col min="1" max="1" width="30.85546875" style="118" customWidth="1"/>
    <col min="2" max="2" width="10.7109375" style="118" customWidth="1"/>
    <col min="3" max="3" width="9.140625" style="118" customWidth="1"/>
    <col min="4" max="4" width="9.28515625" style="118" customWidth="1"/>
    <col min="5" max="5" width="9.5703125" style="118" customWidth="1"/>
    <col min="6" max="6" width="10.140625" style="118" customWidth="1"/>
    <col min="7" max="7" width="10" style="118" customWidth="1"/>
    <col min="8" max="8" width="9.7109375" style="118" customWidth="1"/>
    <col min="9" max="10" width="10.140625" style="118" customWidth="1"/>
    <col min="11" max="11" width="9.7109375" style="118" customWidth="1"/>
    <col min="12" max="12" width="10" style="118" customWidth="1"/>
    <col min="13" max="13" width="10.5703125" style="118" customWidth="1"/>
    <col min="14" max="14" width="10.85546875" style="118" customWidth="1"/>
    <col min="15" max="15" width="8.7109375" style="118" customWidth="1"/>
    <col min="16" max="16" width="10" style="118" customWidth="1"/>
    <col min="17" max="17" width="9.5703125" style="118" customWidth="1"/>
    <col min="18" max="18" width="10" style="118" customWidth="1"/>
    <col min="19" max="19" width="13.42578125" style="118" bestFit="1" customWidth="1"/>
    <col min="20" max="20" width="13.5703125" style="118" bestFit="1" customWidth="1"/>
    <col min="21" max="16384" width="10.85546875" style="118"/>
  </cols>
  <sheetData>
    <row r="1" spans="1:23" x14ac:dyDescent="0.25">
      <c r="D1" s="118">
        <v>4</v>
      </c>
      <c r="E1" s="118">
        <v>5</v>
      </c>
      <c r="F1" s="118">
        <v>6</v>
      </c>
      <c r="G1" s="118">
        <v>7</v>
      </c>
      <c r="H1" s="118">
        <v>8</v>
      </c>
      <c r="I1" s="118">
        <v>9</v>
      </c>
      <c r="J1" s="118">
        <v>10</v>
      </c>
      <c r="K1" s="118">
        <v>11</v>
      </c>
      <c r="L1" s="118">
        <v>12</v>
      </c>
      <c r="M1" s="118">
        <v>13</v>
      </c>
      <c r="N1" s="118">
        <v>14</v>
      </c>
      <c r="O1" s="118">
        <v>15</v>
      </c>
      <c r="P1" s="118">
        <v>16</v>
      </c>
      <c r="Q1" s="118">
        <v>17</v>
      </c>
      <c r="R1" s="118">
        <v>18</v>
      </c>
      <c r="T1" s="118">
        <f>S26/S2</f>
        <v>1.4285714285714284E-4</v>
      </c>
      <c r="V1" s="177">
        <f>V2/S2</f>
        <v>0.58333333333333337</v>
      </c>
    </row>
    <row r="2" spans="1:23" ht="26.25" customHeight="1" x14ac:dyDescent="0.25">
      <c r="B2" s="169" t="s">
        <v>59</v>
      </c>
      <c r="C2" s="169"/>
      <c r="D2" s="170">
        <v>1500</v>
      </c>
      <c r="E2" s="170">
        <v>1550</v>
      </c>
      <c r="F2" s="170">
        <v>1600</v>
      </c>
      <c r="G2" s="170">
        <v>1650</v>
      </c>
      <c r="H2" s="170">
        <v>1700</v>
      </c>
      <c r="I2" s="170">
        <v>1750</v>
      </c>
      <c r="J2" s="170">
        <v>1800</v>
      </c>
      <c r="K2" s="170">
        <v>1850</v>
      </c>
      <c r="L2" s="171">
        <v>1900</v>
      </c>
      <c r="M2" s="172">
        <v>1950</v>
      </c>
      <c r="N2" s="172">
        <v>2000</v>
      </c>
      <c r="O2" s="172">
        <v>2050</v>
      </c>
      <c r="P2" s="172">
        <v>2100</v>
      </c>
      <c r="Q2" s="172">
        <v>2150</v>
      </c>
      <c r="R2" s="172">
        <v>2200</v>
      </c>
      <c r="S2" s="162">
        <f>SUM(S4:S25)</f>
        <v>2100</v>
      </c>
      <c r="T2" s="162">
        <f>ROUND(SUM(T4:T25),0)</f>
        <v>3700</v>
      </c>
      <c r="V2" s="118">
        <f>'FP230130 Auto'!I50</f>
        <v>1225</v>
      </c>
    </row>
    <row r="3" spans="1:23" ht="15.75" x14ac:dyDescent="0.25">
      <c r="B3" s="119" t="s">
        <v>60</v>
      </c>
      <c r="C3" s="120" t="s">
        <v>61</v>
      </c>
      <c r="D3" s="121" t="s">
        <v>62</v>
      </c>
      <c r="E3" s="121" t="s">
        <v>63</v>
      </c>
      <c r="F3" s="121" t="s">
        <v>64</v>
      </c>
      <c r="G3" s="121" t="s">
        <v>65</v>
      </c>
      <c r="H3" s="121" t="s">
        <v>66</v>
      </c>
      <c r="I3" s="122" t="s">
        <v>67</v>
      </c>
      <c r="J3" s="121" t="s">
        <v>68</v>
      </c>
      <c r="K3" s="121" t="s">
        <v>69</v>
      </c>
      <c r="L3" s="121" t="s">
        <v>70</v>
      </c>
      <c r="M3" s="121" t="s">
        <v>71</v>
      </c>
      <c r="N3" s="121" t="s">
        <v>72</v>
      </c>
      <c r="O3" s="123" t="s">
        <v>73</v>
      </c>
      <c r="P3" s="123" t="s">
        <v>74</v>
      </c>
      <c r="Q3" s="123" t="s">
        <v>75</v>
      </c>
      <c r="R3" s="123" t="s">
        <v>76</v>
      </c>
      <c r="S3" s="162" t="s">
        <v>131</v>
      </c>
      <c r="T3" s="162" t="s">
        <v>130</v>
      </c>
    </row>
    <row r="4" spans="1:23" s="143" customFormat="1" ht="19.5" thickBot="1" x14ac:dyDescent="0.3">
      <c r="A4" s="118" t="s">
        <v>105</v>
      </c>
      <c r="B4" s="124" t="s">
        <v>77</v>
      </c>
      <c r="C4" s="125">
        <v>1.175</v>
      </c>
      <c r="D4" s="126">
        <f>MROUND(Tarif!D4,0.001)</f>
        <v>3.2130000000000001</v>
      </c>
      <c r="E4" s="126">
        <f>MROUND(Tarif!E4,0.001)</f>
        <v>3.2789999999999999</v>
      </c>
      <c r="F4" s="126">
        <f>MROUND(Tarif!F4,0.001)</f>
        <v>3.3460000000000001</v>
      </c>
      <c r="G4" s="126">
        <f>MROUND(Tarif!G4,0.001)</f>
        <v>3.407</v>
      </c>
      <c r="H4" s="126">
        <f>MROUND(Tarif!H4,0.001)</f>
        <v>3.468</v>
      </c>
      <c r="I4" s="126">
        <f>MROUND(Tarif!I4,0.001)</f>
        <v>3.524</v>
      </c>
      <c r="J4" s="126">
        <f>MROUND(Tarif!J4,0.001)</f>
        <v>3.58</v>
      </c>
      <c r="K4" s="126">
        <f>MROUND(Tarif!K4,0.001)</f>
        <v>3.6360000000000001</v>
      </c>
      <c r="L4" s="126">
        <f>MROUND(Tarif!L4,0.001)</f>
        <v>3.6920000000000002</v>
      </c>
      <c r="M4" s="126">
        <f>MROUND(Tarif!M4,0.001)</f>
        <v>3.7490000000000001</v>
      </c>
      <c r="N4" s="126">
        <f>MROUND(Tarif!N4,0.001)</f>
        <v>3.806</v>
      </c>
      <c r="O4" s="126">
        <f>MROUND(Tarif!O4,0.001)</f>
        <v>3.8639999999999999</v>
      </c>
      <c r="P4" s="126">
        <f>MROUND(Tarif!P4,0.001)</f>
        <v>3.9239999999999999</v>
      </c>
      <c r="Q4" s="126">
        <f>MROUND(Tarif!Q4,0.001)</f>
        <v>3.9830000000000001</v>
      </c>
      <c r="R4" s="126">
        <f>MROUND(Tarif!R4,0.001)</f>
        <v>4.0440000000000005</v>
      </c>
      <c r="T4" s="143">
        <f>S4*C4</f>
        <v>0</v>
      </c>
      <c r="U4" s="175">
        <f>C4+$T$1</f>
        <v>1.1751428571428573</v>
      </c>
      <c r="V4" s="176">
        <f>U4*S4</f>
        <v>0</v>
      </c>
      <c r="W4" s="118"/>
    </row>
    <row r="5" spans="1:23" ht="20.25" customHeight="1" thickTop="1" thickBot="1" x14ac:dyDescent="0.3">
      <c r="A5" s="118" t="s">
        <v>109</v>
      </c>
      <c r="B5" s="130" t="s">
        <v>78</v>
      </c>
      <c r="C5" s="131">
        <v>0.96</v>
      </c>
      <c r="D5" s="126">
        <f>MROUND(Tarif!D5,0.001)</f>
        <v>2.3559999999999999</v>
      </c>
      <c r="E5" s="126">
        <f>MROUND(Tarif!E5,0.001)</f>
        <v>2.4020000000000001</v>
      </c>
      <c r="F5" s="126">
        <f>MROUND(Tarif!F5,0.001)</f>
        <v>2.448</v>
      </c>
      <c r="G5" s="126">
        <f>MROUND(Tarif!G5,0.001)</f>
        <v>2.4990000000000001</v>
      </c>
      <c r="H5" s="126">
        <f>MROUND(Tarif!H5,0.001)</f>
        <v>2.5500000000000003</v>
      </c>
      <c r="I5" s="126">
        <f>MROUND(Tarif!I5,0.001)</f>
        <v>2.601</v>
      </c>
      <c r="J5" s="126">
        <f>MROUND(Tarif!J5,0.001)</f>
        <v>2.6520000000000001</v>
      </c>
      <c r="K5" s="126">
        <f>MROUND(Tarif!K5,0.001)</f>
        <v>2.6930000000000001</v>
      </c>
      <c r="L5" s="126">
        <f>MROUND(Tarif!L5,0.001)</f>
        <v>2.7349999999999999</v>
      </c>
      <c r="M5" s="126">
        <f>MROUND(Tarif!M5,0.001)</f>
        <v>2.7770000000000001</v>
      </c>
      <c r="N5" s="126">
        <f>MROUND(Tarif!N5,0.001)</f>
        <v>2.819</v>
      </c>
      <c r="O5" s="126">
        <f>MROUND(Tarif!O5,0.001)</f>
        <v>2.8620000000000001</v>
      </c>
      <c r="P5" s="126">
        <f>MROUND(Tarif!P5,0.001)</f>
        <v>2.907</v>
      </c>
      <c r="Q5" s="126">
        <f>MROUND(Tarif!Q5,0.001)</f>
        <v>2.9510000000000001</v>
      </c>
      <c r="R5" s="126">
        <f>MROUND(Tarif!R5,0.001)</f>
        <v>2.996</v>
      </c>
      <c r="T5" s="143">
        <f t="shared" ref="T5:T25" si="0">S5*C5</f>
        <v>0</v>
      </c>
      <c r="U5" s="175">
        <f t="shared" ref="U5:U25" si="1">C5+$T$1</f>
        <v>0.96014285714285708</v>
      </c>
      <c r="V5" s="176">
        <f t="shared" ref="V5:V25" si="2">U5*S5</f>
        <v>0</v>
      </c>
    </row>
    <row r="6" spans="1:23" s="143" customFormat="1" ht="20.25" thickTop="1" thickBot="1" x14ac:dyDescent="0.3">
      <c r="A6" s="118" t="s">
        <v>29</v>
      </c>
      <c r="B6" s="132" t="s">
        <v>79</v>
      </c>
      <c r="C6" s="133">
        <v>0.84</v>
      </c>
      <c r="D6" s="126">
        <f>MROUND(Tarif!D6,0.001)</f>
        <v>1.1420000000000001</v>
      </c>
      <c r="E6" s="126">
        <f>MROUND(Tarif!E6,0.001)</f>
        <v>1.1679999999999999</v>
      </c>
      <c r="F6" s="126">
        <f>MROUND(Tarif!F6,0.001)</f>
        <v>1.1930000000000001</v>
      </c>
      <c r="G6" s="126">
        <f>MROUND(Tarif!G6,0.001)</f>
        <v>1.214</v>
      </c>
      <c r="H6" s="126">
        <f>MROUND(Tarif!H6,0.001)</f>
        <v>1.234</v>
      </c>
      <c r="I6" s="126">
        <f>MROUND(Tarif!I6,0.001)</f>
        <v>1.26</v>
      </c>
      <c r="J6" s="126">
        <f>MROUND(Tarif!J6,0.001)</f>
        <v>1.2849999999999999</v>
      </c>
      <c r="K6" s="126">
        <f>MROUND(Tarif!K6,0.001)</f>
        <v>1.3049999999999999</v>
      </c>
      <c r="L6" s="126">
        <f>MROUND(Tarif!L6,0.001)</f>
        <v>1.325</v>
      </c>
      <c r="M6" s="126">
        <f>MROUND(Tarif!M6,0.001)</f>
        <v>1.3460000000000001</v>
      </c>
      <c r="N6" s="126">
        <f>MROUND(Tarif!N6,0.001)</f>
        <v>1.3660000000000001</v>
      </c>
      <c r="O6" s="126">
        <f>MROUND(Tarif!O6,0.001)</f>
        <v>1.387</v>
      </c>
      <c r="P6" s="126">
        <f>MROUND(Tarif!P6,0.001)</f>
        <v>1.409</v>
      </c>
      <c r="Q6" s="126">
        <f>MROUND(Tarif!Q6,0.001)</f>
        <v>1.43</v>
      </c>
      <c r="R6" s="126">
        <f>MROUND(Tarif!R6,0.001)</f>
        <v>1.452</v>
      </c>
      <c r="T6" s="143">
        <f t="shared" si="0"/>
        <v>0</v>
      </c>
      <c r="U6" s="175">
        <f t="shared" si="1"/>
        <v>0.84014285714285708</v>
      </c>
      <c r="V6" s="176">
        <f t="shared" si="2"/>
        <v>0</v>
      </c>
      <c r="W6" s="118"/>
    </row>
    <row r="7" spans="1:23" s="143" customFormat="1" ht="20.25" thickTop="1" thickBot="1" x14ac:dyDescent="0.3">
      <c r="A7" s="118" t="s">
        <v>31</v>
      </c>
      <c r="B7" s="132" t="s">
        <v>80</v>
      </c>
      <c r="C7" s="133">
        <v>0.47399999999999998</v>
      </c>
      <c r="D7" s="126">
        <f>MROUND(Tarif!D7,0.001)</f>
        <v>1.1420000000000001</v>
      </c>
      <c r="E7" s="126">
        <f>MROUND(Tarif!E7,0.001)</f>
        <v>1.1679999999999999</v>
      </c>
      <c r="F7" s="126">
        <f>MROUND(Tarif!F7,0.001)</f>
        <v>1.1930000000000001</v>
      </c>
      <c r="G7" s="126">
        <f>MROUND(Tarif!G7,0.001)</f>
        <v>1.2090000000000001</v>
      </c>
      <c r="H7" s="126">
        <f>MROUND(Tarif!H7,0.001)</f>
        <v>1.224</v>
      </c>
      <c r="I7" s="126">
        <f>MROUND(Tarif!I7,0.001)</f>
        <v>1.2550000000000001</v>
      </c>
      <c r="J7" s="126">
        <f>MROUND(Tarif!J7,0.001)</f>
        <v>1.2849999999999999</v>
      </c>
      <c r="K7" s="126">
        <f>MROUND(Tarif!K7,0.001)</f>
        <v>1.3049999999999999</v>
      </c>
      <c r="L7" s="126">
        <f>MROUND(Tarif!L7,0.001)</f>
        <v>1.325</v>
      </c>
      <c r="M7" s="126">
        <f>MROUND(Tarif!M7,0.001)</f>
        <v>1.3460000000000001</v>
      </c>
      <c r="N7" s="126">
        <f>MROUND(Tarif!N7,0.001)</f>
        <v>1.3660000000000001</v>
      </c>
      <c r="O7" s="126">
        <f>MROUND(Tarif!O7,0.001)</f>
        <v>1.387</v>
      </c>
      <c r="P7" s="126">
        <f>MROUND(Tarif!P7,0.001)</f>
        <v>1.409</v>
      </c>
      <c r="Q7" s="126">
        <f>MROUND(Tarif!Q7,0.001)</f>
        <v>1.43</v>
      </c>
      <c r="R7" s="126">
        <f>MROUND(Tarif!R7,0.001)</f>
        <v>1.452</v>
      </c>
      <c r="S7" s="143">
        <v>500</v>
      </c>
      <c r="T7" s="176">
        <f t="shared" si="0"/>
        <v>237</v>
      </c>
      <c r="U7" s="175">
        <f t="shared" si="1"/>
        <v>0.47414285714285714</v>
      </c>
      <c r="V7" s="183">
        <f t="shared" si="2"/>
        <v>237.07142857142858</v>
      </c>
    </row>
    <row r="8" spans="1:23" s="143" customFormat="1" ht="20.25" thickTop="1" thickBot="1" x14ac:dyDescent="0.3">
      <c r="A8" s="118" t="s">
        <v>106</v>
      </c>
      <c r="B8" s="134" t="s">
        <v>81</v>
      </c>
      <c r="C8" s="133">
        <v>1.49</v>
      </c>
      <c r="D8" s="126">
        <f>MROUND(Tarif!D8,0.001)</f>
        <v>4.1210000000000004</v>
      </c>
      <c r="E8" s="126">
        <f>MROUND(Tarif!E8,0.001)</f>
        <v>4.1970000000000001</v>
      </c>
      <c r="F8" s="126">
        <f>MROUND(Tarif!F8,0.001)</f>
        <v>4.274</v>
      </c>
      <c r="G8" s="126">
        <f>MROUND(Tarif!G8,0.001)</f>
        <v>4.3500000000000005</v>
      </c>
      <c r="H8" s="126">
        <f>MROUND(Tarif!H8,0.001)</f>
        <v>4.4270000000000005</v>
      </c>
      <c r="I8" s="126">
        <f>MROUND(Tarif!I8,0.001)</f>
        <v>4.5030000000000001</v>
      </c>
      <c r="J8" s="126">
        <f>MROUND(Tarif!J8,0.001)</f>
        <v>4.58</v>
      </c>
      <c r="K8" s="126">
        <f>MROUND(Tarif!K8,0.001)</f>
        <v>4.6509999999999998</v>
      </c>
      <c r="L8" s="126">
        <f>MROUND(Tarif!L8,0.001)</f>
        <v>4.7229999999999999</v>
      </c>
      <c r="M8" s="126">
        <f>MROUND(Tarif!M8,0.001)</f>
        <v>4.7960000000000003</v>
      </c>
      <c r="N8" s="126">
        <f>MROUND(Tarif!N8,0.001)</f>
        <v>4.8680000000000003</v>
      </c>
      <c r="O8" s="126">
        <f>MROUND(Tarif!O8,0.001)</f>
        <v>4.9430000000000005</v>
      </c>
      <c r="P8" s="126">
        <f>MROUND(Tarif!P8,0.001)</f>
        <v>5.0190000000000001</v>
      </c>
      <c r="Q8" s="126">
        <f>MROUND(Tarif!Q8,0.001)</f>
        <v>5.0960000000000001</v>
      </c>
      <c r="R8" s="126">
        <f>MROUND(Tarif!R8,0.001)</f>
        <v>5.1740000000000004</v>
      </c>
      <c r="T8" s="143">
        <f t="shared" si="0"/>
        <v>0</v>
      </c>
      <c r="U8" s="175">
        <f t="shared" si="1"/>
        <v>1.4901428571428572</v>
      </c>
      <c r="V8" s="176">
        <f t="shared" si="2"/>
        <v>0</v>
      </c>
    </row>
    <row r="9" spans="1:23" s="143" customFormat="1" ht="20.25" thickTop="1" thickBot="1" x14ac:dyDescent="0.3">
      <c r="A9" s="118" t="s">
        <v>107</v>
      </c>
      <c r="B9" s="132" t="s">
        <v>82</v>
      </c>
      <c r="C9" s="133">
        <v>1.2700000000000002</v>
      </c>
      <c r="D9" s="126">
        <f>MROUND(Tarif!D9,0.001)</f>
        <v>3.04</v>
      </c>
      <c r="E9" s="126">
        <f>MROUND(Tarif!E9,0.001)</f>
        <v>3.1059999999999999</v>
      </c>
      <c r="F9" s="126">
        <f>MROUND(Tarif!F9,0.001)</f>
        <v>3.1720000000000002</v>
      </c>
      <c r="G9" s="126">
        <f>MROUND(Tarif!G9,0.001)</f>
        <v>3.2389999999999999</v>
      </c>
      <c r="H9" s="126">
        <f>MROUND(Tarif!H9,0.001)</f>
        <v>3.3050000000000002</v>
      </c>
      <c r="I9" s="126">
        <f>MROUND(Tarif!I9,0.001)</f>
        <v>3.371</v>
      </c>
      <c r="J9" s="126">
        <f>MROUND(Tarif!J9,0.001)</f>
        <v>3.4370000000000003</v>
      </c>
      <c r="K9" s="126">
        <f>MROUND(Tarif!K9,0.001)</f>
        <v>3.4910000000000001</v>
      </c>
      <c r="L9" s="126">
        <f>MROUND(Tarif!L9,0.001)</f>
        <v>3.5449999999999999</v>
      </c>
      <c r="M9" s="126">
        <f>MROUND(Tarif!M9,0.001)</f>
        <v>3.5990000000000002</v>
      </c>
      <c r="N9" s="126">
        <f>MROUND(Tarif!N9,0.001)</f>
        <v>3.6539999999999999</v>
      </c>
      <c r="O9" s="126">
        <f>MROUND(Tarif!O9,0.001)</f>
        <v>3.71</v>
      </c>
      <c r="P9" s="126">
        <f>MROUND(Tarif!P9,0.001)</f>
        <v>3.7669999999999999</v>
      </c>
      <c r="Q9" s="126">
        <f>MROUND(Tarif!Q9,0.001)</f>
        <v>3.8250000000000002</v>
      </c>
      <c r="R9" s="126">
        <f>MROUND(Tarif!R9,0.001)</f>
        <v>3.883</v>
      </c>
      <c r="T9" s="143">
        <f t="shared" si="0"/>
        <v>0</v>
      </c>
      <c r="U9" s="175">
        <f t="shared" si="1"/>
        <v>1.2701428571428575</v>
      </c>
      <c r="V9" s="176">
        <f t="shared" si="2"/>
        <v>0</v>
      </c>
    </row>
    <row r="10" spans="1:23" s="143" customFormat="1" ht="20.25" thickTop="1" thickBot="1" x14ac:dyDescent="0.3">
      <c r="A10" s="118" t="s">
        <v>108</v>
      </c>
      <c r="B10" s="132" t="s">
        <v>83</v>
      </c>
      <c r="C10" s="133">
        <v>0.82</v>
      </c>
      <c r="D10" s="126">
        <f>MROUND(Tarif!D10,0.001)</f>
        <v>1.958</v>
      </c>
      <c r="E10" s="126">
        <f>MROUND(Tarif!E10,0.001)</f>
        <v>1.9990000000000001</v>
      </c>
      <c r="F10" s="126">
        <f>MROUND(Tarif!F10,0.001)</f>
        <v>2.04</v>
      </c>
      <c r="G10" s="126">
        <f>MROUND(Tarif!G10,0.001)</f>
        <v>2.0859999999999999</v>
      </c>
      <c r="H10" s="126">
        <f>MROUND(Tarif!H10,0.001)</f>
        <v>2.1320000000000001</v>
      </c>
      <c r="I10" s="126">
        <f>MROUND(Tarif!I10,0.001)</f>
        <v>2.173</v>
      </c>
      <c r="J10" s="126">
        <f>MROUND(Tarif!J10,0.001)</f>
        <v>2.2130000000000001</v>
      </c>
      <c r="K10" s="126">
        <f>MROUND(Tarif!K10,0.001)</f>
        <v>2.2480000000000002</v>
      </c>
      <c r="L10" s="126">
        <f>MROUND(Tarif!L10,0.001)</f>
        <v>2.2829999999999999</v>
      </c>
      <c r="M10" s="126">
        <f>MROUND(Tarif!M10,0.001)</f>
        <v>2.3180000000000001</v>
      </c>
      <c r="N10" s="126">
        <f>MROUND(Tarif!N10,0.001)</f>
        <v>2.3530000000000002</v>
      </c>
      <c r="O10" s="126">
        <f>MROUND(Tarif!O10,0.001)</f>
        <v>2.3890000000000002</v>
      </c>
      <c r="P10" s="126">
        <f>MROUND(Tarif!P10,0.001)</f>
        <v>2.4260000000000002</v>
      </c>
      <c r="Q10" s="126">
        <f>MROUND(Tarif!Q10,0.001)</f>
        <v>2.4630000000000001</v>
      </c>
      <c r="R10" s="126">
        <f>MROUND(Tarif!R10,0.001)</f>
        <v>2.5</v>
      </c>
      <c r="T10" s="143">
        <f t="shared" si="0"/>
        <v>0</v>
      </c>
      <c r="U10" s="175">
        <f t="shared" si="1"/>
        <v>0.82014285714285706</v>
      </c>
      <c r="V10" s="176">
        <f t="shared" si="2"/>
        <v>0</v>
      </c>
    </row>
    <row r="11" spans="1:23" ht="20.25" customHeight="1" thickTop="1" thickBot="1" x14ac:dyDescent="0.3">
      <c r="A11" s="162" t="s">
        <v>124</v>
      </c>
      <c r="B11" s="134" t="s">
        <v>84</v>
      </c>
      <c r="C11" s="133">
        <v>1.613</v>
      </c>
      <c r="D11" s="126">
        <f>MROUND(Tarif!D11,0.001)</f>
        <v>4.4470000000000001</v>
      </c>
      <c r="E11" s="126">
        <f>MROUND(Tarif!E11,0.001)</f>
        <v>4.5289999999999999</v>
      </c>
      <c r="F11" s="126">
        <f>MROUND(Tarif!F11,0.001)</f>
        <v>4.6100000000000003</v>
      </c>
      <c r="G11" s="126">
        <f>MROUND(Tarif!G11,0.001)</f>
        <v>4.6920000000000002</v>
      </c>
      <c r="H11" s="126">
        <f>MROUND(Tarif!H11,0.001)</f>
        <v>4.774</v>
      </c>
      <c r="I11" s="126">
        <f>MROUND(Tarif!I11,0.001)</f>
        <v>4.8550000000000004</v>
      </c>
      <c r="J11" s="126">
        <f>MROUND(Tarif!J11,0.001)</f>
        <v>4.9370000000000003</v>
      </c>
      <c r="K11" s="126">
        <f>MROUND(Tarif!K11,0.001)</f>
        <v>5.0140000000000002</v>
      </c>
      <c r="L11" s="126">
        <f>MROUND(Tarif!L11,0.001)</f>
        <v>5.0910000000000002</v>
      </c>
      <c r="M11" s="126">
        <f>MROUND(Tarif!M11,0.001)</f>
        <v>5.1690000000000005</v>
      </c>
      <c r="N11" s="126">
        <f>MROUND(Tarif!N11,0.001)</f>
        <v>5.2480000000000002</v>
      </c>
      <c r="O11" s="126">
        <f>MROUND(Tarif!O11,0.001)</f>
        <v>5.3289999999999997</v>
      </c>
      <c r="P11" s="126">
        <f>MROUND(Tarif!P11,0.001)</f>
        <v>5.4110000000000005</v>
      </c>
      <c r="Q11" s="126">
        <f>MROUND(Tarif!Q11,0.001)</f>
        <v>5.4930000000000003</v>
      </c>
      <c r="R11" s="126">
        <f>MROUND(Tarif!R11,0.001)</f>
        <v>5.577</v>
      </c>
      <c r="T11" s="143">
        <f t="shared" si="0"/>
        <v>0</v>
      </c>
      <c r="U11" s="175">
        <f t="shared" si="1"/>
        <v>1.6131428571428572</v>
      </c>
      <c r="V11" s="176">
        <f t="shared" si="2"/>
        <v>0</v>
      </c>
    </row>
    <row r="12" spans="1:23" ht="20.25" customHeight="1" thickTop="1" thickBot="1" x14ac:dyDescent="0.3">
      <c r="A12" s="162" t="s">
        <v>125</v>
      </c>
      <c r="B12" s="135" t="s">
        <v>85</v>
      </c>
      <c r="C12" s="131">
        <v>1.345</v>
      </c>
      <c r="D12" s="126">
        <f>MROUND(Tarif!D12,0.001)</f>
        <v>3.2330000000000001</v>
      </c>
      <c r="E12" s="126">
        <f>MROUND(Tarif!E12,0.001)</f>
        <v>3.3050000000000002</v>
      </c>
      <c r="F12" s="126">
        <f>MROUND(Tarif!F12,0.001)</f>
        <v>3.3759999999999999</v>
      </c>
      <c r="G12" s="126">
        <f>MROUND(Tarif!G12,0.001)</f>
        <v>3.448</v>
      </c>
      <c r="H12" s="126">
        <f>MROUND(Tarif!H12,0.001)</f>
        <v>3.5190000000000001</v>
      </c>
      <c r="I12" s="126">
        <f>MROUND(Tarif!I12,0.001)</f>
        <v>3.59</v>
      </c>
      <c r="J12" s="126">
        <f>MROUND(Tarif!J12,0.001)</f>
        <v>3.6619999999999999</v>
      </c>
      <c r="K12" s="126">
        <f>MROUND(Tarif!K12,0.001)</f>
        <v>3.7189999999999999</v>
      </c>
      <c r="L12" s="126">
        <f>MROUND(Tarif!L12,0.001)</f>
        <v>3.7760000000000002</v>
      </c>
      <c r="M12" s="126">
        <f>MROUND(Tarif!M12,0.001)</f>
        <v>3.8340000000000001</v>
      </c>
      <c r="N12" s="126">
        <f>MROUND(Tarif!N12,0.001)</f>
        <v>3.8930000000000002</v>
      </c>
      <c r="O12" s="126">
        <f>MROUND(Tarif!O12,0.001)</f>
        <v>3.952</v>
      </c>
      <c r="P12" s="126">
        <f>MROUND(Tarif!P12,0.001)</f>
        <v>4.0129999999999999</v>
      </c>
      <c r="Q12" s="126">
        <f>MROUND(Tarif!Q12,0.001)</f>
        <v>4.0739999999999998</v>
      </c>
      <c r="R12" s="126">
        <f>MROUND(Tarif!R12,0.001)</f>
        <v>4.1370000000000005</v>
      </c>
      <c r="T12" s="143">
        <f t="shared" si="0"/>
        <v>0</v>
      </c>
      <c r="U12" s="175">
        <f t="shared" si="1"/>
        <v>1.3451428571428572</v>
      </c>
      <c r="V12" s="176">
        <f t="shared" si="2"/>
        <v>0</v>
      </c>
    </row>
    <row r="13" spans="1:23" ht="20.25" customHeight="1" thickTop="1" thickBot="1" x14ac:dyDescent="0.3">
      <c r="A13" s="162" t="s">
        <v>126</v>
      </c>
      <c r="B13" s="135" t="s">
        <v>86</v>
      </c>
      <c r="C13" s="131">
        <v>0.878</v>
      </c>
      <c r="D13" s="126">
        <f>MROUND(Tarif!D13,0.001)</f>
        <v>2.081</v>
      </c>
      <c r="E13" s="126">
        <f>MROUND(Tarif!E13,0.001)</f>
        <v>2.1219999999999999</v>
      </c>
      <c r="F13" s="126">
        <f>MROUND(Tarif!F13,0.001)</f>
        <v>2.1619999999999999</v>
      </c>
      <c r="G13" s="126">
        <f>MROUND(Tarif!G13,0.001)</f>
        <v>2.2080000000000002</v>
      </c>
      <c r="H13" s="126">
        <f>MROUND(Tarif!H13,0.001)</f>
        <v>2.254</v>
      </c>
      <c r="I13" s="126">
        <f>MROUND(Tarif!I13,0.001)</f>
        <v>2.3000000000000003</v>
      </c>
      <c r="J13" s="126">
        <f>MROUND(Tarif!J13,0.001)</f>
        <v>2.3460000000000001</v>
      </c>
      <c r="K13" s="126">
        <f>MROUND(Tarif!K13,0.001)</f>
        <v>2.383</v>
      </c>
      <c r="L13" s="126">
        <f>MROUND(Tarif!L13,0.001)</f>
        <v>2.419</v>
      </c>
      <c r="M13" s="126">
        <f>MROUND(Tarif!M13,0.001)</f>
        <v>2.4569999999999999</v>
      </c>
      <c r="N13" s="126">
        <f>MROUND(Tarif!N13,0.001)</f>
        <v>2.4940000000000002</v>
      </c>
      <c r="O13" s="126">
        <f>MROUND(Tarif!O13,0.001)</f>
        <v>2.532</v>
      </c>
      <c r="P13" s="126">
        <f>MROUND(Tarif!P13,0.001)</f>
        <v>2.5710000000000002</v>
      </c>
      <c r="Q13" s="126">
        <f>MROUND(Tarif!Q13,0.001)</f>
        <v>2.61</v>
      </c>
      <c r="R13" s="126">
        <f>MROUND(Tarif!R13,0.001)</f>
        <v>2.65</v>
      </c>
      <c r="T13" s="143">
        <f t="shared" si="0"/>
        <v>0</v>
      </c>
      <c r="U13" s="175">
        <f t="shared" si="1"/>
        <v>0.87814285714285711</v>
      </c>
      <c r="V13" s="176">
        <f t="shared" si="2"/>
        <v>0</v>
      </c>
    </row>
    <row r="14" spans="1:23" ht="20.25" thickTop="1" thickBot="1" x14ac:dyDescent="0.3">
      <c r="A14" s="118" t="s">
        <v>115</v>
      </c>
      <c r="B14" s="134" t="s">
        <v>87</v>
      </c>
      <c r="C14" s="133">
        <v>1.74</v>
      </c>
      <c r="D14" s="126">
        <f>MROUND(Tarif!D14,0.001)</f>
        <v>5.508</v>
      </c>
      <c r="E14" s="126">
        <f>MROUND(Tarif!E14,0.001)</f>
        <v>5.6150000000000002</v>
      </c>
      <c r="F14" s="126">
        <f>MROUND(Tarif!F14,0.001)</f>
        <v>5.7220000000000004</v>
      </c>
      <c r="G14" s="126">
        <f>MROUND(Tarif!G14,0.001)</f>
        <v>5.8239999999999998</v>
      </c>
      <c r="H14" s="126">
        <f>MROUND(Tarif!H14,0.001)</f>
        <v>5.9260000000000002</v>
      </c>
      <c r="I14" s="126">
        <f>MROUND(Tarif!I14,0.001)</f>
        <v>6.0330000000000004</v>
      </c>
      <c r="J14" s="126">
        <f>MROUND(Tarif!J14,0.001)</f>
        <v>6.1400000000000006</v>
      </c>
      <c r="K14" s="126">
        <f>MROUND(Tarif!K14,0.001)</f>
        <v>6.2359999999999998</v>
      </c>
      <c r="L14" s="126">
        <f>MROUND(Tarif!L14,0.001)</f>
        <v>6.3319999999999999</v>
      </c>
      <c r="M14" s="126">
        <f>MROUND(Tarif!M14,0.001)</f>
        <v>6.43</v>
      </c>
      <c r="N14" s="126">
        <f>MROUND(Tarif!N14,0.001)</f>
        <v>6.5270000000000001</v>
      </c>
      <c r="O14" s="126">
        <f>MROUND(Tarif!O14,0.001)</f>
        <v>6.6280000000000001</v>
      </c>
      <c r="P14" s="126">
        <f>MROUND(Tarif!P14,0.001)</f>
        <v>6.73</v>
      </c>
      <c r="Q14" s="126">
        <f>MROUND(Tarif!Q14,0.001)</f>
        <v>6.8319999999999999</v>
      </c>
      <c r="R14" s="126">
        <f>MROUND(Tarif!R14,0.001)</f>
        <v>6.9359999999999999</v>
      </c>
      <c r="T14" s="143">
        <f t="shared" si="0"/>
        <v>0</v>
      </c>
      <c r="U14" s="175">
        <f t="shared" si="1"/>
        <v>1.7401428571428572</v>
      </c>
      <c r="V14" s="176">
        <f t="shared" si="2"/>
        <v>0</v>
      </c>
    </row>
    <row r="15" spans="1:23" ht="20.25" thickTop="1" thickBot="1" x14ac:dyDescent="0.3">
      <c r="A15" s="118" t="s">
        <v>116</v>
      </c>
      <c r="B15" s="135" t="s">
        <v>88</v>
      </c>
      <c r="C15" s="131">
        <v>1.49</v>
      </c>
      <c r="D15" s="126">
        <f>MROUND(Tarif!D15,0.001)</f>
        <v>3.6110000000000002</v>
      </c>
      <c r="E15" s="126">
        <f>MROUND(Tarif!E15,0.001)</f>
        <v>3.6920000000000002</v>
      </c>
      <c r="F15" s="126">
        <f>MROUND(Tarif!F15,0.001)</f>
        <v>3.774</v>
      </c>
      <c r="G15" s="126">
        <f>MROUND(Tarif!G15,0.001)</f>
        <v>3.851</v>
      </c>
      <c r="H15" s="126">
        <f>MROUND(Tarif!H15,0.001)</f>
        <v>3.927</v>
      </c>
      <c r="I15" s="126">
        <f>MROUND(Tarif!I15,0.001)</f>
        <v>4.0030000000000001</v>
      </c>
      <c r="J15" s="126">
        <f>MROUND(Tarif!J15,0.001)</f>
        <v>4.08</v>
      </c>
      <c r="K15" s="126">
        <f>MROUND(Tarif!K15,0.001)</f>
        <v>4.1440000000000001</v>
      </c>
      <c r="L15" s="126">
        <f>MROUND(Tarif!L15,0.001)</f>
        <v>4.2069999999999999</v>
      </c>
      <c r="M15" s="126">
        <f>MROUND(Tarif!M15,0.001)</f>
        <v>4.2720000000000002</v>
      </c>
      <c r="N15" s="126">
        <f>MROUND(Tarif!N15,0.001)</f>
        <v>4.3369999999999997</v>
      </c>
      <c r="O15" s="126">
        <f>MROUND(Tarif!O15,0.001)</f>
        <v>4.4039999999999999</v>
      </c>
      <c r="P15" s="126">
        <f>MROUND(Tarif!P15,0.001)</f>
        <v>4.4720000000000004</v>
      </c>
      <c r="Q15" s="126">
        <f>MROUND(Tarif!Q15,0.001)</f>
        <v>4.5389999999999997</v>
      </c>
      <c r="R15" s="126">
        <f>MROUND(Tarif!R15,0.001)</f>
        <v>4.609</v>
      </c>
      <c r="T15" s="143">
        <f t="shared" si="0"/>
        <v>0</v>
      </c>
      <c r="U15" s="175">
        <f t="shared" si="1"/>
        <v>1.4901428571428572</v>
      </c>
      <c r="V15" s="176">
        <f t="shared" si="2"/>
        <v>0</v>
      </c>
    </row>
    <row r="16" spans="1:23" ht="20.25" thickTop="1" thickBot="1" x14ac:dyDescent="0.3">
      <c r="A16" s="118" t="s">
        <v>117</v>
      </c>
      <c r="B16" s="135" t="s">
        <v>89</v>
      </c>
      <c r="C16" s="131">
        <v>1.01</v>
      </c>
      <c r="D16" s="126">
        <f>MROUND(Tarif!D16,0.001)</f>
        <v>2.621</v>
      </c>
      <c r="E16" s="126">
        <f>MROUND(Tarif!E16,0.001)</f>
        <v>2.6779999999999999</v>
      </c>
      <c r="F16" s="126">
        <f>MROUND(Tarif!F16,0.001)</f>
        <v>2.734</v>
      </c>
      <c r="G16" s="126">
        <f>MROUND(Tarif!G16,0.001)</f>
        <v>2.79</v>
      </c>
      <c r="H16" s="126">
        <f>MROUND(Tarif!H16,0.001)</f>
        <v>2.8460000000000001</v>
      </c>
      <c r="I16" s="126">
        <f>MROUND(Tarif!I16,0.001)</f>
        <v>2.9020000000000001</v>
      </c>
      <c r="J16" s="126">
        <f>MROUND(Tarif!J16,0.001)</f>
        <v>2.9580000000000002</v>
      </c>
      <c r="K16" s="126">
        <f>MROUND(Tarif!K16,0.001)</f>
        <v>3.004</v>
      </c>
      <c r="L16" s="126">
        <f>MROUND(Tarif!L16,0.001)</f>
        <v>3.0500000000000003</v>
      </c>
      <c r="M16" s="126">
        <f>MROUND(Tarif!M16,0.001)</f>
        <v>3.097</v>
      </c>
      <c r="N16" s="126">
        <f>MROUND(Tarif!N16,0.001)</f>
        <v>3.1440000000000001</v>
      </c>
      <c r="O16" s="126">
        <f>MROUND(Tarif!O16,0.001)</f>
        <v>3.1930000000000001</v>
      </c>
      <c r="P16" s="126">
        <f>MROUND(Tarif!P16,0.001)</f>
        <v>3.242</v>
      </c>
      <c r="Q16" s="126">
        <f>MROUND(Tarif!Q16,0.001)</f>
        <v>3.2909999999999999</v>
      </c>
      <c r="R16" s="126">
        <f>MROUND(Tarif!R16,0.001)</f>
        <v>3.3410000000000002</v>
      </c>
      <c r="T16" s="143">
        <f t="shared" si="0"/>
        <v>0</v>
      </c>
      <c r="U16" s="175">
        <f t="shared" si="1"/>
        <v>1.0101428571428572</v>
      </c>
      <c r="V16" s="176">
        <f t="shared" si="2"/>
        <v>0</v>
      </c>
    </row>
    <row r="17" spans="1:22" s="143" customFormat="1" ht="20.25" thickTop="1" thickBot="1" x14ac:dyDescent="0.3">
      <c r="A17" s="118" t="s">
        <v>18</v>
      </c>
      <c r="B17" s="134" t="s">
        <v>90</v>
      </c>
      <c r="C17" s="133">
        <v>2.2120000000000002</v>
      </c>
      <c r="D17" s="126">
        <f>MROUND(Tarif!D17,0.001)</f>
        <v>5.9980000000000002</v>
      </c>
      <c r="E17" s="126">
        <f>MROUND(Tarif!E17,0.001)</f>
        <v>6.11</v>
      </c>
      <c r="F17" s="126">
        <f>MROUND(Tarif!F17,0.001)</f>
        <v>6.2220000000000004</v>
      </c>
      <c r="G17" s="126">
        <f>MROUND(Tarif!G17,0.001)</f>
        <v>6.3390000000000004</v>
      </c>
      <c r="H17" s="126">
        <f>MROUND(Tarif!H17,0.001)</f>
        <v>6.4569999999999999</v>
      </c>
      <c r="I17" s="126">
        <f>MROUND(Tarif!I17,0.001)</f>
        <v>6.569</v>
      </c>
      <c r="J17" s="126">
        <f>MROUND(Tarif!J17,0.001)</f>
        <v>6.681</v>
      </c>
      <c r="K17" s="126">
        <f>MROUND(Tarif!K17,0.001)</f>
        <v>6.7850000000000001</v>
      </c>
      <c r="L17" s="126">
        <f>MROUND(Tarif!L17,0.001)</f>
        <v>6.8900000000000006</v>
      </c>
      <c r="M17" s="126">
        <f>MROUND(Tarif!M17,0.001)</f>
        <v>6.9960000000000004</v>
      </c>
      <c r="N17" s="126">
        <f>MROUND(Tarif!N17,0.001)</f>
        <v>7.1020000000000003</v>
      </c>
      <c r="O17" s="126">
        <f>MROUND(Tarif!O17,0.001)</f>
        <v>7.2110000000000003</v>
      </c>
      <c r="P17" s="126">
        <f>MROUND(Tarif!P17,0.001)</f>
        <v>7.3220000000000001</v>
      </c>
      <c r="Q17" s="126">
        <f>MROUND(Tarif!Q17,0.001)</f>
        <v>7.4329999999999998</v>
      </c>
      <c r="R17" s="126">
        <f>MROUND(Tarif!R17,0.001)</f>
        <v>7.5470000000000006</v>
      </c>
      <c r="S17" s="143">
        <v>600</v>
      </c>
      <c r="T17" s="143">
        <f t="shared" si="0"/>
        <v>1327.2</v>
      </c>
      <c r="U17" s="175">
        <f t="shared" si="1"/>
        <v>2.2121428571428572</v>
      </c>
      <c r="V17" s="176">
        <f t="shared" si="2"/>
        <v>1327.2857142857142</v>
      </c>
    </row>
    <row r="18" spans="1:22" s="143" customFormat="1" ht="20.25" thickTop="1" thickBot="1" x14ac:dyDescent="0.3">
      <c r="A18" s="118" t="s">
        <v>19</v>
      </c>
      <c r="B18" s="134" t="s">
        <v>91</v>
      </c>
      <c r="C18" s="133">
        <v>1.8</v>
      </c>
      <c r="D18" s="126">
        <f>MROUND(Tarif!D18,0.001)</f>
        <v>4.3760000000000003</v>
      </c>
      <c r="E18" s="126">
        <f>MROUND(Tarif!E18,0.001)</f>
        <v>4.4729999999999999</v>
      </c>
      <c r="F18" s="126">
        <f>MROUND(Tarif!F18,0.001)</f>
        <v>4.57</v>
      </c>
      <c r="G18" s="126">
        <f>MROUND(Tarif!G18,0.001)</f>
        <v>4.6610000000000005</v>
      </c>
      <c r="H18" s="126">
        <f>MROUND(Tarif!H18,0.001)</f>
        <v>4.7530000000000001</v>
      </c>
      <c r="I18" s="126">
        <f>MROUND(Tarif!I18,0.001)</f>
        <v>4.8500000000000005</v>
      </c>
      <c r="J18" s="126">
        <f>MROUND(Tarif!J18,0.001)</f>
        <v>4.9470000000000001</v>
      </c>
      <c r="K18" s="126">
        <f>MROUND(Tarif!K18,0.001)</f>
        <v>5.024</v>
      </c>
      <c r="L18" s="126">
        <f>MROUND(Tarif!L18,0.001)</f>
        <v>5.1020000000000003</v>
      </c>
      <c r="M18" s="126">
        <f>MROUND(Tarif!M18,0.001)</f>
        <v>5.18</v>
      </c>
      <c r="N18" s="126">
        <f>MROUND(Tarif!N18,0.001)</f>
        <v>5.2590000000000003</v>
      </c>
      <c r="O18" s="126">
        <f>MROUND(Tarif!O18,0.001)</f>
        <v>5.34</v>
      </c>
      <c r="P18" s="126">
        <f>MROUND(Tarif!P18,0.001)</f>
        <v>5.4219999999999997</v>
      </c>
      <c r="Q18" s="126">
        <f>MROUND(Tarif!Q18,0.001)</f>
        <v>5.5040000000000004</v>
      </c>
      <c r="R18" s="126">
        <f>MROUND(Tarif!R18,0.001)</f>
        <v>5.5880000000000001</v>
      </c>
      <c r="S18" s="143">
        <v>400</v>
      </c>
      <c r="T18" s="143">
        <f t="shared" si="0"/>
        <v>720</v>
      </c>
      <c r="U18" s="175">
        <f t="shared" si="1"/>
        <v>1.8001428571428573</v>
      </c>
      <c r="V18" s="176">
        <f t="shared" si="2"/>
        <v>720.05714285714294</v>
      </c>
    </row>
    <row r="19" spans="1:22" s="143" customFormat="1" ht="20.25" thickTop="1" thickBot="1" x14ac:dyDescent="0.3">
      <c r="A19" s="118" t="s">
        <v>20</v>
      </c>
      <c r="B19" s="134" t="s">
        <v>92</v>
      </c>
      <c r="C19" s="133">
        <v>1.194</v>
      </c>
      <c r="D19" s="126">
        <f>MROUND(Tarif!D19,0.001)</f>
        <v>2.7130000000000001</v>
      </c>
      <c r="E19" s="126">
        <f>MROUND(Tarif!E19,0.001)</f>
        <v>2.774</v>
      </c>
      <c r="F19" s="126">
        <f>MROUND(Tarif!F19,0.001)</f>
        <v>2.8359999999999999</v>
      </c>
      <c r="G19" s="126">
        <f>MROUND(Tarif!G19,0.001)</f>
        <v>2.8919999999999999</v>
      </c>
      <c r="H19" s="126">
        <f>MROUND(Tarif!H19,0.001)</f>
        <v>2.948</v>
      </c>
      <c r="I19" s="126">
        <f>MROUND(Tarif!I19,0.001)</f>
        <v>3.0089999999999999</v>
      </c>
      <c r="J19" s="126">
        <f>MROUND(Tarif!J19,0.001)</f>
        <v>3.0700000000000003</v>
      </c>
      <c r="K19" s="126">
        <f>MROUND(Tarif!K19,0.001)</f>
        <v>3.1179999999999999</v>
      </c>
      <c r="L19" s="126">
        <f>MROUND(Tarif!L19,0.001)</f>
        <v>3.1659999999999999</v>
      </c>
      <c r="M19" s="126">
        <f>MROUND(Tarif!M19,0.001)</f>
        <v>3.2149999999999999</v>
      </c>
      <c r="N19" s="126">
        <f>MROUND(Tarif!N19,0.001)</f>
        <v>3.2640000000000002</v>
      </c>
      <c r="O19" s="126">
        <f>MROUND(Tarif!O19,0.001)</f>
        <v>3.3140000000000001</v>
      </c>
      <c r="P19" s="126">
        <f>MROUND(Tarif!P19,0.001)</f>
        <v>3.3650000000000002</v>
      </c>
      <c r="Q19" s="126">
        <f>MROUND(Tarif!Q19,0.001)</f>
        <v>3.4159999999999999</v>
      </c>
      <c r="R19" s="126">
        <f>MROUND(Tarif!R19,0.001)</f>
        <v>3.468</v>
      </c>
      <c r="S19" s="143">
        <v>100</v>
      </c>
      <c r="T19" s="143">
        <f t="shared" si="0"/>
        <v>119.39999999999999</v>
      </c>
      <c r="U19" s="175">
        <f t="shared" si="1"/>
        <v>1.1941428571428572</v>
      </c>
      <c r="V19" s="176">
        <f t="shared" si="2"/>
        <v>119.41428571428571</v>
      </c>
    </row>
    <row r="20" spans="1:22" ht="20.25" thickTop="1" thickBot="1" x14ac:dyDescent="0.3">
      <c r="A20" s="162" t="s">
        <v>121</v>
      </c>
      <c r="B20" s="134" t="s">
        <v>93</v>
      </c>
      <c r="C20" s="133">
        <v>2.34</v>
      </c>
      <c r="D20" s="126">
        <f>MROUND(Tarif!D20,0.001)</f>
        <v>6.4260000000000002</v>
      </c>
      <c r="E20" s="126">
        <f>MROUND(Tarif!E20,0.001)</f>
        <v>6.5430000000000001</v>
      </c>
      <c r="F20" s="126">
        <f>MROUND(Tarif!F20,0.001)</f>
        <v>6.6610000000000005</v>
      </c>
      <c r="G20" s="126">
        <f>MROUND(Tarif!G20,0.001)</f>
        <v>6.7830000000000004</v>
      </c>
      <c r="H20" s="126">
        <f>MROUND(Tarif!H20,0.001)</f>
        <v>6.9050000000000002</v>
      </c>
      <c r="I20" s="126">
        <f>MROUND(Tarif!I20,0.001)</f>
        <v>7.0230000000000006</v>
      </c>
      <c r="J20" s="126">
        <f>MROUND(Tarif!J20,0.001)</f>
        <v>7.1400000000000006</v>
      </c>
      <c r="K20" s="126">
        <f>MROUND(Tarif!K20,0.001)</f>
        <v>7.2519999999999998</v>
      </c>
      <c r="L20" s="126">
        <f>MROUND(Tarif!L20,0.001)</f>
        <v>7.3630000000000004</v>
      </c>
      <c r="M20" s="126">
        <f>MROUND(Tarif!M20,0.001)</f>
        <v>7.476</v>
      </c>
      <c r="N20" s="126">
        <f>MROUND(Tarif!N20,0.001)</f>
        <v>7.59</v>
      </c>
      <c r="O20" s="126">
        <f>MROUND(Tarif!O20,0.001)</f>
        <v>7.7069999999999999</v>
      </c>
      <c r="P20" s="126">
        <f>MROUND(Tarif!P20,0.001)</f>
        <v>7.8250000000000002</v>
      </c>
      <c r="Q20" s="126">
        <f>MROUND(Tarif!Q20,0.001)</f>
        <v>7.944</v>
      </c>
      <c r="R20" s="126">
        <f>MROUND(Tarif!R20,0.001)</f>
        <v>8.0660000000000007</v>
      </c>
      <c r="T20" s="143">
        <f t="shared" si="0"/>
        <v>0</v>
      </c>
      <c r="U20" s="175">
        <f t="shared" si="1"/>
        <v>2.3401428571428569</v>
      </c>
      <c r="V20" s="176">
        <f t="shared" si="2"/>
        <v>0</v>
      </c>
    </row>
    <row r="21" spans="1:22" ht="20.25" thickTop="1" thickBot="1" x14ac:dyDescent="0.3">
      <c r="A21" s="162" t="s">
        <v>122</v>
      </c>
      <c r="B21" s="135" t="s">
        <v>94</v>
      </c>
      <c r="C21" s="131">
        <v>1.98</v>
      </c>
      <c r="D21" s="126">
        <f>MROUND(Tarif!D21,0.001)</f>
        <v>4.8140000000000001</v>
      </c>
      <c r="E21" s="126">
        <f>MROUND(Tarif!E21,0.001)</f>
        <v>4.9219999999999997</v>
      </c>
      <c r="F21" s="126">
        <f>MROUND(Tarif!F21,0.001)</f>
        <v>5.0289999999999999</v>
      </c>
      <c r="G21" s="126">
        <f>MROUND(Tarif!G21,0.001)</f>
        <v>5.1310000000000002</v>
      </c>
      <c r="H21" s="126">
        <f>MROUND(Tarif!H21,0.001)</f>
        <v>5.2330000000000005</v>
      </c>
      <c r="I21" s="126">
        <f>MROUND(Tarif!I21,0.001)</f>
        <v>5.335</v>
      </c>
      <c r="J21" s="126">
        <f>MROUND(Tarif!J21,0.001)</f>
        <v>5.4370000000000003</v>
      </c>
      <c r="K21" s="126">
        <f>MROUND(Tarif!K21,0.001)</f>
        <v>5.5220000000000002</v>
      </c>
      <c r="L21" s="126">
        <f>MROUND(Tarif!L21,0.001)</f>
        <v>5.6059999999999999</v>
      </c>
      <c r="M21" s="126">
        <f>MROUND(Tarif!M21,0.001)</f>
        <v>5.6930000000000005</v>
      </c>
      <c r="N21" s="126">
        <f>MROUND(Tarif!N21,0.001)</f>
        <v>5.7789999999999999</v>
      </c>
      <c r="O21" s="126">
        <f>MROUND(Tarif!O21,0.001)</f>
        <v>5.8680000000000003</v>
      </c>
      <c r="P21" s="126">
        <f>MROUND(Tarif!P21,0.001)</f>
        <v>5.9580000000000002</v>
      </c>
      <c r="Q21" s="126">
        <f>MROUND(Tarif!Q21,0.001)</f>
        <v>6.0490000000000004</v>
      </c>
      <c r="R21" s="126">
        <f>MROUND(Tarif!R21,0.001)</f>
        <v>6.141</v>
      </c>
      <c r="T21" s="143">
        <f t="shared" si="0"/>
        <v>0</v>
      </c>
      <c r="U21" s="175">
        <f t="shared" si="1"/>
        <v>1.9801428571428572</v>
      </c>
      <c r="V21" s="176">
        <f t="shared" si="2"/>
        <v>0</v>
      </c>
    </row>
    <row r="22" spans="1:22" ht="20.25" thickTop="1" thickBot="1" x14ac:dyDescent="0.3">
      <c r="A22" s="162" t="s">
        <v>123</v>
      </c>
      <c r="B22" s="135" t="s">
        <v>95</v>
      </c>
      <c r="C22" s="131">
        <v>1.294</v>
      </c>
      <c r="D22" s="126">
        <f>MROUND(Tarif!D22,0.001)</f>
        <v>2.907</v>
      </c>
      <c r="E22" s="126">
        <f>MROUND(Tarif!E22,0.001)</f>
        <v>2.9729999999999999</v>
      </c>
      <c r="F22" s="126">
        <f>MROUND(Tarif!F22,0.001)</f>
        <v>3.04</v>
      </c>
      <c r="G22" s="126">
        <f>MROUND(Tarif!G22,0.001)</f>
        <v>3.0550000000000002</v>
      </c>
      <c r="H22" s="126">
        <f>MROUND(Tarif!H22,0.001)</f>
        <v>3.0700000000000003</v>
      </c>
      <c r="I22" s="126">
        <f>MROUND(Tarif!I22,0.001)</f>
        <v>3.1819999999999999</v>
      </c>
      <c r="J22" s="126">
        <f>MROUND(Tarif!J22,0.001)</f>
        <v>3.2949999999999999</v>
      </c>
      <c r="K22" s="126">
        <f>MROUND(Tarif!K22,0.001)</f>
        <v>3.3460000000000001</v>
      </c>
      <c r="L22" s="126">
        <f>MROUND(Tarif!L22,0.001)</f>
        <v>3.3980000000000001</v>
      </c>
      <c r="M22" s="126">
        <f>MROUND(Tarif!M22,0.001)</f>
        <v>3.45</v>
      </c>
      <c r="N22" s="126">
        <f>MROUND(Tarif!N22,0.001)</f>
        <v>3.5020000000000002</v>
      </c>
      <c r="O22" s="126">
        <f>MROUND(Tarif!O22,0.001)</f>
        <v>3.556</v>
      </c>
      <c r="P22" s="126">
        <f>MROUND(Tarif!P22,0.001)</f>
        <v>3.6110000000000002</v>
      </c>
      <c r="Q22" s="126">
        <f>MROUND(Tarif!Q22,0.001)</f>
        <v>3.6659999999999999</v>
      </c>
      <c r="R22" s="126">
        <f>MROUND(Tarif!R22,0.001)</f>
        <v>3.722</v>
      </c>
      <c r="T22" s="143">
        <f t="shared" si="0"/>
        <v>0</v>
      </c>
      <c r="U22" s="175">
        <f t="shared" si="1"/>
        <v>1.2941428571428573</v>
      </c>
      <c r="V22" s="176">
        <f t="shared" si="2"/>
        <v>0</v>
      </c>
    </row>
    <row r="23" spans="1:22" s="143" customFormat="1" ht="20.25" thickTop="1" thickBot="1" x14ac:dyDescent="0.3">
      <c r="A23" s="118" t="s">
        <v>26</v>
      </c>
      <c r="B23" s="134" t="s">
        <v>96</v>
      </c>
      <c r="C23" s="133">
        <v>2.71</v>
      </c>
      <c r="D23" s="126">
        <f>MROUND(Tarif!D23,0.001)</f>
        <v>7.5070000000000006</v>
      </c>
      <c r="E23" s="126">
        <f>MROUND(Tarif!E23,0.001)</f>
        <v>7.6450000000000005</v>
      </c>
      <c r="F23" s="126">
        <f>MROUND(Tarif!F23,0.001)</f>
        <v>7.7830000000000004</v>
      </c>
      <c r="G23" s="126">
        <f>MROUND(Tarif!G23,0.001)</f>
        <v>7.9249999999999998</v>
      </c>
      <c r="H23" s="126">
        <f>MROUND(Tarif!H23,0.001)</f>
        <v>8.0679999999999996</v>
      </c>
      <c r="I23" s="126">
        <f>MROUND(Tarif!I23,0.001)</f>
        <v>8.2059999999999995</v>
      </c>
      <c r="J23" s="126">
        <f>MROUND(Tarif!J23,0.001)</f>
        <v>8.3439999999999994</v>
      </c>
      <c r="K23" s="126">
        <f>MROUND(Tarif!K23,0.001)</f>
        <v>8.4740000000000002</v>
      </c>
      <c r="L23" s="126">
        <f>MROUND(Tarif!L23,0.001)</f>
        <v>8.604000000000001</v>
      </c>
      <c r="M23" s="126">
        <f>MROUND(Tarif!M23,0.001)</f>
        <v>8.7370000000000001</v>
      </c>
      <c r="N23" s="126">
        <f>MROUND(Tarif!N23,0.001)</f>
        <v>8.8689999999999998</v>
      </c>
      <c r="O23" s="126">
        <f>MROUND(Tarif!O23,0.001)</f>
        <v>9.0060000000000002</v>
      </c>
      <c r="P23" s="126">
        <f>MROUND(Tarif!P23,0.001)</f>
        <v>9.1449999999999996</v>
      </c>
      <c r="Q23" s="126">
        <f>MROUND(Tarif!Q23,0.001)</f>
        <v>9.2829999999999995</v>
      </c>
      <c r="R23" s="126">
        <f>MROUND(Tarif!R23,0.001)</f>
        <v>9.4250000000000007</v>
      </c>
      <c r="S23" s="143">
        <v>300</v>
      </c>
      <c r="T23" s="143">
        <f t="shared" si="0"/>
        <v>813</v>
      </c>
      <c r="U23" s="175">
        <f t="shared" si="1"/>
        <v>2.710142857142857</v>
      </c>
      <c r="V23" s="176">
        <f t="shared" si="2"/>
        <v>813.04285714285709</v>
      </c>
    </row>
    <row r="24" spans="1:22" s="143" customFormat="1" ht="20.25" thickTop="1" thickBot="1" x14ac:dyDescent="0.3">
      <c r="A24" s="118" t="s">
        <v>27</v>
      </c>
      <c r="B24" s="134" t="s">
        <v>97</v>
      </c>
      <c r="C24" s="133">
        <v>2.415</v>
      </c>
      <c r="D24" s="126">
        <f>MROUND(Tarif!D24,0.001)</f>
        <v>5.875</v>
      </c>
      <c r="E24" s="126">
        <f>MROUND(Tarif!E24,0.001)</f>
        <v>5.9980000000000002</v>
      </c>
      <c r="F24" s="126">
        <f>MROUND(Tarif!F24,0.001)</f>
        <v>6.12</v>
      </c>
      <c r="G24" s="126">
        <f>MROUND(Tarif!G24,0.001)</f>
        <v>6.2480000000000002</v>
      </c>
      <c r="H24" s="126">
        <f>MROUND(Tarif!H24,0.001)</f>
        <v>6.375</v>
      </c>
      <c r="I24" s="126">
        <f>MROUND(Tarif!I24,0.001)</f>
        <v>6.5019999999999998</v>
      </c>
      <c r="J24" s="126">
        <f>MROUND(Tarif!J24,0.001)</f>
        <v>6.63</v>
      </c>
      <c r="K24" s="126">
        <f>MROUND(Tarif!K24,0.001)</f>
        <v>6.734</v>
      </c>
      <c r="L24" s="126">
        <f>MROUND(Tarif!L24,0.001)</f>
        <v>6.8369999999999997</v>
      </c>
      <c r="M24" s="126">
        <f>MROUND(Tarif!M24,0.001)</f>
        <v>6.9420000000000002</v>
      </c>
      <c r="N24" s="126">
        <f>MROUND(Tarif!N24,0.001)</f>
        <v>7.048</v>
      </c>
      <c r="O24" s="126">
        <f>MROUND(Tarif!O24,0.001)</f>
        <v>7.1560000000000006</v>
      </c>
      <c r="P24" s="126">
        <f>MROUND(Tarif!P24,0.001)</f>
        <v>7.266</v>
      </c>
      <c r="Q24" s="126">
        <f>MROUND(Tarif!Q24,0.001)</f>
        <v>7.3769999999999998</v>
      </c>
      <c r="R24" s="126">
        <f>MROUND(Tarif!R24,0.001)</f>
        <v>7.49</v>
      </c>
      <c r="S24" s="143">
        <v>200</v>
      </c>
      <c r="T24" s="143">
        <f t="shared" si="0"/>
        <v>483</v>
      </c>
      <c r="U24" s="175">
        <f t="shared" si="1"/>
        <v>2.415142857142857</v>
      </c>
      <c r="V24" s="176">
        <f t="shared" si="2"/>
        <v>483.02857142857141</v>
      </c>
    </row>
    <row r="25" spans="1:22" s="143" customFormat="1" ht="20.25" thickTop="1" thickBot="1" x14ac:dyDescent="0.3">
      <c r="A25" s="118" t="s">
        <v>28</v>
      </c>
      <c r="B25" s="134" t="s">
        <v>98</v>
      </c>
      <c r="C25" s="133">
        <v>1.603</v>
      </c>
      <c r="D25" s="126">
        <f>MROUND(Tarif!D25,0.001)</f>
        <v>3.7640000000000002</v>
      </c>
      <c r="E25" s="126">
        <f>MROUND(Tarif!E25,0.001)</f>
        <v>3.85</v>
      </c>
      <c r="F25" s="126">
        <f>MROUND(Tarif!F25,0.001)</f>
        <v>3.9370000000000003</v>
      </c>
      <c r="G25" s="126">
        <f>MROUND(Tarif!G25,0.001)</f>
        <v>4.0190000000000001</v>
      </c>
      <c r="H25" s="126">
        <f>MROUND(Tarif!H25,0.001)</f>
        <v>4.0999999999999996</v>
      </c>
      <c r="I25" s="126">
        <f>MROUND(Tarif!I25,0.001)</f>
        <v>4.1820000000000004</v>
      </c>
      <c r="J25" s="126">
        <f>MROUND(Tarif!J25,0.001)</f>
        <v>4.2640000000000002</v>
      </c>
      <c r="K25" s="126">
        <f>MROUND(Tarif!K25,0.001)</f>
        <v>4.33</v>
      </c>
      <c r="L25" s="126">
        <f>MROUND(Tarif!L25,0.001)</f>
        <v>4.3970000000000002</v>
      </c>
      <c r="M25" s="126">
        <f>MROUND(Tarif!M25,0.001)</f>
        <v>4.4649999999999999</v>
      </c>
      <c r="N25" s="126">
        <f>MROUND(Tarif!N25,0.001)</f>
        <v>4.532</v>
      </c>
      <c r="O25" s="126">
        <f>MROUND(Tarif!O25,0.001)</f>
        <v>4.6020000000000003</v>
      </c>
      <c r="P25" s="126">
        <f>MROUND(Tarif!P25,0.001)</f>
        <v>4.673</v>
      </c>
      <c r="Q25" s="126">
        <f>MROUND(Tarif!Q25,0.001)</f>
        <v>4.7439999999999998</v>
      </c>
      <c r="R25" s="126">
        <f>MROUND(Tarif!R25,0.001)</f>
        <v>4.8159999999999998</v>
      </c>
      <c r="T25" s="143">
        <f t="shared" si="0"/>
        <v>0</v>
      </c>
      <c r="U25" s="175">
        <f t="shared" si="1"/>
        <v>1.6031428571428572</v>
      </c>
      <c r="V25" s="176">
        <f t="shared" si="2"/>
        <v>0</v>
      </c>
    </row>
    <row r="26" spans="1:22" ht="12" customHeight="1" thickTop="1" x14ac:dyDescent="0.25">
      <c r="A26" s="162" t="s">
        <v>25</v>
      </c>
      <c r="D26" s="118">
        <f>+D2</f>
        <v>1500</v>
      </c>
      <c r="E26" s="118">
        <f t="shared" ref="E26:R26" si="3">+E2</f>
        <v>1550</v>
      </c>
      <c r="F26" s="118">
        <f t="shared" si="3"/>
        <v>1600</v>
      </c>
      <c r="G26" s="118">
        <f t="shared" si="3"/>
        <v>1650</v>
      </c>
      <c r="H26" s="118">
        <f t="shared" si="3"/>
        <v>1700</v>
      </c>
      <c r="I26" s="118">
        <f t="shared" si="3"/>
        <v>1750</v>
      </c>
      <c r="J26" s="118">
        <f t="shared" si="3"/>
        <v>1800</v>
      </c>
      <c r="K26" s="118">
        <f t="shared" si="3"/>
        <v>1850</v>
      </c>
      <c r="L26" s="118">
        <f t="shared" si="3"/>
        <v>1900</v>
      </c>
      <c r="M26" s="118">
        <f t="shared" si="3"/>
        <v>1950</v>
      </c>
      <c r="N26" s="118">
        <f t="shared" si="3"/>
        <v>2000</v>
      </c>
      <c r="O26" s="118">
        <f t="shared" si="3"/>
        <v>2050</v>
      </c>
      <c r="P26" s="118">
        <f t="shared" si="3"/>
        <v>2100</v>
      </c>
      <c r="Q26" s="118">
        <f t="shared" si="3"/>
        <v>2150</v>
      </c>
      <c r="R26" s="118">
        <f t="shared" si="3"/>
        <v>2200</v>
      </c>
      <c r="S26" s="118">
        <v>0.3</v>
      </c>
    </row>
    <row r="27" spans="1:22" x14ac:dyDescent="0.25">
      <c r="C27" s="201" t="s">
        <v>99</v>
      </c>
      <c r="D27" s="201"/>
      <c r="E27" s="201"/>
      <c r="F27" s="201"/>
      <c r="G27" s="201"/>
      <c r="H27" s="201"/>
      <c r="I27" s="201"/>
    </row>
  </sheetData>
  <autoFilter ref="B3:S25" xr:uid="{A0704A73-94E7-4981-90F3-A0CA570DE60D}"/>
  <mergeCells count="1">
    <mergeCell ref="C27:I2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704A73-94E7-4981-90F3-A0CA570DE60D}">
  <sheetPr filterMode="1"/>
  <dimension ref="A1:W50"/>
  <sheetViews>
    <sheetView workbookViewId="0">
      <pane xSplit="3" ySplit="3" topLeftCell="L9" activePane="bottomRight" state="frozen"/>
      <selection pane="topRight" activeCell="C1" sqref="C1"/>
      <selection pane="bottomLeft" activeCell="A3" sqref="A3"/>
      <selection pane="bottomRight" activeCell="S27" sqref="S27"/>
    </sheetView>
  </sheetViews>
  <sheetFormatPr baseColWidth="10" defaultColWidth="10.85546875" defaultRowHeight="15" x14ac:dyDescent="0.25"/>
  <cols>
    <col min="1" max="1" width="30.85546875" style="118" customWidth="1"/>
    <col min="2" max="2" width="14" style="118" customWidth="1"/>
    <col min="3" max="3" width="15.5703125" style="118" customWidth="1"/>
    <col min="4" max="4" width="15.7109375" style="118" customWidth="1"/>
    <col min="5" max="5" width="13.28515625" style="118" customWidth="1"/>
    <col min="6" max="6" width="14.28515625" style="118" customWidth="1"/>
    <col min="7" max="7" width="10" style="118" customWidth="1"/>
    <col min="8" max="8" width="13.5703125" style="118" customWidth="1"/>
    <col min="9" max="10" width="10.140625" style="118" customWidth="1"/>
    <col min="11" max="11" width="9.7109375" style="118" customWidth="1"/>
    <col min="12" max="12" width="23.7109375" style="118" bestFit="1" customWidth="1"/>
    <col min="13" max="13" width="10.5703125" style="118" customWidth="1"/>
    <col min="14" max="14" width="10.85546875" style="118" customWidth="1"/>
    <col min="15" max="15" width="8.7109375" style="118" customWidth="1"/>
    <col min="16" max="16" width="10" style="118" customWidth="1"/>
    <col min="17" max="17" width="9.5703125" style="118" customWidth="1"/>
    <col min="18" max="18" width="10" style="118" customWidth="1"/>
    <col min="19" max="19" width="13.42578125" style="118" bestFit="1" customWidth="1"/>
    <col min="20" max="20" width="12" style="118" bestFit="1" customWidth="1"/>
    <col min="21" max="16384" width="10.85546875" style="118"/>
  </cols>
  <sheetData>
    <row r="1" spans="1:23" x14ac:dyDescent="0.25">
      <c r="D1" s="118">
        <v>4</v>
      </c>
      <c r="E1" s="118">
        <v>5</v>
      </c>
      <c r="F1" s="118">
        <v>6</v>
      </c>
      <c r="G1" s="118">
        <v>7</v>
      </c>
      <c r="H1" s="118">
        <v>8</v>
      </c>
      <c r="I1" s="118">
        <v>9</v>
      </c>
      <c r="J1" s="118">
        <v>10</v>
      </c>
      <c r="K1" s="118">
        <v>11</v>
      </c>
      <c r="L1" s="118">
        <v>12</v>
      </c>
      <c r="M1" s="118">
        <v>13</v>
      </c>
      <c r="N1" s="118">
        <v>14</v>
      </c>
      <c r="O1" s="118">
        <v>15</v>
      </c>
      <c r="P1" s="118">
        <v>16</v>
      </c>
      <c r="Q1" s="118">
        <v>17</v>
      </c>
      <c r="R1" s="118">
        <v>18</v>
      </c>
      <c r="T1" s="184">
        <f>S26/S2</f>
        <v>1.5197568389057752E-4</v>
      </c>
      <c r="V1" s="177">
        <f>V2/S2</f>
        <v>0.37234042553191488</v>
      </c>
    </row>
    <row r="2" spans="1:23" ht="26.25" customHeight="1" x14ac:dyDescent="0.25">
      <c r="B2" s="169" t="s">
        <v>59</v>
      </c>
      <c r="C2" s="169"/>
      <c r="D2" s="170">
        <v>1500</v>
      </c>
      <c r="E2" s="170">
        <v>1550</v>
      </c>
      <c r="F2" s="170">
        <v>1600</v>
      </c>
      <c r="G2" s="170">
        <v>1650</v>
      </c>
      <c r="H2" s="170">
        <v>1700</v>
      </c>
      <c r="I2" s="170">
        <v>1750</v>
      </c>
      <c r="J2" s="170">
        <v>1800</v>
      </c>
      <c r="K2" s="170">
        <v>1850</v>
      </c>
      <c r="L2" s="171">
        <v>1900</v>
      </c>
      <c r="M2" s="172">
        <v>1950</v>
      </c>
      <c r="N2" s="172">
        <v>2000</v>
      </c>
      <c r="O2" s="172">
        <v>2050</v>
      </c>
      <c r="P2" s="172">
        <v>2100</v>
      </c>
      <c r="Q2" s="172">
        <v>2150</v>
      </c>
      <c r="R2" s="172">
        <v>2200</v>
      </c>
      <c r="S2" s="162">
        <f>SUM(S4:S25)</f>
        <v>3290</v>
      </c>
      <c r="T2" s="162">
        <f>ROUND(SUM(T4:T25),0)</f>
        <v>4625</v>
      </c>
      <c r="V2" s="118">
        <f>'FP230130 Auto'!I50</f>
        <v>1225</v>
      </c>
    </row>
    <row r="3" spans="1:23" ht="16.5" thickBot="1" x14ac:dyDescent="0.3">
      <c r="B3" s="119" t="s">
        <v>60</v>
      </c>
      <c r="C3" s="120" t="s">
        <v>61</v>
      </c>
      <c r="D3" s="121" t="s">
        <v>62</v>
      </c>
      <c r="E3" s="121" t="s">
        <v>63</v>
      </c>
      <c r="F3" s="121" t="s">
        <v>64</v>
      </c>
      <c r="G3" s="121" t="s">
        <v>65</v>
      </c>
      <c r="H3" s="121" t="s">
        <v>66</v>
      </c>
      <c r="I3" s="122" t="s">
        <v>67</v>
      </c>
      <c r="J3" s="121" t="s">
        <v>68</v>
      </c>
      <c r="K3" s="121" t="s">
        <v>69</v>
      </c>
      <c r="L3" s="121" t="s">
        <v>70</v>
      </c>
      <c r="M3" s="121" t="s">
        <v>71</v>
      </c>
      <c r="N3" s="121" t="s">
        <v>72</v>
      </c>
      <c r="O3" s="123" t="s">
        <v>73</v>
      </c>
      <c r="P3" s="123" t="s">
        <v>74</v>
      </c>
      <c r="Q3" s="123" t="s">
        <v>75</v>
      </c>
      <c r="R3" s="123" t="s">
        <v>76</v>
      </c>
      <c r="S3" s="162" t="s">
        <v>131</v>
      </c>
      <c r="T3" s="162" t="s">
        <v>130</v>
      </c>
    </row>
    <row r="4" spans="1:23" s="143" customFormat="1" ht="19.5" hidden="1" thickBot="1" x14ac:dyDescent="0.3">
      <c r="A4" s="118" t="s">
        <v>105</v>
      </c>
      <c r="B4" s="124" t="s">
        <v>77</v>
      </c>
      <c r="C4" s="125">
        <v>1.175</v>
      </c>
      <c r="D4" s="126">
        <v>3.2130000000000001</v>
      </c>
      <c r="E4" s="126">
        <v>3.2789999999999999</v>
      </c>
      <c r="F4" s="126">
        <v>3.3460000000000001</v>
      </c>
      <c r="G4" s="126">
        <v>3.407</v>
      </c>
      <c r="H4" s="126">
        <v>3.468</v>
      </c>
      <c r="I4" s="126">
        <v>3.524</v>
      </c>
      <c r="J4" s="128">
        <v>3.58</v>
      </c>
      <c r="K4" s="128">
        <v>3.6360000000000001</v>
      </c>
      <c r="L4" s="128">
        <v>3.6920000000000002</v>
      </c>
      <c r="M4" s="128">
        <v>3.7490000000000001</v>
      </c>
      <c r="N4" s="128">
        <v>3.806</v>
      </c>
      <c r="O4" s="128">
        <v>3.8639999999999999</v>
      </c>
      <c r="P4" s="128">
        <v>3.9239999999999999</v>
      </c>
      <c r="Q4" s="128">
        <v>3.9830000000000001</v>
      </c>
      <c r="R4" s="128">
        <v>4.0440000000000005</v>
      </c>
      <c r="T4" s="143">
        <f>S4*C4</f>
        <v>0</v>
      </c>
      <c r="U4" s="175">
        <f>C4+($T$1*1000)</f>
        <v>1.3269756838905775</v>
      </c>
      <c r="V4" s="176">
        <f>U4*S4</f>
        <v>0</v>
      </c>
      <c r="W4" s="118"/>
    </row>
    <row r="5" spans="1:23" ht="20.25" hidden="1" customHeight="1" thickTop="1" thickBot="1" x14ac:dyDescent="0.3">
      <c r="A5" s="118" t="s">
        <v>109</v>
      </c>
      <c r="B5" s="130" t="s">
        <v>78</v>
      </c>
      <c r="C5" s="131">
        <v>0.96</v>
      </c>
      <c r="D5" s="126">
        <v>2.3559999999999999</v>
      </c>
      <c r="E5" s="127">
        <v>2.4020000000000001</v>
      </c>
      <c r="F5" s="126">
        <v>2.448</v>
      </c>
      <c r="G5" s="127">
        <v>2.4990000000000001</v>
      </c>
      <c r="H5" s="126">
        <v>2.5500000000000003</v>
      </c>
      <c r="I5" s="129">
        <v>2.601</v>
      </c>
      <c r="J5" s="128">
        <v>2.6520000000000001</v>
      </c>
      <c r="K5" s="129">
        <v>2.6930000000000001</v>
      </c>
      <c r="L5" s="128">
        <v>2.7349999999999999</v>
      </c>
      <c r="M5" s="129">
        <v>2.7770000000000001</v>
      </c>
      <c r="N5" s="128">
        <v>2.819</v>
      </c>
      <c r="O5" s="129">
        <v>2.8620000000000001</v>
      </c>
      <c r="P5" s="128">
        <v>2.907</v>
      </c>
      <c r="Q5" s="129">
        <v>2.9510000000000001</v>
      </c>
      <c r="R5" s="128">
        <v>2.996</v>
      </c>
      <c r="T5" s="143">
        <f t="shared" ref="T5:T25" si="0">S5*C5</f>
        <v>0</v>
      </c>
      <c r="U5" s="175">
        <f t="shared" ref="U5:U25" si="1">C5+($T$1*1000)</f>
        <v>1.1119756838905774</v>
      </c>
      <c r="V5" s="176">
        <f t="shared" ref="V5:V25" si="2">U5*S5</f>
        <v>0</v>
      </c>
    </row>
    <row r="6" spans="1:23" s="143" customFormat="1" ht="20.25" thickTop="1" thickBot="1" x14ac:dyDescent="0.3">
      <c r="A6" s="118" t="s">
        <v>29</v>
      </c>
      <c r="B6" s="132" t="s">
        <v>79</v>
      </c>
      <c r="C6" s="133">
        <v>0.84</v>
      </c>
      <c r="D6" s="126">
        <v>1.1420000000000001</v>
      </c>
      <c r="E6" s="126">
        <v>1.1679999999999999</v>
      </c>
      <c r="F6" s="126">
        <v>1.1930000000000001</v>
      </c>
      <c r="G6" s="126">
        <v>1.214</v>
      </c>
      <c r="H6" s="126">
        <v>1.234</v>
      </c>
      <c r="I6" s="128">
        <v>1.26</v>
      </c>
      <c r="J6" s="128">
        <v>1.2849999999999999</v>
      </c>
      <c r="K6" s="128">
        <v>1.3049999999999999</v>
      </c>
      <c r="L6" s="128">
        <v>1.325</v>
      </c>
      <c r="M6" s="128">
        <v>1.3460000000000001</v>
      </c>
      <c r="N6" s="128">
        <v>1.3660000000000001</v>
      </c>
      <c r="O6" s="128">
        <v>1.387</v>
      </c>
      <c r="P6" s="128">
        <v>1.409</v>
      </c>
      <c r="Q6" s="128">
        <v>1.43</v>
      </c>
      <c r="R6" s="128">
        <v>1.452</v>
      </c>
      <c r="S6" s="143">
        <v>500</v>
      </c>
      <c r="T6" s="143">
        <f t="shared" si="0"/>
        <v>420</v>
      </c>
      <c r="U6" s="175">
        <f t="shared" si="1"/>
        <v>0.99197568389057755</v>
      </c>
      <c r="V6" s="176">
        <f t="shared" si="2"/>
        <v>495.98784194528878</v>
      </c>
      <c r="W6" s="118"/>
    </row>
    <row r="7" spans="1:23" s="143" customFormat="1" ht="20.25" thickTop="1" thickBot="1" x14ac:dyDescent="0.3">
      <c r="A7" s="118" t="s">
        <v>31</v>
      </c>
      <c r="B7" s="132" t="s">
        <v>80</v>
      </c>
      <c r="C7" s="133">
        <v>0.47399999999999998</v>
      </c>
      <c r="D7" s="126">
        <v>1.1420000000000001</v>
      </c>
      <c r="E7" s="126">
        <v>1.1679999999999999</v>
      </c>
      <c r="F7" s="126">
        <v>1.1930000000000001</v>
      </c>
      <c r="G7" s="126">
        <v>1.2090000000000001</v>
      </c>
      <c r="H7" s="126">
        <v>1.224</v>
      </c>
      <c r="I7" s="128">
        <v>1.2550000000000001</v>
      </c>
      <c r="J7" s="128">
        <v>1.2849999999999999</v>
      </c>
      <c r="K7" s="128">
        <v>1.3049999999999999</v>
      </c>
      <c r="L7" s="128">
        <v>1.325</v>
      </c>
      <c r="M7" s="128">
        <v>1.3460000000000001</v>
      </c>
      <c r="N7" s="128">
        <v>1.3660000000000001</v>
      </c>
      <c r="O7" s="128">
        <v>1.387</v>
      </c>
      <c r="P7" s="128">
        <v>1.409</v>
      </c>
      <c r="Q7" s="128">
        <v>1.43</v>
      </c>
      <c r="R7" s="128">
        <v>1.452</v>
      </c>
      <c r="S7" s="143">
        <v>800</v>
      </c>
      <c r="T7" s="143">
        <f t="shared" si="0"/>
        <v>379.2</v>
      </c>
      <c r="U7" s="175">
        <f>C7+($T$1*1000)</f>
        <v>0.62597568389057745</v>
      </c>
      <c r="V7" s="176">
        <f t="shared" si="2"/>
        <v>500.78054711246193</v>
      </c>
    </row>
    <row r="8" spans="1:23" s="143" customFormat="1" ht="20.25" thickTop="1" thickBot="1" x14ac:dyDescent="0.3">
      <c r="A8" s="118" t="s">
        <v>106</v>
      </c>
      <c r="B8" s="134" t="s">
        <v>81</v>
      </c>
      <c r="C8" s="133">
        <v>1.49</v>
      </c>
      <c r="D8" s="126">
        <v>4.1210000000000004</v>
      </c>
      <c r="E8" s="126">
        <v>4.1970000000000001</v>
      </c>
      <c r="F8" s="126">
        <v>4.274</v>
      </c>
      <c r="G8" s="126">
        <v>4.3500000000000005</v>
      </c>
      <c r="H8" s="126">
        <v>4.4270000000000005</v>
      </c>
      <c r="I8" s="128">
        <v>4.5030000000000001</v>
      </c>
      <c r="J8" s="128">
        <v>4.58</v>
      </c>
      <c r="K8" s="128">
        <v>4.6509999999999998</v>
      </c>
      <c r="L8" s="128">
        <v>4.7229999999999999</v>
      </c>
      <c r="M8" s="128">
        <v>4.7960000000000003</v>
      </c>
      <c r="N8" s="128">
        <v>4.8680000000000003</v>
      </c>
      <c r="O8" s="128">
        <v>4.9430000000000005</v>
      </c>
      <c r="P8" s="128">
        <v>5.0190000000000001</v>
      </c>
      <c r="Q8" s="128">
        <v>5.0960000000000001</v>
      </c>
      <c r="R8" s="128">
        <v>5.1740000000000004</v>
      </c>
      <c r="S8" s="143">
        <v>100</v>
      </c>
      <c r="T8" s="143">
        <f t="shared" si="0"/>
        <v>149</v>
      </c>
      <c r="U8" s="175">
        <f t="shared" si="1"/>
        <v>1.6419756838905775</v>
      </c>
      <c r="V8" s="176">
        <f t="shared" si="2"/>
        <v>164.19756838905775</v>
      </c>
    </row>
    <row r="9" spans="1:23" s="143" customFormat="1" ht="20.25" thickTop="1" thickBot="1" x14ac:dyDescent="0.3">
      <c r="A9" s="118" t="s">
        <v>107</v>
      </c>
      <c r="B9" s="132" t="s">
        <v>82</v>
      </c>
      <c r="C9" s="133">
        <v>1.2700000000000002</v>
      </c>
      <c r="D9" s="126">
        <v>3.04</v>
      </c>
      <c r="E9" s="126">
        <v>3.1059999999999999</v>
      </c>
      <c r="F9" s="126">
        <v>3.1720000000000002</v>
      </c>
      <c r="G9" s="126">
        <v>3.2389999999999999</v>
      </c>
      <c r="H9" s="126">
        <v>3.3050000000000002</v>
      </c>
      <c r="I9" s="128">
        <v>3.371</v>
      </c>
      <c r="J9" s="128">
        <v>3.4370000000000003</v>
      </c>
      <c r="K9" s="128">
        <v>3.4910000000000001</v>
      </c>
      <c r="L9" s="128">
        <v>3.5449999999999999</v>
      </c>
      <c r="M9" s="128">
        <v>3.5990000000000002</v>
      </c>
      <c r="N9" s="128">
        <v>3.6539999999999999</v>
      </c>
      <c r="O9" s="128">
        <v>3.71</v>
      </c>
      <c r="P9" s="128">
        <v>3.7669999999999999</v>
      </c>
      <c r="Q9" s="128">
        <v>3.8250000000000002</v>
      </c>
      <c r="R9" s="128">
        <v>3.883</v>
      </c>
      <c r="S9" s="143">
        <v>80</v>
      </c>
      <c r="T9" s="143">
        <f t="shared" si="0"/>
        <v>101.60000000000002</v>
      </c>
      <c r="U9" s="175">
        <f t="shared" si="1"/>
        <v>1.4219756838905777</v>
      </c>
      <c r="V9" s="176">
        <f t="shared" si="2"/>
        <v>113.75805471124622</v>
      </c>
    </row>
    <row r="10" spans="1:23" s="143" customFormat="1" ht="20.25" thickTop="1" thickBot="1" x14ac:dyDescent="0.3">
      <c r="A10" s="118" t="s">
        <v>108</v>
      </c>
      <c r="B10" s="132" t="s">
        <v>83</v>
      </c>
      <c r="C10" s="133">
        <v>0.82</v>
      </c>
      <c r="D10" s="126">
        <v>1.958</v>
      </c>
      <c r="E10" s="126">
        <v>1.9990000000000001</v>
      </c>
      <c r="F10" s="126">
        <v>2.04</v>
      </c>
      <c r="G10" s="126">
        <v>2.0859999999999999</v>
      </c>
      <c r="H10" s="126">
        <v>2.1320000000000001</v>
      </c>
      <c r="I10" s="128">
        <v>2.173</v>
      </c>
      <c r="J10" s="128">
        <v>2.2130000000000001</v>
      </c>
      <c r="K10" s="128">
        <v>2.2480000000000002</v>
      </c>
      <c r="L10" s="128">
        <v>2.2829999999999999</v>
      </c>
      <c r="M10" s="128">
        <v>2.3180000000000001</v>
      </c>
      <c r="N10" s="128">
        <v>2.3530000000000002</v>
      </c>
      <c r="O10" s="128">
        <v>2.3890000000000002</v>
      </c>
      <c r="P10" s="128">
        <v>2.4260000000000002</v>
      </c>
      <c r="Q10" s="128">
        <v>2.4630000000000001</v>
      </c>
      <c r="R10" s="128">
        <v>2.5</v>
      </c>
      <c r="S10" s="143">
        <v>50</v>
      </c>
      <c r="T10" s="143">
        <f t="shared" si="0"/>
        <v>41</v>
      </c>
      <c r="U10" s="175">
        <f t="shared" si="1"/>
        <v>0.97197568389057754</v>
      </c>
      <c r="V10" s="176">
        <f t="shared" si="2"/>
        <v>48.598784194528875</v>
      </c>
    </row>
    <row r="11" spans="1:23" ht="20.25" hidden="1" customHeight="1" thickTop="1" thickBot="1" x14ac:dyDescent="0.3">
      <c r="A11" s="162" t="s">
        <v>124</v>
      </c>
      <c r="B11" s="134" t="s">
        <v>84</v>
      </c>
      <c r="C11" s="133">
        <v>1.613</v>
      </c>
      <c r="D11" s="126">
        <v>4.4470000000000001</v>
      </c>
      <c r="E11" s="127">
        <v>4.5289999999999999</v>
      </c>
      <c r="F11" s="126">
        <v>4.6100000000000003</v>
      </c>
      <c r="G11" s="127">
        <v>4.6920000000000002</v>
      </c>
      <c r="H11" s="126">
        <v>4.774</v>
      </c>
      <c r="I11" s="129">
        <v>4.8550000000000004</v>
      </c>
      <c r="J11" s="128">
        <v>4.9370000000000003</v>
      </c>
      <c r="K11" s="129">
        <v>5.0140000000000002</v>
      </c>
      <c r="L11" s="128">
        <v>5.0910000000000002</v>
      </c>
      <c r="M11" s="129">
        <v>5.1690000000000005</v>
      </c>
      <c r="N11" s="128">
        <v>5.2480000000000002</v>
      </c>
      <c r="O11" s="129">
        <v>5.3289999999999997</v>
      </c>
      <c r="P11" s="128">
        <v>5.4110000000000005</v>
      </c>
      <c r="Q11" s="129">
        <v>5.4930000000000003</v>
      </c>
      <c r="R11" s="128">
        <v>5.577</v>
      </c>
      <c r="T11" s="143">
        <f t="shared" si="0"/>
        <v>0</v>
      </c>
      <c r="U11" s="175">
        <f t="shared" si="1"/>
        <v>1.7649756838905775</v>
      </c>
      <c r="V11" s="176">
        <f t="shared" si="2"/>
        <v>0</v>
      </c>
    </row>
    <row r="12" spans="1:23" ht="20.25" hidden="1" customHeight="1" thickTop="1" thickBot="1" x14ac:dyDescent="0.3">
      <c r="A12" s="162" t="s">
        <v>125</v>
      </c>
      <c r="B12" s="135" t="s">
        <v>85</v>
      </c>
      <c r="C12" s="131">
        <v>1.345</v>
      </c>
      <c r="D12" s="126">
        <v>3.2330000000000001</v>
      </c>
      <c r="E12" s="127">
        <v>3.3050000000000002</v>
      </c>
      <c r="F12" s="126">
        <v>3.3759999999999999</v>
      </c>
      <c r="G12" s="127">
        <v>3.448</v>
      </c>
      <c r="H12" s="126">
        <v>3.5190000000000001</v>
      </c>
      <c r="I12" s="129">
        <v>3.59</v>
      </c>
      <c r="J12" s="128">
        <v>3.6619999999999999</v>
      </c>
      <c r="K12" s="129">
        <v>3.7189999999999999</v>
      </c>
      <c r="L12" s="128">
        <v>3.7760000000000002</v>
      </c>
      <c r="M12" s="129">
        <v>3.8340000000000001</v>
      </c>
      <c r="N12" s="128">
        <v>3.8930000000000002</v>
      </c>
      <c r="O12" s="129">
        <v>3.952</v>
      </c>
      <c r="P12" s="128">
        <v>4.0129999999999999</v>
      </c>
      <c r="Q12" s="129">
        <v>4.0739999999999998</v>
      </c>
      <c r="R12" s="128">
        <v>4.1370000000000005</v>
      </c>
      <c r="T12" s="143">
        <f t="shared" si="0"/>
        <v>0</v>
      </c>
      <c r="U12" s="175">
        <f t="shared" si="1"/>
        <v>1.4969756838905774</v>
      </c>
      <c r="V12" s="176">
        <f t="shared" si="2"/>
        <v>0</v>
      </c>
    </row>
    <row r="13" spans="1:23" ht="20.25" hidden="1" customHeight="1" thickTop="1" thickBot="1" x14ac:dyDescent="0.3">
      <c r="A13" s="162" t="s">
        <v>126</v>
      </c>
      <c r="B13" s="135" t="s">
        <v>86</v>
      </c>
      <c r="C13" s="131">
        <v>0.878</v>
      </c>
      <c r="D13" s="126">
        <v>2.081</v>
      </c>
      <c r="E13" s="127">
        <v>2.1219999999999999</v>
      </c>
      <c r="F13" s="126">
        <v>2.1619999999999999</v>
      </c>
      <c r="G13" s="127">
        <v>2.2080000000000002</v>
      </c>
      <c r="H13" s="126">
        <v>2.254</v>
      </c>
      <c r="I13" s="129">
        <v>2.3000000000000003</v>
      </c>
      <c r="J13" s="128">
        <v>2.3460000000000001</v>
      </c>
      <c r="K13" s="129">
        <v>2.383</v>
      </c>
      <c r="L13" s="128">
        <v>2.419</v>
      </c>
      <c r="M13" s="129">
        <v>2.4569999999999999</v>
      </c>
      <c r="N13" s="128">
        <v>2.4940000000000002</v>
      </c>
      <c r="O13" s="129">
        <v>2.532</v>
      </c>
      <c r="P13" s="128">
        <v>2.5710000000000002</v>
      </c>
      <c r="Q13" s="129">
        <v>2.61</v>
      </c>
      <c r="R13" s="128">
        <v>2.65</v>
      </c>
      <c r="T13" s="143">
        <f t="shared" si="0"/>
        <v>0</v>
      </c>
      <c r="U13" s="175">
        <f t="shared" si="1"/>
        <v>1.0299756838905776</v>
      </c>
      <c r="V13" s="176">
        <f t="shared" si="2"/>
        <v>0</v>
      </c>
    </row>
    <row r="14" spans="1:23" ht="20.25" hidden="1" thickTop="1" thickBot="1" x14ac:dyDescent="0.3">
      <c r="A14" s="118" t="s">
        <v>115</v>
      </c>
      <c r="B14" s="134" t="s">
        <v>87</v>
      </c>
      <c r="C14" s="133">
        <v>1.74</v>
      </c>
      <c r="D14" s="126">
        <v>5.508</v>
      </c>
      <c r="E14" s="127">
        <v>5.6150000000000002</v>
      </c>
      <c r="F14" s="126">
        <v>5.7220000000000004</v>
      </c>
      <c r="G14" s="127">
        <v>5.8239999999999998</v>
      </c>
      <c r="H14" s="126">
        <v>5.9260000000000002</v>
      </c>
      <c r="I14" s="129">
        <v>6.0330000000000004</v>
      </c>
      <c r="J14" s="128">
        <v>6.1400000000000006</v>
      </c>
      <c r="K14" s="129">
        <v>6.2359999999999998</v>
      </c>
      <c r="L14" s="128">
        <v>6.3319999999999999</v>
      </c>
      <c r="M14" s="129">
        <v>6.43</v>
      </c>
      <c r="N14" s="128">
        <v>6.5270000000000001</v>
      </c>
      <c r="O14" s="129">
        <v>6.6280000000000001</v>
      </c>
      <c r="P14" s="128">
        <v>6.73</v>
      </c>
      <c r="Q14" s="129">
        <v>6.8319999999999999</v>
      </c>
      <c r="R14" s="128">
        <v>6.9359999999999999</v>
      </c>
      <c r="T14" s="143">
        <f t="shared" si="0"/>
        <v>0</v>
      </c>
      <c r="U14" s="175">
        <f t="shared" si="1"/>
        <v>1.8919756838905775</v>
      </c>
      <c r="V14" s="176">
        <f t="shared" si="2"/>
        <v>0</v>
      </c>
    </row>
    <row r="15" spans="1:23" ht="20.25" hidden="1" thickTop="1" thickBot="1" x14ac:dyDescent="0.3">
      <c r="A15" s="118" t="s">
        <v>116</v>
      </c>
      <c r="B15" s="135" t="s">
        <v>88</v>
      </c>
      <c r="C15" s="131">
        <v>1.49</v>
      </c>
      <c r="D15" s="126">
        <v>3.6110000000000002</v>
      </c>
      <c r="E15" s="127">
        <v>3.6920000000000002</v>
      </c>
      <c r="F15" s="126">
        <v>3.774</v>
      </c>
      <c r="G15" s="127">
        <v>3.851</v>
      </c>
      <c r="H15" s="126">
        <v>3.927</v>
      </c>
      <c r="I15" s="136">
        <v>4.0030000000000001</v>
      </c>
      <c r="J15" s="128">
        <v>4.08</v>
      </c>
      <c r="K15" s="129">
        <v>4.1440000000000001</v>
      </c>
      <c r="L15" s="128">
        <v>4.2069999999999999</v>
      </c>
      <c r="M15" s="129">
        <v>4.2720000000000002</v>
      </c>
      <c r="N15" s="128">
        <v>4.3369999999999997</v>
      </c>
      <c r="O15" s="129">
        <v>4.4039999999999999</v>
      </c>
      <c r="P15" s="128">
        <v>4.4720000000000004</v>
      </c>
      <c r="Q15" s="129">
        <v>4.5389999999999997</v>
      </c>
      <c r="R15" s="128">
        <v>4.609</v>
      </c>
      <c r="T15" s="143">
        <f t="shared" si="0"/>
        <v>0</v>
      </c>
      <c r="U15" s="175">
        <f t="shared" si="1"/>
        <v>1.6419756838905775</v>
      </c>
      <c r="V15" s="176">
        <f t="shared" si="2"/>
        <v>0</v>
      </c>
    </row>
    <row r="16" spans="1:23" ht="20.25" hidden="1" thickTop="1" thickBot="1" x14ac:dyDescent="0.3">
      <c r="A16" s="118" t="s">
        <v>117</v>
      </c>
      <c r="B16" s="135" t="s">
        <v>89</v>
      </c>
      <c r="C16" s="131">
        <v>1.01</v>
      </c>
      <c r="D16" s="126">
        <v>2.621</v>
      </c>
      <c r="E16" s="127">
        <v>2.6779999999999999</v>
      </c>
      <c r="F16" s="126">
        <v>2.734</v>
      </c>
      <c r="G16" s="127">
        <v>2.79</v>
      </c>
      <c r="H16" s="126">
        <v>2.8460000000000001</v>
      </c>
      <c r="I16" s="129">
        <v>2.9020000000000001</v>
      </c>
      <c r="J16" s="128">
        <v>2.9580000000000002</v>
      </c>
      <c r="K16" s="129">
        <v>3.004</v>
      </c>
      <c r="L16" s="128">
        <v>3.0500000000000003</v>
      </c>
      <c r="M16" s="129">
        <v>3.097</v>
      </c>
      <c r="N16" s="128">
        <v>3.1440000000000001</v>
      </c>
      <c r="O16" s="129">
        <v>3.1930000000000001</v>
      </c>
      <c r="P16" s="128">
        <v>3.242</v>
      </c>
      <c r="Q16" s="129">
        <v>3.2909999999999999</v>
      </c>
      <c r="R16" s="128">
        <v>3.3410000000000002</v>
      </c>
      <c r="T16" s="143">
        <f t="shared" si="0"/>
        <v>0</v>
      </c>
      <c r="U16" s="175">
        <f t="shared" si="1"/>
        <v>1.1619756838905775</v>
      </c>
      <c r="V16" s="176">
        <f t="shared" si="2"/>
        <v>0</v>
      </c>
    </row>
    <row r="17" spans="1:22" s="143" customFormat="1" ht="20.25" thickTop="1" thickBot="1" x14ac:dyDescent="0.3">
      <c r="A17" s="118" t="s">
        <v>18</v>
      </c>
      <c r="B17" s="134" t="s">
        <v>90</v>
      </c>
      <c r="C17" s="133">
        <v>2.2120000000000002</v>
      </c>
      <c r="D17" s="126">
        <v>5.9980000000000002</v>
      </c>
      <c r="E17" s="126">
        <v>6.11</v>
      </c>
      <c r="F17" s="126">
        <v>6.2220000000000004</v>
      </c>
      <c r="G17" s="126">
        <v>6.3390000000000004</v>
      </c>
      <c r="H17" s="126">
        <v>6.4569999999999999</v>
      </c>
      <c r="I17" s="128">
        <v>6.569</v>
      </c>
      <c r="J17" s="128">
        <v>6.681</v>
      </c>
      <c r="K17" s="128">
        <v>6.7850000000000001</v>
      </c>
      <c r="L17" s="128">
        <v>6.8900000000000006</v>
      </c>
      <c r="M17" s="128">
        <v>6.9960000000000004</v>
      </c>
      <c r="N17" s="128">
        <v>7.1020000000000003</v>
      </c>
      <c r="O17" s="128">
        <v>7.2110000000000003</v>
      </c>
      <c r="P17" s="128">
        <v>7.3220000000000001</v>
      </c>
      <c r="Q17" s="128">
        <v>7.4329999999999998</v>
      </c>
      <c r="R17" s="128">
        <v>7.5470000000000006</v>
      </c>
      <c r="S17" s="143">
        <v>600</v>
      </c>
      <c r="T17" s="143">
        <f t="shared" si="0"/>
        <v>1327.2</v>
      </c>
      <c r="U17" s="175">
        <f t="shared" si="1"/>
        <v>2.3639756838905779</v>
      </c>
      <c r="V17" s="176">
        <f t="shared" si="2"/>
        <v>1418.3854103343467</v>
      </c>
    </row>
    <row r="18" spans="1:22" s="143" customFormat="1" ht="20.25" thickTop="1" thickBot="1" x14ac:dyDescent="0.3">
      <c r="A18" s="118" t="s">
        <v>19</v>
      </c>
      <c r="B18" s="134" t="s">
        <v>91</v>
      </c>
      <c r="C18" s="133">
        <v>1.8</v>
      </c>
      <c r="D18" s="126">
        <v>4.3760000000000003</v>
      </c>
      <c r="E18" s="126">
        <v>4.4729999999999999</v>
      </c>
      <c r="F18" s="126">
        <v>4.57</v>
      </c>
      <c r="G18" s="126">
        <v>4.6610000000000005</v>
      </c>
      <c r="H18" s="126">
        <v>4.7530000000000001</v>
      </c>
      <c r="I18" s="128">
        <v>4.8500000000000005</v>
      </c>
      <c r="J18" s="128">
        <v>4.9470000000000001</v>
      </c>
      <c r="K18" s="128">
        <v>5.024</v>
      </c>
      <c r="L18" s="128">
        <v>5.1020000000000003</v>
      </c>
      <c r="M18" s="128">
        <v>5.18</v>
      </c>
      <c r="N18" s="128">
        <v>5.2590000000000003</v>
      </c>
      <c r="O18" s="128">
        <v>5.34</v>
      </c>
      <c r="P18" s="128">
        <v>5.4219999999999997</v>
      </c>
      <c r="Q18" s="128">
        <v>5.5040000000000004</v>
      </c>
      <c r="R18" s="128">
        <v>5.5880000000000001</v>
      </c>
      <c r="S18" s="143">
        <v>480</v>
      </c>
      <c r="T18" s="143">
        <f t="shared" si="0"/>
        <v>864</v>
      </c>
      <c r="U18" s="175">
        <f t="shared" si="1"/>
        <v>1.9519756838905775</v>
      </c>
      <c r="V18" s="176">
        <f t="shared" si="2"/>
        <v>936.94832826747722</v>
      </c>
    </row>
    <row r="19" spans="1:22" s="143" customFormat="1" ht="20.25" thickTop="1" thickBot="1" x14ac:dyDescent="0.3">
      <c r="A19" s="118" t="s">
        <v>20</v>
      </c>
      <c r="B19" s="134" t="s">
        <v>92</v>
      </c>
      <c r="C19" s="133">
        <v>1.194</v>
      </c>
      <c r="D19" s="126">
        <v>2.7130000000000001</v>
      </c>
      <c r="E19" s="126">
        <v>2.774</v>
      </c>
      <c r="F19" s="126">
        <v>2.8359999999999999</v>
      </c>
      <c r="G19" s="126">
        <v>2.8919999999999999</v>
      </c>
      <c r="H19" s="126">
        <v>2.948</v>
      </c>
      <c r="I19" s="128">
        <v>3.0089999999999999</v>
      </c>
      <c r="J19" s="128">
        <v>3.0700000000000003</v>
      </c>
      <c r="K19" s="128">
        <v>3.1179999999999999</v>
      </c>
      <c r="L19" s="128">
        <v>3.1659999999999999</v>
      </c>
      <c r="M19" s="128">
        <v>3.2149999999999999</v>
      </c>
      <c r="N19" s="128">
        <v>3.2640000000000002</v>
      </c>
      <c r="O19" s="128">
        <v>3.3140000000000001</v>
      </c>
      <c r="P19" s="128">
        <v>3.3650000000000002</v>
      </c>
      <c r="Q19" s="128">
        <v>3.4159999999999999</v>
      </c>
      <c r="R19" s="128">
        <v>3.468</v>
      </c>
      <c r="S19" s="143">
        <v>240</v>
      </c>
      <c r="T19" s="143">
        <f t="shared" si="0"/>
        <v>286.56</v>
      </c>
      <c r="U19" s="175">
        <f t="shared" si="1"/>
        <v>1.3459756838905774</v>
      </c>
      <c r="V19" s="176">
        <f t="shared" si="2"/>
        <v>323.03416413373856</v>
      </c>
    </row>
    <row r="20" spans="1:22" ht="20.25" hidden="1" thickTop="1" thickBot="1" x14ac:dyDescent="0.3">
      <c r="A20" s="162" t="s">
        <v>121</v>
      </c>
      <c r="B20" s="134" t="s">
        <v>93</v>
      </c>
      <c r="C20" s="133">
        <v>2.34</v>
      </c>
      <c r="D20" s="126">
        <v>6.4260000000000002</v>
      </c>
      <c r="E20" s="127">
        <v>6.5430000000000001</v>
      </c>
      <c r="F20" s="126">
        <v>6.6610000000000005</v>
      </c>
      <c r="G20" s="127">
        <v>6.7830000000000004</v>
      </c>
      <c r="H20" s="126">
        <v>6.9050000000000002</v>
      </c>
      <c r="I20" s="129">
        <v>7.0230000000000006</v>
      </c>
      <c r="J20" s="128">
        <v>7.1400000000000006</v>
      </c>
      <c r="K20" s="129">
        <v>7.2519999999999998</v>
      </c>
      <c r="L20" s="128">
        <v>7.3630000000000004</v>
      </c>
      <c r="M20" s="129">
        <v>7.476</v>
      </c>
      <c r="N20" s="128">
        <v>7.59</v>
      </c>
      <c r="O20" s="129">
        <v>7.7069999999999999</v>
      </c>
      <c r="P20" s="128">
        <v>7.8250000000000002</v>
      </c>
      <c r="Q20" s="129">
        <v>7.944</v>
      </c>
      <c r="R20" s="128">
        <v>8.0660000000000007</v>
      </c>
      <c r="T20" s="143">
        <f t="shared" si="0"/>
        <v>0</v>
      </c>
      <c r="U20" s="175">
        <f t="shared" si="1"/>
        <v>2.4919756838905776</v>
      </c>
      <c r="V20" s="176">
        <f t="shared" si="2"/>
        <v>0</v>
      </c>
    </row>
    <row r="21" spans="1:22" ht="20.25" hidden="1" thickTop="1" thickBot="1" x14ac:dyDescent="0.3">
      <c r="A21" s="162" t="s">
        <v>122</v>
      </c>
      <c r="B21" s="135" t="s">
        <v>94</v>
      </c>
      <c r="C21" s="131">
        <v>1.98</v>
      </c>
      <c r="D21" s="126">
        <v>4.8140000000000001</v>
      </c>
      <c r="E21" s="127">
        <v>4.9219999999999997</v>
      </c>
      <c r="F21" s="126">
        <v>5.0289999999999999</v>
      </c>
      <c r="G21" s="127">
        <v>5.1310000000000002</v>
      </c>
      <c r="H21" s="126">
        <v>5.2330000000000005</v>
      </c>
      <c r="I21" s="129">
        <v>5.335</v>
      </c>
      <c r="J21" s="128">
        <v>5.4370000000000003</v>
      </c>
      <c r="K21" s="129">
        <v>5.5220000000000002</v>
      </c>
      <c r="L21" s="128">
        <v>5.6059999999999999</v>
      </c>
      <c r="M21" s="129">
        <v>5.6930000000000005</v>
      </c>
      <c r="N21" s="128">
        <v>5.7789999999999999</v>
      </c>
      <c r="O21" s="129">
        <v>5.8680000000000003</v>
      </c>
      <c r="P21" s="128">
        <v>5.9580000000000002</v>
      </c>
      <c r="Q21" s="129">
        <v>6.0490000000000004</v>
      </c>
      <c r="R21" s="128">
        <v>6.141</v>
      </c>
      <c r="T21" s="143">
        <f t="shared" si="0"/>
        <v>0</v>
      </c>
      <c r="U21" s="175">
        <f t="shared" si="1"/>
        <v>2.1319756838905777</v>
      </c>
      <c r="V21" s="176">
        <f t="shared" si="2"/>
        <v>0</v>
      </c>
    </row>
    <row r="22" spans="1:22" ht="20.25" hidden="1" thickTop="1" thickBot="1" x14ac:dyDescent="0.3">
      <c r="A22" s="162" t="s">
        <v>123</v>
      </c>
      <c r="B22" s="135" t="s">
        <v>95</v>
      </c>
      <c r="C22" s="131">
        <v>1.294</v>
      </c>
      <c r="D22" s="126">
        <v>2.907</v>
      </c>
      <c r="E22" s="127">
        <v>2.9729999999999999</v>
      </c>
      <c r="F22" s="126">
        <v>3.04</v>
      </c>
      <c r="G22" s="127">
        <v>3.0550000000000002</v>
      </c>
      <c r="H22" s="126">
        <v>3.0700000000000003</v>
      </c>
      <c r="I22" s="129">
        <v>3.1819999999999999</v>
      </c>
      <c r="J22" s="128">
        <v>3.2949999999999999</v>
      </c>
      <c r="K22" s="129">
        <v>3.3460000000000001</v>
      </c>
      <c r="L22" s="128">
        <v>3.3980000000000001</v>
      </c>
      <c r="M22" s="129">
        <v>3.45</v>
      </c>
      <c r="N22" s="128">
        <v>3.5020000000000002</v>
      </c>
      <c r="O22" s="129">
        <v>3.556</v>
      </c>
      <c r="P22" s="128">
        <v>3.6110000000000002</v>
      </c>
      <c r="Q22" s="129">
        <v>3.6659999999999999</v>
      </c>
      <c r="R22" s="128">
        <v>3.722</v>
      </c>
      <c r="T22" s="143">
        <f t="shared" si="0"/>
        <v>0</v>
      </c>
      <c r="U22" s="175">
        <f t="shared" si="1"/>
        <v>1.4459756838905775</v>
      </c>
      <c r="V22" s="176">
        <f t="shared" si="2"/>
        <v>0</v>
      </c>
    </row>
    <row r="23" spans="1:22" s="143" customFormat="1" ht="20.25" thickTop="1" thickBot="1" x14ac:dyDescent="0.3">
      <c r="A23" s="118" t="s">
        <v>26</v>
      </c>
      <c r="B23" s="134" t="s">
        <v>96</v>
      </c>
      <c r="C23" s="133">
        <v>2.71</v>
      </c>
      <c r="D23" s="126">
        <v>7.5070000000000006</v>
      </c>
      <c r="E23" s="126">
        <v>7.6450000000000005</v>
      </c>
      <c r="F23" s="126">
        <v>7.7830000000000004</v>
      </c>
      <c r="G23" s="126">
        <v>7.9249999999999998</v>
      </c>
      <c r="H23" s="126">
        <v>8.0679999999999996</v>
      </c>
      <c r="I23" s="128">
        <v>8.2059999999999995</v>
      </c>
      <c r="J23" s="128">
        <v>8.3439999999999994</v>
      </c>
      <c r="K23" s="128">
        <v>8.4740000000000002</v>
      </c>
      <c r="L23" s="128">
        <v>8.604000000000001</v>
      </c>
      <c r="M23" s="128">
        <v>8.7370000000000001</v>
      </c>
      <c r="N23" s="128">
        <v>8.8689999999999998</v>
      </c>
      <c r="O23" s="128">
        <v>9.0060000000000002</v>
      </c>
      <c r="P23" s="128">
        <v>9.1449999999999996</v>
      </c>
      <c r="Q23" s="128">
        <v>9.2829999999999995</v>
      </c>
      <c r="R23" s="128">
        <v>9.4250000000000007</v>
      </c>
      <c r="S23" s="143">
        <v>200</v>
      </c>
      <c r="T23" s="143">
        <f t="shared" si="0"/>
        <v>542</v>
      </c>
      <c r="U23" s="175">
        <f t="shared" si="1"/>
        <v>2.8619756838905777</v>
      </c>
      <c r="V23" s="176">
        <f t="shared" si="2"/>
        <v>572.39513677811556</v>
      </c>
    </row>
    <row r="24" spans="1:22" s="143" customFormat="1" ht="20.25" thickTop="1" thickBot="1" x14ac:dyDescent="0.3">
      <c r="A24" s="118" t="s">
        <v>27</v>
      </c>
      <c r="B24" s="134" t="s">
        <v>97</v>
      </c>
      <c r="C24" s="133">
        <v>2.415</v>
      </c>
      <c r="D24" s="126">
        <v>5.875</v>
      </c>
      <c r="E24" s="126">
        <v>5.9980000000000002</v>
      </c>
      <c r="F24" s="126">
        <v>6.12</v>
      </c>
      <c r="G24" s="126">
        <v>6.2480000000000002</v>
      </c>
      <c r="H24" s="126">
        <v>6.375</v>
      </c>
      <c r="I24" s="128">
        <v>6.5019999999999998</v>
      </c>
      <c r="J24" s="128">
        <v>6.63</v>
      </c>
      <c r="K24" s="128">
        <v>6.734</v>
      </c>
      <c r="L24" s="128">
        <v>6.8369999999999997</v>
      </c>
      <c r="M24" s="128">
        <v>6.9420000000000002</v>
      </c>
      <c r="N24" s="128">
        <v>7.048</v>
      </c>
      <c r="O24" s="128">
        <v>7.1560000000000006</v>
      </c>
      <c r="P24" s="128">
        <v>7.266</v>
      </c>
      <c r="Q24" s="128">
        <v>7.3769999999999998</v>
      </c>
      <c r="R24" s="128">
        <v>7.49</v>
      </c>
      <c r="S24" s="143">
        <v>160</v>
      </c>
      <c r="T24" s="143">
        <f t="shared" si="0"/>
        <v>386.4</v>
      </c>
      <c r="U24" s="175">
        <f t="shared" si="1"/>
        <v>2.5669756838905777</v>
      </c>
      <c r="V24" s="176">
        <f t="shared" si="2"/>
        <v>410.71610942249242</v>
      </c>
    </row>
    <row r="25" spans="1:22" s="143" customFormat="1" ht="20.25" thickTop="1" thickBot="1" x14ac:dyDescent="0.3">
      <c r="A25" s="118" t="s">
        <v>28</v>
      </c>
      <c r="B25" s="134" t="s">
        <v>98</v>
      </c>
      <c r="C25" s="133">
        <v>1.603</v>
      </c>
      <c r="D25" s="126">
        <v>3.7640000000000002</v>
      </c>
      <c r="E25" s="126">
        <v>3.85</v>
      </c>
      <c r="F25" s="126">
        <v>3.9370000000000003</v>
      </c>
      <c r="G25" s="126">
        <v>4.0190000000000001</v>
      </c>
      <c r="H25" s="126">
        <v>4.0999999999999996</v>
      </c>
      <c r="I25" s="128">
        <v>4.1820000000000004</v>
      </c>
      <c r="J25" s="128">
        <v>4.2640000000000002</v>
      </c>
      <c r="K25" s="128">
        <v>4.33</v>
      </c>
      <c r="L25" s="128">
        <v>4.3970000000000002</v>
      </c>
      <c r="M25" s="128">
        <v>4.4649999999999999</v>
      </c>
      <c r="N25" s="128">
        <v>4.532</v>
      </c>
      <c r="O25" s="128">
        <v>4.6020000000000003</v>
      </c>
      <c r="P25" s="128">
        <v>4.673</v>
      </c>
      <c r="Q25" s="128">
        <v>4.7439999999999998</v>
      </c>
      <c r="R25" s="128">
        <v>4.8159999999999998</v>
      </c>
      <c r="S25" s="143">
        <v>80</v>
      </c>
      <c r="T25" s="143">
        <f t="shared" si="0"/>
        <v>128.24</v>
      </c>
      <c r="U25" s="175">
        <f t="shared" si="1"/>
        <v>1.7549756838905775</v>
      </c>
      <c r="V25" s="176">
        <f t="shared" si="2"/>
        <v>140.3980547112462</v>
      </c>
    </row>
    <row r="26" spans="1:22" ht="12" customHeight="1" thickTop="1" x14ac:dyDescent="0.25">
      <c r="A26" s="162" t="s">
        <v>25</v>
      </c>
      <c r="D26" s="118">
        <f>+D2</f>
        <v>1500</v>
      </c>
      <c r="E26" s="118">
        <f t="shared" ref="E26:R26" si="3">+E2</f>
        <v>1550</v>
      </c>
      <c r="F26" s="118">
        <f t="shared" si="3"/>
        <v>1600</v>
      </c>
      <c r="G26" s="118">
        <f t="shared" si="3"/>
        <v>1650</v>
      </c>
      <c r="H26" s="118">
        <f t="shared" si="3"/>
        <v>1700</v>
      </c>
      <c r="I26" s="118">
        <f t="shared" si="3"/>
        <v>1750</v>
      </c>
      <c r="J26" s="118">
        <f t="shared" si="3"/>
        <v>1800</v>
      </c>
      <c r="K26" s="118">
        <f t="shared" si="3"/>
        <v>1850</v>
      </c>
      <c r="L26" s="118">
        <f t="shared" si="3"/>
        <v>1900</v>
      </c>
      <c r="M26" s="118">
        <f t="shared" si="3"/>
        <v>1950</v>
      </c>
      <c r="N26" s="118">
        <f t="shared" si="3"/>
        <v>2000</v>
      </c>
      <c r="O26" s="118">
        <f t="shared" si="3"/>
        <v>2050</v>
      </c>
      <c r="P26" s="118">
        <f t="shared" si="3"/>
        <v>2100</v>
      </c>
      <c r="Q26" s="118">
        <f t="shared" si="3"/>
        <v>2150</v>
      </c>
      <c r="R26" s="118">
        <f t="shared" si="3"/>
        <v>2200</v>
      </c>
      <c r="S26" s="118">
        <v>0.5</v>
      </c>
    </row>
    <row r="27" spans="1:22" x14ac:dyDescent="0.25">
      <c r="C27" s="201"/>
      <c r="D27" s="201"/>
      <c r="E27" s="201"/>
      <c r="F27" s="201"/>
      <c r="G27" s="201"/>
      <c r="H27" s="201"/>
      <c r="I27" s="201"/>
    </row>
    <row r="31" spans="1:22" ht="27" customHeight="1" x14ac:dyDescent="0.25">
      <c r="B31" s="196" t="s">
        <v>139</v>
      </c>
      <c r="C31" s="197" t="s">
        <v>140</v>
      </c>
      <c r="D31" s="196" t="s">
        <v>141</v>
      </c>
      <c r="E31" s="197" t="s">
        <v>142</v>
      </c>
      <c r="F31" s="197" t="s">
        <v>143</v>
      </c>
      <c r="G31" s="198" t="s">
        <v>144</v>
      </c>
      <c r="H31" s="197" t="s">
        <v>145</v>
      </c>
      <c r="I31" s="197" t="s">
        <v>146</v>
      </c>
    </row>
    <row r="32" spans="1:22" ht="18.75" x14ac:dyDescent="0.25">
      <c r="B32" s="191" t="s">
        <v>148</v>
      </c>
      <c r="C32" s="191" t="s">
        <v>149</v>
      </c>
      <c r="D32" s="193">
        <v>45245</v>
      </c>
      <c r="E32" s="194" t="s">
        <v>79</v>
      </c>
      <c r="F32" s="191" t="s">
        <v>147</v>
      </c>
      <c r="G32" s="195">
        <v>0.84</v>
      </c>
      <c r="H32" s="192">
        <v>500</v>
      </c>
      <c r="I32" s="192">
        <f>+G32*H32</f>
        <v>420</v>
      </c>
    </row>
    <row r="33" spans="2:14" ht="18.75" x14ac:dyDescent="0.25">
      <c r="B33" s="191" t="s">
        <v>148</v>
      </c>
      <c r="C33" s="191" t="s">
        <v>149</v>
      </c>
      <c r="D33" s="193">
        <v>45245</v>
      </c>
      <c r="E33" s="194" t="s">
        <v>80</v>
      </c>
      <c r="F33" s="191" t="s">
        <v>147</v>
      </c>
      <c r="G33" s="195">
        <v>0.47399999999999998</v>
      </c>
      <c r="H33" s="192">
        <v>800</v>
      </c>
      <c r="I33" s="192">
        <f t="shared" ref="I33:I42" si="4">+G33*H33</f>
        <v>379.2</v>
      </c>
    </row>
    <row r="34" spans="2:14" ht="18.75" x14ac:dyDescent="0.25">
      <c r="B34" s="191" t="s">
        <v>148</v>
      </c>
      <c r="C34" s="191" t="s">
        <v>149</v>
      </c>
      <c r="D34" s="193">
        <v>45245</v>
      </c>
      <c r="E34" s="194" t="s">
        <v>81</v>
      </c>
      <c r="F34" s="191" t="s">
        <v>147</v>
      </c>
      <c r="G34" s="195">
        <v>1.49</v>
      </c>
      <c r="H34" s="192">
        <v>100</v>
      </c>
      <c r="I34" s="192">
        <f t="shared" si="4"/>
        <v>149</v>
      </c>
    </row>
    <row r="35" spans="2:14" ht="18.75" x14ac:dyDescent="0.25">
      <c r="B35" s="191" t="s">
        <v>148</v>
      </c>
      <c r="C35" s="191" t="s">
        <v>149</v>
      </c>
      <c r="D35" s="193">
        <v>45245</v>
      </c>
      <c r="E35" s="194" t="s">
        <v>82</v>
      </c>
      <c r="F35" s="191" t="s">
        <v>147</v>
      </c>
      <c r="G35" s="195">
        <v>1.2700000000000002</v>
      </c>
      <c r="H35" s="192">
        <v>80</v>
      </c>
      <c r="I35" s="192">
        <f t="shared" si="4"/>
        <v>101.60000000000002</v>
      </c>
    </row>
    <row r="36" spans="2:14" ht="18.75" x14ac:dyDescent="0.25">
      <c r="B36" s="191" t="s">
        <v>148</v>
      </c>
      <c r="C36" s="191" t="s">
        <v>149</v>
      </c>
      <c r="D36" s="193">
        <v>45245</v>
      </c>
      <c r="E36" s="194" t="s">
        <v>83</v>
      </c>
      <c r="F36" s="191" t="s">
        <v>147</v>
      </c>
      <c r="G36" s="195">
        <v>0.82</v>
      </c>
      <c r="H36" s="192">
        <v>50</v>
      </c>
      <c r="I36" s="192">
        <f t="shared" si="4"/>
        <v>41</v>
      </c>
    </row>
    <row r="37" spans="2:14" ht="18.75" x14ac:dyDescent="0.25">
      <c r="B37" s="191" t="s">
        <v>148</v>
      </c>
      <c r="C37" s="191" t="s">
        <v>149</v>
      </c>
      <c r="D37" s="193">
        <v>45245</v>
      </c>
      <c r="E37" s="194" t="s">
        <v>90</v>
      </c>
      <c r="F37" s="191" t="s">
        <v>147</v>
      </c>
      <c r="G37" s="195">
        <v>2.2120000000000002</v>
      </c>
      <c r="H37" s="192">
        <v>600</v>
      </c>
      <c r="I37" s="192">
        <f t="shared" si="4"/>
        <v>1327.2</v>
      </c>
    </row>
    <row r="38" spans="2:14" ht="18.75" x14ac:dyDescent="0.25">
      <c r="B38" s="191" t="s">
        <v>148</v>
      </c>
      <c r="C38" s="191" t="s">
        <v>149</v>
      </c>
      <c r="D38" s="193">
        <v>45245</v>
      </c>
      <c r="E38" s="194" t="s">
        <v>91</v>
      </c>
      <c r="F38" s="191" t="s">
        <v>147</v>
      </c>
      <c r="G38" s="195">
        <v>1.8</v>
      </c>
      <c r="H38" s="192">
        <v>480</v>
      </c>
      <c r="I38" s="192">
        <f t="shared" si="4"/>
        <v>864</v>
      </c>
      <c r="L38" s="187"/>
      <c r="M38" s="187"/>
      <c r="N38" s="187"/>
    </row>
    <row r="39" spans="2:14" ht="20.25" customHeight="1" x14ac:dyDescent="0.25">
      <c r="B39" s="191" t="s">
        <v>148</v>
      </c>
      <c r="C39" s="191" t="s">
        <v>149</v>
      </c>
      <c r="D39" s="193">
        <v>45245</v>
      </c>
      <c r="E39" s="194" t="s">
        <v>92</v>
      </c>
      <c r="F39" s="191" t="s">
        <v>147</v>
      </c>
      <c r="G39" s="195">
        <v>1.194</v>
      </c>
      <c r="H39" s="192">
        <v>240</v>
      </c>
      <c r="I39" s="192">
        <f t="shared" si="4"/>
        <v>286.56</v>
      </c>
      <c r="L39" s="188"/>
      <c r="M39" s="185"/>
      <c r="N39" s="188"/>
    </row>
    <row r="40" spans="2:14" ht="18.75" x14ac:dyDescent="0.25">
      <c r="B40" s="191" t="s">
        <v>148</v>
      </c>
      <c r="C40" s="191" t="s">
        <v>149</v>
      </c>
      <c r="D40" s="193">
        <v>45245</v>
      </c>
      <c r="E40" s="194" t="s">
        <v>96</v>
      </c>
      <c r="F40" s="191" t="s">
        <v>147</v>
      </c>
      <c r="G40" s="195">
        <v>2.71</v>
      </c>
      <c r="H40" s="192">
        <v>200</v>
      </c>
      <c r="I40" s="192">
        <f t="shared" si="4"/>
        <v>542</v>
      </c>
      <c r="L40" s="188"/>
      <c r="M40" s="185"/>
      <c r="N40" s="188"/>
    </row>
    <row r="41" spans="2:14" ht="18.75" x14ac:dyDescent="0.25">
      <c r="B41" s="191" t="s">
        <v>148</v>
      </c>
      <c r="C41" s="191" t="s">
        <v>149</v>
      </c>
      <c r="D41" s="193">
        <v>45245</v>
      </c>
      <c r="E41" s="194" t="s">
        <v>97</v>
      </c>
      <c r="F41" s="191" t="s">
        <v>147</v>
      </c>
      <c r="G41" s="195">
        <v>2.415</v>
      </c>
      <c r="H41" s="192">
        <v>160</v>
      </c>
      <c r="I41" s="192">
        <f t="shared" si="4"/>
        <v>386.4</v>
      </c>
      <c r="L41" s="188"/>
      <c r="M41" s="185"/>
      <c r="N41" s="188"/>
    </row>
    <row r="42" spans="2:14" ht="20.25" customHeight="1" x14ac:dyDescent="0.25">
      <c r="B42" s="191" t="s">
        <v>148</v>
      </c>
      <c r="C42" s="191" t="s">
        <v>149</v>
      </c>
      <c r="D42" s="193">
        <v>45245</v>
      </c>
      <c r="E42" s="194" t="s">
        <v>98</v>
      </c>
      <c r="F42" s="191" t="s">
        <v>147</v>
      </c>
      <c r="G42" s="195">
        <v>1.603</v>
      </c>
      <c r="H42" s="192">
        <v>80</v>
      </c>
      <c r="I42" s="192">
        <f t="shared" si="4"/>
        <v>128.24</v>
      </c>
      <c r="L42" s="188"/>
      <c r="M42" s="185"/>
      <c r="N42" s="188"/>
    </row>
    <row r="43" spans="2:14" ht="15.75" x14ac:dyDescent="0.25">
      <c r="L43" s="188"/>
      <c r="M43" s="185"/>
      <c r="N43" s="188"/>
    </row>
    <row r="44" spans="2:14" ht="15.75" x14ac:dyDescent="0.25">
      <c r="L44" s="188"/>
      <c r="M44" s="185"/>
      <c r="N44" s="188"/>
    </row>
    <row r="45" spans="2:14" ht="15.75" x14ac:dyDescent="0.25">
      <c r="L45" s="188"/>
      <c r="M45" s="185"/>
      <c r="N45" s="188"/>
    </row>
    <row r="46" spans="2:14" ht="15.75" x14ac:dyDescent="0.25">
      <c r="L46" s="188"/>
      <c r="M46" s="185"/>
      <c r="N46" s="188"/>
    </row>
    <row r="47" spans="2:14" x14ac:dyDescent="0.25">
      <c r="L47" s="188"/>
      <c r="M47" s="188"/>
      <c r="N47" s="188"/>
    </row>
    <row r="48" spans="2:14" x14ac:dyDescent="0.25">
      <c r="L48" s="186"/>
      <c r="M48" s="186"/>
      <c r="N48" s="186"/>
    </row>
    <row r="49" spans="12:14" x14ac:dyDescent="0.25">
      <c r="L49" s="186"/>
      <c r="M49" s="186"/>
      <c r="N49" s="186"/>
    </row>
    <row r="50" spans="12:14" x14ac:dyDescent="0.25">
      <c r="L50" s="186"/>
      <c r="M50" s="186"/>
      <c r="N50" s="186"/>
    </row>
  </sheetData>
  <autoFilter ref="B3:S26" xr:uid="{A0704A73-94E7-4981-90F3-A0CA570DE60D}">
    <filterColumn colId="17">
      <customFilters>
        <customFilter operator="notEqual" val=" "/>
      </customFilters>
    </filterColumn>
  </autoFilter>
  <mergeCells count="1">
    <mergeCell ref="C27:I2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O102"/>
  <sheetViews>
    <sheetView topLeftCell="A22" zoomScale="115" zoomScaleNormal="115" workbookViewId="0">
      <selection activeCell="J22" sqref="J22"/>
    </sheetView>
  </sheetViews>
  <sheetFormatPr baseColWidth="10" defaultColWidth="11.5703125" defaultRowHeight="12.75" x14ac:dyDescent="0.2"/>
  <cols>
    <col min="1" max="1" width="1.85546875" style="1" customWidth="1"/>
    <col min="2" max="2" width="2.140625" style="1" customWidth="1"/>
    <col min="3" max="3" width="4.28515625" style="1" customWidth="1"/>
    <col min="4" max="4" width="13.28515625" style="1" customWidth="1"/>
    <col min="5" max="5" width="27.85546875" style="1" customWidth="1"/>
    <col min="6" max="6" width="16.140625" style="1" bestFit="1" customWidth="1"/>
    <col min="7" max="7" width="12.85546875" style="1" customWidth="1"/>
    <col min="8" max="8" width="16.140625" style="7" bestFit="1" customWidth="1"/>
    <col min="9" max="9" width="16.140625" style="1" customWidth="1"/>
    <col min="10" max="10" width="13" style="66" customWidth="1"/>
    <col min="11" max="11" width="12.5703125" style="1" bestFit="1" customWidth="1"/>
    <col min="12" max="12" width="11.5703125" style="7" customWidth="1"/>
    <col min="13" max="13" width="6.85546875" style="1" customWidth="1"/>
    <col min="14" max="16384" width="11.5703125" style="1"/>
  </cols>
  <sheetData>
    <row r="2" spans="1:14" ht="33.75" x14ac:dyDescent="0.5">
      <c r="E2" s="9" t="s">
        <v>0</v>
      </c>
      <c r="K2" s="1" t="s">
        <v>127</v>
      </c>
      <c r="L2" s="180">
        <v>16</v>
      </c>
    </row>
    <row r="3" spans="1:14" ht="6" customHeight="1" x14ac:dyDescent="0.2">
      <c r="I3" s="10"/>
      <c r="J3" s="67"/>
    </row>
    <row r="4" spans="1:14" x14ac:dyDescent="0.2">
      <c r="E4" s="10" t="s">
        <v>1</v>
      </c>
      <c r="F4" s="10"/>
      <c r="G4" s="10"/>
      <c r="H4" s="10"/>
    </row>
    <row r="5" spans="1:14" x14ac:dyDescent="0.2">
      <c r="E5" s="10" t="s">
        <v>2</v>
      </c>
      <c r="F5" s="10"/>
      <c r="G5" s="10"/>
      <c r="H5" s="11"/>
    </row>
    <row r="6" spans="1:14" x14ac:dyDescent="0.2">
      <c r="E6" s="211" t="s">
        <v>3</v>
      </c>
      <c r="F6" s="211"/>
      <c r="G6" s="211"/>
      <c r="H6" s="211"/>
    </row>
    <row r="7" spans="1:14" x14ac:dyDescent="0.2">
      <c r="E7" s="217" t="s">
        <v>16</v>
      </c>
      <c r="F7" s="217"/>
      <c r="G7" s="217"/>
      <c r="H7" s="217"/>
      <c r="I7" s="217"/>
      <c r="J7" s="68"/>
    </row>
    <row r="8" spans="1:14" x14ac:dyDescent="0.2">
      <c r="E8" s="12"/>
      <c r="F8" s="12"/>
      <c r="G8" s="12"/>
      <c r="H8" s="13"/>
    </row>
    <row r="9" spans="1:14" ht="13.5" thickBot="1" x14ac:dyDescent="0.25"/>
    <row r="10" spans="1:14" ht="5.45" customHeight="1" thickTop="1" x14ac:dyDescent="0.2">
      <c r="A10" s="4"/>
      <c r="B10" s="14"/>
      <c r="C10" s="15"/>
      <c r="D10" s="15"/>
      <c r="E10" s="15"/>
      <c r="F10" s="15"/>
      <c r="G10" s="15"/>
      <c r="H10" s="16"/>
      <c r="I10" s="15"/>
    </row>
    <row r="11" spans="1:14" s="2" customFormat="1" ht="25.9" customHeight="1" thickBot="1" x14ac:dyDescent="0.3">
      <c r="A11" s="17"/>
      <c r="B11" s="18"/>
      <c r="C11" s="19" t="s">
        <v>152</v>
      </c>
      <c r="D11" s="19"/>
      <c r="E11" s="20"/>
      <c r="F11" s="21"/>
      <c r="G11" s="21"/>
      <c r="H11" s="22"/>
      <c r="I11" s="21"/>
      <c r="J11" s="69"/>
      <c r="K11" s="164"/>
      <c r="L11" s="165"/>
      <c r="M11" s="166"/>
      <c r="N11" s="118"/>
    </row>
    <row r="12" spans="1:14" ht="18" customHeight="1" x14ac:dyDescent="0.25">
      <c r="A12" s="4"/>
      <c r="B12" s="23"/>
      <c r="C12" s="24" t="s">
        <v>21</v>
      </c>
      <c r="D12" s="25"/>
      <c r="E12" s="25"/>
      <c r="F12" s="26"/>
      <c r="G12" s="26"/>
      <c r="H12" s="27"/>
      <c r="I12" s="28"/>
      <c r="J12" s="69"/>
      <c r="K12" s="164"/>
      <c r="L12" s="165"/>
      <c r="M12" s="166"/>
      <c r="N12" s="118"/>
    </row>
    <row r="13" spans="1:14" ht="18.75" x14ac:dyDescent="0.25">
      <c r="A13" s="4"/>
      <c r="B13" s="23"/>
      <c r="C13" s="29" t="s">
        <v>4</v>
      </c>
      <c r="D13" s="30"/>
      <c r="E13" s="30"/>
      <c r="F13" s="21"/>
      <c r="G13" s="21"/>
      <c r="H13" s="22"/>
      <c r="I13" s="31"/>
      <c r="J13" s="69"/>
      <c r="K13" s="164"/>
      <c r="L13" s="165"/>
      <c r="M13" s="166"/>
      <c r="N13" s="118"/>
    </row>
    <row r="14" spans="1:14" ht="18.75" x14ac:dyDescent="0.25">
      <c r="A14" s="4"/>
      <c r="B14" s="23"/>
      <c r="C14" s="32" t="s">
        <v>22</v>
      </c>
      <c r="D14" s="30"/>
      <c r="E14" s="30"/>
      <c r="F14" s="21"/>
      <c r="G14" s="21"/>
      <c r="H14" s="22"/>
      <c r="I14" s="31"/>
      <c r="J14" s="69"/>
      <c r="K14" s="164"/>
      <c r="L14" s="165"/>
      <c r="M14" s="166"/>
      <c r="N14" s="118"/>
    </row>
    <row r="15" spans="1:14" ht="18.75" x14ac:dyDescent="0.25">
      <c r="A15" s="4"/>
      <c r="B15" s="23"/>
      <c r="C15" s="32" t="s">
        <v>23</v>
      </c>
      <c r="D15" s="30"/>
      <c r="E15" s="30"/>
      <c r="F15" s="21"/>
      <c r="G15" s="21"/>
      <c r="H15" s="22"/>
      <c r="I15" s="31"/>
      <c r="J15" s="69"/>
      <c r="K15" s="164"/>
      <c r="L15" s="165"/>
      <c r="M15" s="166"/>
      <c r="N15" s="118"/>
    </row>
    <row r="16" spans="1:14" ht="18.75" x14ac:dyDescent="0.25">
      <c r="A16" s="4"/>
      <c r="B16" s="23"/>
      <c r="C16" s="33" t="s">
        <v>24</v>
      </c>
      <c r="D16" s="30"/>
      <c r="E16" s="30"/>
      <c r="F16" s="34"/>
      <c r="G16" s="34"/>
      <c r="H16" s="22"/>
      <c r="I16" s="31"/>
      <c r="J16" s="69"/>
      <c r="K16" s="164"/>
      <c r="L16" s="165"/>
      <c r="M16" s="166"/>
      <c r="N16" s="118"/>
    </row>
    <row r="17" spans="1:15" ht="18.75" customHeight="1" thickBot="1" x14ac:dyDescent="0.3">
      <c r="A17" s="4"/>
      <c r="B17" s="23"/>
      <c r="C17" s="212" t="s">
        <v>5</v>
      </c>
      <c r="D17" s="213"/>
      <c r="E17" s="213"/>
      <c r="F17" s="213"/>
      <c r="G17" s="35"/>
      <c r="H17" s="36"/>
      <c r="I17" s="37"/>
      <c r="J17" s="69"/>
      <c r="K17" s="164"/>
      <c r="L17" s="165"/>
      <c r="M17" s="166"/>
      <c r="N17" s="118"/>
    </row>
    <row r="18" spans="1:15" ht="19.5" thickBot="1" x14ac:dyDescent="0.3">
      <c r="A18" s="4"/>
      <c r="B18" s="23"/>
      <c r="C18" s="38"/>
      <c r="D18" s="39"/>
      <c r="E18" s="39"/>
      <c r="F18" s="21"/>
      <c r="G18" s="21"/>
      <c r="H18" s="22"/>
      <c r="I18" s="21"/>
      <c r="J18" s="69"/>
      <c r="K18" s="164"/>
      <c r="L18" s="165"/>
      <c r="M18" s="166"/>
      <c r="N18" s="118"/>
    </row>
    <row r="19" spans="1:15" ht="19.5" thickBot="1" x14ac:dyDescent="0.3">
      <c r="A19" s="4"/>
      <c r="B19" s="23"/>
      <c r="C19" s="214" t="s">
        <v>151</v>
      </c>
      <c r="D19" s="215"/>
      <c r="E19" s="215"/>
      <c r="F19" s="215"/>
      <c r="G19" s="215"/>
      <c r="H19" s="215"/>
      <c r="I19" s="216"/>
      <c r="J19" s="70"/>
      <c r="K19" s="164"/>
      <c r="L19" s="165"/>
      <c r="M19" s="166"/>
      <c r="N19" s="118"/>
    </row>
    <row r="20" spans="1:15" ht="19.5" thickBot="1" x14ac:dyDescent="0.3">
      <c r="A20" s="4"/>
      <c r="B20" s="23"/>
      <c r="C20" s="21"/>
      <c r="D20" s="21"/>
      <c r="E20" s="21"/>
      <c r="F20" s="21"/>
      <c r="G20" s="21"/>
      <c r="H20" s="22"/>
      <c r="I20" s="21"/>
      <c r="J20" s="69"/>
      <c r="K20" s="118"/>
      <c r="L20" s="164"/>
      <c r="M20" s="165"/>
      <c r="N20" s="166"/>
      <c r="O20" s="118"/>
    </row>
    <row r="21" spans="1:15" ht="18.75" x14ac:dyDescent="0.25">
      <c r="A21" s="4"/>
      <c r="B21" s="23"/>
      <c r="C21" s="209" t="s">
        <v>6</v>
      </c>
      <c r="D21" s="218" t="s">
        <v>7</v>
      </c>
      <c r="E21" s="219"/>
      <c r="F21" s="209" t="s">
        <v>8</v>
      </c>
      <c r="G21" s="209" t="s">
        <v>9</v>
      </c>
      <c r="H21" s="40" t="s">
        <v>10</v>
      </c>
      <c r="I21" s="41" t="s">
        <v>11</v>
      </c>
      <c r="J21" s="71"/>
      <c r="K21" s="118"/>
      <c r="L21" s="164"/>
      <c r="M21" s="165"/>
      <c r="N21" s="166"/>
      <c r="O21" s="118"/>
    </row>
    <row r="22" spans="1:15" ht="19.5" thickBot="1" x14ac:dyDescent="0.3">
      <c r="A22" s="4"/>
      <c r="B22" s="23"/>
      <c r="C22" s="210"/>
      <c r="D22" s="206"/>
      <c r="E22" s="220"/>
      <c r="F22" s="210"/>
      <c r="G22" s="210"/>
      <c r="H22" s="42" t="s">
        <v>12</v>
      </c>
      <c r="I22" s="42" t="s">
        <v>12</v>
      </c>
      <c r="J22" s="71"/>
      <c r="K22" s="118"/>
      <c r="L22" s="164"/>
      <c r="M22" s="165"/>
      <c r="N22" s="166"/>
      <c r="O22" s="118"/>
    </row>
    <row r="23" spans="1:15" s="3" customFormat="1" ht="15.75" hidden="1" customHeight="1" x14ac:dyDescent="0.25">
      <c r="A23" s="21"/>
      <c r="B23" s="43"/>
      <c r="C23" s="44"/>
      <c r="D23" s="168" t="s">
        <v>105</v>
      </c>
      <c r="E23" s="163"/>
      <c r="F23" s="44">
        <f>+VLOOKUP(D23,Tarif!A:S,19,FALSE)</f>
        <v>0</v>
      </c>
      <c r="G23" s="64">
        <f>+F23*Tarif!C4/1000</f>
        <v>0</v>
      </c>
      <c r="H23" s="65">
        <f>+VLOOKUP(D23,Tarif!A:R,$L$2,FALSE)</f>
        <v>3.9239999999999999</v>
      </c>
      <c r="I23" s="62">
        <f>H23*F23</f>
        <v>0</v>
      </c>
      <c r="J23" s="72"/>
      <c r="K23" s="118"/>
      <c r="L23" s="164"/>
      <c r="M23" s="165"/>
      <c r="N23" s="166"/>
      <c r="O23" s="118"/>
    </row>
    <row r="24" spans="1:15" s="3" customFormat="1" ht="15" hidden="1" customHeight="1" x14ac:dyDescent="0.25">
      <c r="A24" s="21"/>
      <c r="B24" s="43"/>
      <c r="C24" s="44"/>
      <c r="D24" s="204" t="s">
        <v>109</v>
      </c>
      <c r="E24" s="205"/>
      <c r="F24" s="44">
        <f>+VLOOKUP(D24,Tarif!A:S,19,FALSE)</f>
        <v>0</v>
      </c>
      <c r="G24" s="64">
        <f>+F24*Tarif!C5/1000</f>
        <v>0</v>
      </c>
      <c r="H24" s="65">
        <f>+VLOOKUP(D24,Tarif!A:R,$L$2,FALSE)</f>
        <v>2.907</v>
      </c>
      <c r="I24" s="62">
        <f>H24*F24</f>
        <v>0</v>
      </c>
      <c r="J24" s="72"/>
      <c r="K24" s="118"/>
      <c r="L24" s="164"/>
      <c r="M24" s="165"/>
      <c r="N24" s="166"/>
      <c r="O24" s="118"/>
    </row>
    <row r="25" spans="1:15" s="3" customFormat="1" ht="14.25" customHeight="1" x14ac:dyDescent="0.25">
      <c r="A25" s="21"/>
      <c r="B25" s="43"/>
      <c r="C25" s="44">
        <v>1</v>
      </c>
      <c r="D25" s="204" t="s">
        <v>29</v>
      </c>
      <c r="E25" s="205"/>
      <c r="F25" s="44">
        <f>+VLOOKUP(D25,Tarif!A:S,19,FALSE)</f>
        <v>500</v>
      </c>
      <c r="G25" s="64">
        <f>+F25*Tarif!C6/1000</f>
        <v>0.42</v>
      </c>
      <c r="H25" s="65">
        <f>+VLOOKUP(D25,Tarif!A:R,$L$2,FALSE)</f>
        <v>1.409</v>
      </c>
      <c r="I25" s="62">
        <f>H25*F25</f>
        <v>704.5</v>
      </c>
      <c r="J25" s="72"/>
      <c r="K25" s="118"/>
      <c r="L25" s="164"/>
      <c r="M25" s="165"/>
      <c r="N25" s="166"/>
      <c r="O25" s="118"/>
    </row>
    <row r="26" spans="1:15" s="3" customFormat="1" ht="12.75" customHeight="1" x14ac:dyDescent="0.25">
      <c r="A26" s="21"/>
      <c r="B26" s="43"/>
      <c r="C26" s="44">
        <v>2</v>
      </c>
      <c r="D26" s="204" t="s">
        <v>31</v>
      </c>
      <c r="E26" s="205"/>
      <c r="F26" s="44">
        <f>+VLOOKUP(D26,Tarif!A:S,19,FALSE)</f>
        <v>800</v>
      </c>
      <c r="G26" s="64">
        <f>+F26*Tarif!C7/1000</f>
        <v>0.37919999999999998</v>
      </c>
      <c r="H26" s="65">
        <f>+VLOOKUP(D26,Tarif!A:R,$L$2,FALSE)</f>
        <v>1.409</v>
      </c>
      <c r="I26" s="62">
        <f>H26*F26</f>
        <v>1127.2</v>
      </c>
      <c r="J26" s="72"/>
      <c r="K26" s="164"/>
      <c r="L26" s="165"/>
      <c r="M26" s="166"/>
      <c r="N26" s="118"/>
    </row>
    <row r="27" spans="1:15" s="3" customFormat="1" ht="15.75" customHeight="1" x14ac:dyDescent="0.25">
      <c r="A27" s="21"/>
      <c r="B27" s="43"/>
      <c r="C27" s="44">
        <v>3</v>
      </c>
      <c r="D27" s="204" t="s">
        <v>106</v>
      </c>
      <c r="E27" s="205"/>
      <c r="F27" s="44">
        <f>+VLOOKUP(D27,Tarif!A:S,19,FALSE)</f>
        <v>100</v>
      </c>
      <c r="G27" s="64">
        <f>+F27*Tarif!C8/1000</f>
        <v>0.14899999999999999</v>
      </c>
      <c r="H27" s="65">
        <f>+VLOOKUP(D27,Tarif!A:R,$L$2,FALSE)</f>
        <v>5.0190000000000001</v>
      </c>
      <c r="I27" s="62">
        <f>H27*F27</f>
        <v>501.90000000000003</v>
      </c>
      <c r="J27" s="72"/>
      <c r="K27" s="164"/>
      <c r="L27" s="165"/>
      <c r="M27" s="166"/>
      <c r="N27" s="118"/>
    </row>
    <row r="28" spans="1:15" s="3" customFormat="1" ht="15.75" customHeight="1" x14ac:dyDescent="0.25">
      <c r="A28" s="21"/>
      <c r="B28" s="43"/>
      <c r="C28" s="44">
        <v>4</v>
      </c>
      <c r="D28" s="204" t="s">
        <v>107</v>
      </c>
      <c r="E28" s="205"/>
      <c r="F28" s="44">
        <f>+VLOOKUP(D28,Tarif!A:S,19,FALSE)</f>
        <v>80</v>
      </c>
      <c r="G28" s="64">
        <f>+F28*Tarif!C9/1000</f>
        <v>0.10160000000000002</v>
      </c>
      <c r="H28" s="65">
        <f>+VLOOKUP(D28,Tarif!A:R,$L$2,FALSE)</f>
        <v>3.7669999999999999</v>
      </c>
      <c r="I28" s="62">
        <f t="shared" ref="I28:I49" si="0">H28*F28</f>
        <v>301.36</v>
      </c>
      <c r="J28" s="72"/>
      <c r="K28" s="164"/>
      <c r="L28" s="165"/>
      <c r="M28" s="166"/>
      <c r="N28" s="118"/>
    </row>
    <row r="29" spans="1:15" s="3" customFormat="1" ht="15.75" customHeight="1" x14ac:dyDescent="0.25">
      <c r="A29" s="21"/>
      <c r="B29" s="43"/>
      <c r="C29" s="44">
        <v>5</v>
      </c>
      <c r="D29" s="204" t="s">
        <v>108</v>
      </c>
      <c r="E29" s="205"/>
      <c r="F29" s="44">
        <f>+VLOOKUP(D29,Tarif!A:S,19,FALSE)</f>
        <v>50</v>
      </c>
      <c r="G29" s="64">
        <f>+F29*Tarif!C10/1000</f>
        <v>4.1000000000000002E-2</v>
      </c>
      <c r="H29" s="65">
        <f>+VLOOKUP(D29,Tarif!A:R,$L$2,FALSE)</f>
        <v>2.4260000000000002</v>
      </c>
      <c r="I29" s="62">
        <f>H29*F29</f>
        <v>121.30000000000001</v>
      </c>
      <c r="J29" s="72"/>
      <c r="K29" s="164"/>
      <c r="L29" s="165"/>
      <c r="M29" s="166"/>
      <c r="N29" s="118"/>
    </row>
    <row r="30" spans="1:15" s="3" customFormat="1" ht="13.5" hidden="1" customHeight="1" x14ac:dyDescent="0.25">
      <c r="A30" s="21"/>
      <c r="B30" s="43"/>
      <c r="C30" s="44"/>
      <c r="D30" s="204" t="s">
        <v>124</v>
      </c>
      <c r="E30" s="205"/>
      <c r="F30" s="44">
        <f>+VLOOKUP(D30,Tarif!A:S,19,FALSE)</f>
        <v>0</v>
      </c>
      <c r="G30" s="64">
        <f>+F30*Tarif!C11/1000</f>
        <v>0</v>
      </c>
      <c r="H30" s="65">
        <f>+VLOOKUP(D30,Tarif!A:R,$L$2,FALSE)</f>
        <v>5.4110000000000005</v>
      </c>
      <c r="I30" s="62">
        <f>H30*F30</f>
        <v>0</v>
      </c>
      <c r="K30" s="164"/>
      <c r="L30" s="165"/>
      <c r="M30" s="166"/>
      <c r="N30" s="118"/>
    </row>
    <row r="31" spans="1:15" s="3" customFormat="1" hidden="1" x14ac:dyDescent="0.2">
      <c r="A31" s="21"/>
      <c r="B31" s="43"/>
      <c r="C31" s="44"/>
      <c r="D31" s="204" t="s">
        <v>125</v>
      </c>
      <c r="E31" s="205"/>
      <c r="F31" s="44">
        <f>+VLOOKUP(D31,Tarif!A:S,19,FALSE)</f>
        <v>0</v>
      </c>
      <c r="G31" s="64">
        <f>+F31*Tarif!C12/1000</f>
        <v>0</v>
      </c>
      <c r="H31" s="65">
        <f>+VLOOKUP(D31,Tarif!A:R,$L$2,FALSE)</f>
        <v>4.0129999999999999</v>
      </c>
      <c r="I31" s="62">
        <f>H31*F31</f>
        <v>0</v>
      </c>
      <c r="L31" s="78"/>
    </row>
    <row r="32" spans="1:15" s="3" customFormat="1" hidden="1" x14ac:dyDescent="0.2">
      <c r="A32" s="21"/>
      <c r="B32" s="43"/>
      <c r="C32" s="44"/>
      <c r="D32" s="204" t="s">
        <v>126</v>
      </c>
      <c r="E32" s="205"/>
      <c r="F32" s="44">
        <f>+VLOOKUP(D32,Tarif!A:S,19,FALSE)</f>
        <v>0</v>
      </c>
      <c r="G32" s="64">
        <f>+F32*Tarif!C13/1000</f>
        <v>0</v>
      </c>
      <c r="H32" s="65">
        <f>+VLOOKUP(D32,Tarif!A:R,$L$2,FALSE)</f>
        <v>2.5710000000000002</v>
      </c>
      <c r="I32" s="62">
        <f>H32*F32</f>
        <v>0</v>
      </c>
      <c r="L32" s="78"/>
    </row>
    <row r="33" spans="1:12" s="3" customFormat="1" hidden="1" x14ac:dyDescent="0.2">
      <c r="A33" s="21"/>
      <c r="B33" s="43"/>
      <c r="C33" s="44"/>
      <c r="D33" s="204" t="s">
        <v>115</v>
      </c>
      <c r="E33" s="205"/>
      <c r="F33" s="44">
        <f>+VLOOKUP(D33,Tarif!A:S,19,FALSE)</f>
        <v>0</v>
      </c>
      <c r="G33" s="64">
        <f>+F33*Tarif!C14/1000</f>
        <v>0</v>
      </c>
      <c r="H33" s="65">
        <f>+VLOOKUP(D33,Tarif!A:R,$L$2,FALSE)</f>
        <v>6.73</v>
      </c>
      <c r="I33" s="62">
        <f t="shared" si="0"/>
        <v>0</v>
      </c>
      <c r="L33" s="78"/>
    </row>
    <row r="34" spans="1:12" s="3" customFormat="1" hidden="1" x14ac:dyDescent="0.2">
      <c r="A34" s="21"/>
      <c r="B34" s="43"/>
      <c r="C34" s="44"/>
      <c r="D34" s="204" t="s">
        <v>116</v>
      </c>
      <c r="E34" s="205"/>
      <c r="F34" s="44">
        <f>+VLOOKUP(D34,Tarif!A:S,19,FALSE)</f>
        <v>0</v>
      </c>
      <c r="G34" s="64">
        <f>+F34*Tarif!C15/1000</f>
        <v>0</v>
      </c>
      <c r="H34" s="65">
        <f>+VLOOKUP(D34,Tarif!A:R,$L$2,FALSE)</f>
        <v>4.4720000000000004</v>
      </c>
      <c r="I34" s="62">
        <f t="shared" si="0"/>
        <v>0</v>
      </c>
      <c r="L34" s="78"/>
    </row>
    <row r="35" spans="1:12" s="3" customFormat="1" hidden="1" x14ac:dyDescent="0.2">
      <c r="A35" s="21"/>
      <c r="B35" s="43"/>
      <c r="C35" s="44"/>
      <c r="D35" s="204" t="s">
        <v>117</v>
      </c>
      <c r="E35" s="205"/>
      <c r="F35" s="44">
        <f>+VLOOKUP(D35,Tarif!A:S,19,FALSE)</f>
        <v>0</v>
      </c>
      <c r="G35" s="64">
        <f>+F35*Tarif!C16/1000</f>
        <v>0</v>
      </c>
      <c r="H35" s="65">
        <f>+VLOOKUP(D35,Tarif!A:R,$L$2,FALSE)</f>
        <v>3.242</v>
      </c>
      <c r="I35" s="62">
        <f t="shared" si="0"/>
        <v>0</v>
      </c>
      <c r="L35" s="78"/>
    </row>
    <row r="36" spans="1:12" s="3" customFormat="1" x14ac:dyDescent="0.2">
      <c r="A36" s="21"/>
      <c r="B36" s="43"/>
      <c r="C36" s="44">
        <v>6</v>
      </c>
      <c r="D36" s="204" t="s">
        <v>18</v>
      </c>
      <c r="E36" s="205"/>
      <c r="F36" s="44">
        <f>+VLOOKUP(D36,Tarif!A:S,19,FALSE)</f>
        <v>600</v>
      </c>
      <c r="G36" s="64">
        <f>+F36*Tarif!C17/1000</f>
        <v>1.3271999999999999</v>
      </c>
      <c r="H36" s="65">
        <f>+VLOOKUP(D36,Tarif!A:R,$L$2,FALSE)</f>
        <v>7.3220000000000001</v>
      </c>
      <c r="I36" s="62">
        <f t="shared" si="0"/>
        <v>4393.2</v>
      </c>
      <c r="L36" s="78"/>
    </row>
    <row r="37" spans="1:12" s="3" customFormat="1" x14ac:dyDescent="0.2">
      <c r="A37" s="21"/>
      <c r="B37" s="43"/>
      <c r="C37" s="44">
        <v>7</v>
      </c>
      <c r="D37" s="204" t="s">
        <v>19</v>
      </c>
      <c r="E37" s="205"/>
      <c r="F37" s="44">
        <f>+VLOOKUP(D37,Tarif!A:S,19,FALSE)</f>
        <v>480</v>
      </c>
      <c r="G37" s="64">
        <f>+F37*Tarif!C18/1000</f>
        <v>0.86399999999999999</v>
      </c>
      <c r="H37" s="65">
        <f>+VLOOKUP(D37,Tarif!A:R,$L$2,FALSE)</f>
        <v>5.4219999999999997</v>
      </c>
      <c r="I37" s="62">
        <f t="shared" si="0"/>
        <v>2602.56</v>
      </c>
      <c r="L37" s="78"/>
    </row>
    <row r="38" spans="1:12" s="3" customFormat="1" ht="15" customHeight="1" x14ac:dyDescent="0.2">
      <c r="A38" s="21"/>
      <c r="B38" s="43"/>
      <c r="C38" s="44">
        <v>8</v>
      </c>
      <c r="D38" s="204" t="s">
        <v>20</v>
      </c>
      <c r="E38" s="205"/>
      <c r="F38" s="44">
        <f>+VLOOKUP(D38,Tarif!A:S,19,FALSE)</f>
        <v>240</v>
      </c>
      <c r="G38" s="64">
        <f>+F38*Tarif!C19/1000</f>
        <v>0.28655999999999998</v>
      </c>
      <c r="H38" s="65">
        <f>+VLOOKUP(D38,Tarif!A:R,$L$2,FALSE)</f>
        <v>3.3650000000000002</v>
      </c>
      <c r="I38" s="62">
        <f>H38*F38</f>
        <v>807.6</v>
      </c>
      <c r="L38" s="78"/>
    </row>
    <row r="39" spans="1:12" s="3" customFormat="1" ht="15" hidden="1" customHeight="1" x14ac:dyDescent="0.2">
      <c r="A39" s="21"/>
      <c r="B39" s="43"/>
      <c r="C39" s="44"/>
      <c r="D39" s="204" t="s">
        <v>121</v>
      </c>
      <c r="E39" s="205"/>
      <c r="F39" s="44">
        <f>+VLOOKUP(D39,Tarif!A:S,19,FALSE)</f>
        <v>0</v>
      </c>
      <c r="G39" s="64">
        <f>+F39*Tarif!C20/1000</f>
        <v>0</v>
      </c>
      <c r="H39" s="65">
        <f>+VLOOKUP(D39,Tarif!A:R,$L$2,FALSE)</f>
        <v>7.8250000000000002</v>
      </c>
      <c r="I39" s="62">
        <f t="shared" si="0"/>
        <v>0</v>
      </c>
      <c r="L39" s="78"/>
    </row>
    <row r="40" spans="1:12" s="3" customFormat="1" ht="15" hidden="1" customHeight="1" x14ac:dyDescent="0.2">
      <c r="A40" s="21"/>
      <c r="B40" s="43"/>
      <c r="C40" s="44"/>
      <c r="D40" s="204" t="s">
        <v>122</v>
      </c>
      <c r="E40" s="205"/>
      <c r="F40" s="44">
        <f>+VLOOKUP(D40,Tarif!A:S,19,FALSE)</f>
        <v>0</v>
      </c>
      <c r="G40" s="64">
        <f>+F40*Tarif!C21/1000</f>
        <v>0</v>
      </c>
      <c r="H40" s="65">
        <f>+VLOOKUP(D40,Tarif!A:R,$L$2,FALSE)</f>
        <v>5.9580000000000002</v>
      </c>
      <c r="I40" s="62">
        <f t="shared" si="0"/>
        <v>0</v>
      </c>
      <c r="L40" s="78"/>
    </row>
    <row r="41" spans="1:12" s="3" customFormat="1" ht="15" hidden="1" customHeight="1" x14ac:dyDescent="0.2">
      <c r="A41" s="21"/>
      <c r="B41" s="43"/>
      <c r="C41" s="44"/>
      <c r="D41" s="204" t="s">
        <v>123</v>
      </c>
      <c r="E41" s="205"/>
      <c r="F41" s="44">
        <f>+VLOOKUP(D41,Tarif!A:S,19,FALSE)</f>
        <v>0</v>
      </c>
      <c r="G41" s="64">
        <f>+F41*Tarif!C22/1000</f>
        <v>0</v>
      </c>
      <c r="H41" s="65">
        <f>+VLOOKUP(D41,Tarif!A:R,$L$2,FALSE)</f>
        <v>3.6110000000000002</v>
      </c>
      <c r="I41" s="62">
        <f t="shared" si="0"/>
        <v>0</v>
      </c>
      <c r="L41" s="78"/>
    </row>
    <row r="42" spans="1:12" s="3" customFormat="1" ht="15" customHeight="1" x14ac:dyDescent="0.2">
      <c r="A42" s="21"/>
      <c r="B42" s="43"/>
      <c r="C42" s="44">
        <v>9</v>
      </c>
      <c r="D42" s="204" t="s">
        <v>26</v>
      </c>
      <c r="E42" s="205"/>
      <c r="F42" s="44">
        <f>+VLOOKUP(D42,Tarif!A:S,19,FALSE)</f>
        <v>200</v>
      </c>
      <c r="G42" s="64">
        <f>+F42*Tarif!C23/1000</f>
        <v>0.54200000000000004</v>
      </c>
      <c r="H42" s="65">
        <f>+VLOOKUP(D42,Tarif!A:R,$L$2,FALSE)</f>
        <v>9.1449999999999996</v>
      </c>
      <c r="I42" s="62">
        <f t="shared" si="0"/>
        <v>1829</v>
      </c>
      <c r="L42" s="78"/>
    </row>
    <row r="43" spans="1:12" s="3" customFormat="1" ht="15" customHeight="1" x14ac:dyDescent="0.2">
      <c r="A43" s="21"/>
      <c r="B43" s="43"/>
      <c r="C43" s="44">
        <v>10</v>
      </c>
      <c r="D43" s="204" t="s">
        <v>27</v>
      </c>
      <c r="E43" s="205"/>
      <c r="F43" s="44">
        <f>+VLOOKUP(D43,Tarif!A:S,19,FALSE)</f>
        <v>160</v>
      </c>
      <c r="G43" s="64">
        <f>+F43*Tarif!C24/1000</f>
        <v>0.38639999999999997</v>
      </c>
      <c r="H43" s="65">
        <f>+VLOOKUP(D43,Tarif!A:R,$L$2,FALSE)</f>
        <v>7.266</v>
      </c>
      <c r="I43" s="62">
        <f t="shared" si="0"/>
        <v>1162.56</v>
      </c>
      <c r="L43" s="78"/>
    </row>
    <row r="44" spans="1:12" s="3" customFormat="1" ht="15" customHeight="1" x14ac:dyDescent="0.2">
      <c r="A44" s="21"/>
      <c r="B44" s="43"/>
      <c r="C44" s="44">
        <v>11</v>
      </c>
      <c r="D44" s="204" t="s">
        <v>28</v>
      </c>
      <c r="E44" s="205"/>
      <c r="F44" s="44">
        <f>+VLOOKUP(D44,Tarif!A:S,19,FALSE)</f>
        <v>80</v>
      </c>
      <c r="G44" s="64">
        <f>+F44*Tarif!C25/1000</f>
        <v>0.12824000000000002</v>
      </c>
      <c r="H44" s="65">
        <f>+VLOOKUP(D44,Tarif!A:R,$L$2,FALSE)</f>
        <v>4.673</v>
      </c>
      <c r="I44" s="62">
        <f t="shared" si="0"/>
        <v>373.84000000000003</v>
      </c>
      <c r="L44" s="78"/>
    </row>
    <row r="45" spans="1:12" s="3" customFormat="1" ht="15" hidden="1" customHeight="1" x14ac:dyDescent="0.2">
      <c r="A45" s="21"/>
      <c r="B45" s="43"/>
      <c r="C45" s="44"/>
      <c r="D45" s="204" t="s">
        <v>138</v>
      </c>
      <c r="E45" s="205"/>
      <c r="F45" s="44"/>
      <c r="G45" s="64"/>
      <c r="H45" s="65"/>
      <c r="I45" s="62">
        <f t="shared" si="0"/>
        <v>0</v>
      </c>
      <c r="L45" s="78"/>
    </row>
    <row r="46" spans="1:12" s="3" customFormat="1" ht="15" hidden="1" customHeight="1" x14ac:dyDescent="0.2">
      <c r="A46" s="21"/>
      <c r="B46" s="43"/>
      <c r="C46" s="44"/>
      <c r="D46" s="204" t="s">
        <v>135</v>
      </c>
      <c r="E46" s="205"/>
      <c r="F46" s="44"/>
      <c r="G46" s="64">
        <f>33*F46/1000</f>
        <v>0</v>
      </c>
      <c r="H46" s="189">
        <v>103.95</v>
      </c>
      <c r="I46" s="62">
        <f>H46*F46</f>
        <v>0</v>
      </c>
      <c r="L46" s="78"/>
    </row>
    <row r="47" spans="1:12" s="3" customFormat="1" ht="15" hidden="1" customHeight="1" x14ac:dyDescent="0.2">
      <c r="A47" s="21"/>
      <c r="B47" s="43"/>
      <c r="C47" s="44"/>
      <c r="D47" s="204" t="s">
        <v>136</v>
      </c>
      <c r="E47" s="205"/>
      <c r="F47" s="44"/>
      <c r="G47" s="64">
        <f>27.3*F47/1000</f>
        <v>0</v>
      </c>
      <c r="H47" s="189">
        <v>88.44</v>
      </c>
      <c r="I47" s="62">
        <f>H47*F47</f>
        <v>0</v>
      </c>
      <c r="L47" s="78"/>
    </row>
    <row r="48" spans="1:12" s="3" customFormat="1" ht="15" hidden="1" customHeight="1" x14ac:dyDescent="0.2">
      <c r="A48" s="21"/>
      <c r="B48" s="43"/>
      <c r="C48" s="44"/>
      <c r="D48" s="204" t="s">
        <v>137</v>
      </c>
      <c r="E48" s="205"/>
      <c r="F48" s="44"/>
      <c r="G48" s="64">
        <f>21.1*F48/1000</f>
        <v>0</v>
      </c>
      <c r="H48" s="189">
        <v>68.52</v>
      </c>
      <c r="I48" s="62">
        <f t="shared" si="0"/>
        <v>0</v>
      </c>
      <c r="L48" s="78"/>
    </row>
    <row r="49" spans="1:14" s="3" customFormat="1" ht="15" hidden="1" customHeight="1" x14ac:dyDescent="0.2">
      <c r="A49" s="21"/>
      <c r="B49" s="43"/>
      <c r="C49" s="44"/>
      <c r="D49" s="204"/>
      <c r="E49" s="205"/>
      <c r="F49" s="44"/>
      <c r="G49" s="64"/>
      <c r="H49" s="65"/>
      <c r="I49" s="62">
        <f t="shared" si="0"/>
        <v>0</v>
      </c>
      <c r="L49" s="78"/>
    </row>
    <row r="50" spans="1:14" ht="13.5" thickBot="1" x14ac:dyDescent="0.25">
      <c r="A50" s="4"/>
      <c r="B50" s="23"/>
      <c r="C50" s="44">
        <v>12</v>
      </c>
      <c r="D50" s="204" t="s">
        <v>25</v>
      </c>
      <c r="E50" s="205"/>
      <c r="F50" s="44"/>
      <c r="G50" s="64">
        <f>+Tarif!S26</f>
        <v>0.5</v>
      </c>
      <c r="H50" s="65">
        <f>+VLOOKUP(D50,Tarif!A:R,$L$2,FALSE)+350</f>
        <v>2450</v>
      </c>
      <c r="I50" s="62">
        <f>H50*G50</f>
        <v>1225</v>
      </c>
      <c r="J50" s="72"/>
    </row>
    <row r="51" spans="1:14" ht="13.5" thickBot="1" x14ac:dyDescent="0.25">
      <c r="A51" s="4"/>
      <c r="B51" s="23"/>
      <c r="C51" s="206" t="s">
        <v>13</v>
      </c>
      <c r="D51" s="207"/>
      <c r="E51" s="208"/>
      <c r="F51" s="158">
        <f>SUM(F23:F50)</f>
        <v>3290</v>
      </c>
      <c r="G51" s="52">
        <f>SUM(G23:G50)</f>
        <v>5.1251999999999995</v>
      </c>
      <c r="H51" s="53"/>
      <c r="I51" s="82">
        <f>SUM(I23:I50)</f>
        <v>15150.02</v>
      </c>
      <c r="J51" s="73"/>
      <c r="K51" s="167"/>
      <c r="N51" s="167"/>
    </row>
    <row r="52" spans="1:14" x14ac:dyDescent="0.2">
      <c r="A52" s="4"/>
      <c r="B52" s="23"/>
      <c r="C52" s="54" t="s">
        <v>14</v>
      </c>
      <c r="D52" s="55"/>
      <c r="E52" s="55"/>
      <c r="F52" s="55"/>
      <c r="G52" s="55"/>
      <c r="H52" s="27"/>
      <c r="I52" s="56"/>
      <c r="J52" s="74"/>
    </row>
    <row r="53" spans="1:14" ht="15.75" x14ac:dyDescent="0.2">
      <c r="A53" s="4"/>
      <c r="B53" s="23"/>
      <c r="C53" s="202" t="s">
        <v>153</v>
      </c>
      <c r="D53" s="203"/>
      <c r="E53" s="203"/>
      <c r="F53" s="203"/>
      <c r="G53" s="203"/>
      <c r="H53" s="203"/>
      <c r="I53" s="57"/>
      <c r="J53" s="74"/>
    </row>
    <row r="54" spans="1:14" x14ac:dyDescent="0.2">
      <c r="A54" s="4"/>
      <c r="B54" s="23"/>
      <c r="C54" s="58" t="s">
        <v>15</v>
      </c>
      <c r="D54" s="21"/>
      <c r="E54" s="21"/>
      <c r="F54" s="21"/>
      <c r="G54" s="21"/>
      <c r="H54" s="22"/>
      <c r="I54" s="31"/>
      <c r="J54" s="69"/>
    </row>
    <row r="55" spans="1:14" x14ac:dyDescent="0.2">
      <c r="A55" s="4"/>
      <c r="B55" s="23"/>
      <c r="C55" s="58" t="s">
        <v>17</v>
      </c>
      <c r="D55" s="21"/>
      <c r="E55" s="21"/>
      <c r="G55" s="21"/>
      <c r="H55" s="22"/>
      <c r="I55" s="31"/>
      <c r="J55" s="69"/>
    </row>
    <row r="56" spans="1:14" x14ac:dyDescent="0.2">
      <c r="A56" s="4"/>
      <c r="B56" s="23"/>
      <c r="C56" s="58" t="s">
        <v>128</v>
      </c>
      <c r="D56" s="21"/>
      <c r="E56" s="173">
        <v>4</v>
      </c>
      <c r="F56" s="21"/>
      <c r="G56" s="21"/>
      <c r="H56" s="22"/>
      <c r="I56" s="31"/>
      <c r="J56" s="69"/>
    </row>
    <row r="57" spans="1:14" x14ac:dyDescent="0.2">
      <c r="A57" s="4"/>
      <c r="B57" s="59"/>
      <c r="C57" s="58" t="s">
        <v>119</v>
      </c>
      <c r="E57" s="159">
        <f>+G51*1000</f>
        <v>5125.2</v>
      </c>
      <c r="F57" s="21"/>
      <c r="G57" s="21"/>
      <c r="H57" s="22"/>
      <c r="I57" s="31"/>
      <c r="J57" s="69"/>
    </row>
    <row r="58" spans="1:14" x14ac:dyDescent="0.2">
      <c r="A58" s="4"/>
      <c r="B58" s="59"/>
      <c r="C58" s="58" t="s">
        <v>120</v>
      </c>
      <c r="E58" s="159">
        <f>+E57+(E56*25)</f>
        <v>5225.2</v>
      </c>
      <c r="F58" s="21"/>
      <c r="G58" s="21"/>
      <c r="H58" s="22"/>
      <c r="I58" s="31"/>
      <c r="J58" s="69"/>
    </row>
    <row r="59" spans="1:14" x14ac:dyDescent="0.2">
      <c r="A59" s="4"/>
      <c r="B59" s="59"/>
      <c r="C59" s="81" t="s">
        <v>30</v>
      </c>
      <c r="D59" s="21"/>
      <c r="E59" s="21"/>
      <c r="F59" s="21"/>
      <c r="G59" s="21"/>
      <c r="H59" s="22"/>
      <c r="I59" s="31"/>
      <c r="J59" s="69"/>
    </row>
    <row r="60" spans="1:14" x14ac:dyDescent="0.2">
      <c r="A60" s="4"/>
      <c r="B60" s="59"/>
      <c r="C60" s="58"/>
      <c r="D60" s="21"/>
      <c r="E60" s="21"/>
      <c r="F60" s="21"/>
      <c r="G60" s="21"/>
      <c r="H60" s="22"/>
      <c r="I60" s="31"/>
      <c r="J60" s="69"/>
    </row>
    <row r="61" spans="1:14" ht="13.5" thickBot="1" x14ac:dyDescent="0.25">
      <c r="A61" s="4"/>
      <c r="B61" s="59"/>
      <c r="C61" s="60"/>
      <c r="D61" s="61"/>
      <c r="E61" s="61"/>
      <c r="F61" s="61"/>
      <c r="G61" s="61"/>
      <c r="H61" s="36"/>
      <c r="I61" s="37"/>
      <c r="J61" s="69"/>
    </row>
    <row r="62" spans="1:14" x14ac:dyDescent="0.2">
      <c r="A62" s="4"/>
      <c r="B62" s="4"/>
      <c r="C62" s="5"/>
      <c r="D62" s="5"/>
      <c r="E62" s="5"/>
      <c r="F62" s="5"/>
      <c r="G62" s="5"/>
      <c r="H62" s="6"/>
      <c r="I62" s="5"/>
      <c r="J62" s="75"/>
    </row>
    <row r="63" spans="1:14" x14ac:dyDescent="0.2">
      <c r="A63" s="4"/>
      <c r="B63" s="4"/>
      <c r="C63" s="5"/>
      <c r="D63" s="5"/>
      <c r="E63" s="5"/>
      <c r="F63" s="5"/>
      <c r="G63" s="5"/>
      <c r="H63" s="6"/>
      <c r="I63" s="5"/>
      <c r="J63" s="75"/>
    </row>
    <row r="64" spans="1:14" x14ac:dyDescent="0.2">
      <c r="A64" s="4"/>
      <c r="B64" s="4"/>
    </row>
    <row r="65" spans="1:2" x14ac:dyDescent="0.2">
      <c r="A65" s="4"/>
      <c r="B65" s="4"/>
    </row>
    <row r="66" spans="1:2" x14ac:dyDescent="0.2">
      <c r="A66" s="4"/>
      <c r="B66" s="4"/>
    </row>
    <row r="67" spans="1:2" x14ac:dyDescent="0.2">
      <c r="A67" s="4"/>
      <c r="B67" s="4"/>
    </row>
    <row r="68" spans="1:2" x14ac:dyDescent="0.2">
      <c r="A68" s="4"/>
      <c r="B68" s="4"/>
    </row>
    <row r="69" spans="1:2" x14ac:dyDescent="0.2">
      <c r="A69" s="4"/>
      <c r="B69" s="4"/>
    </row>
    <row r="70" spans="1:2" x14ac:dyDescent="0.2">
      <c r="A70" s="4"/>
      <c r="B70" s="4"/>
    </row>
    <row r="71" spans="1:2" x14ac:dyDescent="0.2">
      <c r="A71" s="4"/>
      <c r="B71" s="4"/>
    </row>
    <row r="72" spans="1:2" x14ac:dyDescent="0.2">
      <c r="A72" s="4"/>
      <c r="B72" s="4"/>
    </row>
    <row r="73" spans="1:2" x14ac:dyDescent="0.2">
      <c r="A73" s="4"/>
      <c r="B73" s="4"/>
    </row>
    <row r="74" spans="1:2" x14ac:dyDescent="0.2">
      <c r="A74" s="4"/>
      <c r="B74" s="4"/>
    </row>
    <row r="75" spans="1:2" x14ac:dyDescent="0.2">
      <c r="A75" s="4"/>
      <c r="B75" s="4"/>
    </row>
    <row r="76" spans="1:2" x14ac:dyDescent="0.2">
      <c r="A76" s="4"/>
      <c r="B76" s="4"/>
    </row>
    <row r="77" spans="1:2" x14ac:dyDescent="0.2">
      <c r="A77" s="4"/>
      <c r="B77" s="4"/>
    </row>
    <row r="78" spans="1:2" x14ac:dyDescent="0.2">
      <c r="A78" s="4"/>
      <c r="B78" s="4"/>
    </row>
    <row r="79" spans="1:2" x14ac:dyDescent="0.2">
      <c r="A79" s="4"/>
      <c r="B79" s="4"/>
    </row>
    <row r="80" spans="1:2" x14ac:dyDescent="0.2">
      <c r="A80" s="4"/>
      <c r="B80" s="4"/>
    </row>
    <row r="81" spans="1:2" x14ac:dyDescent="0.2">
      <c r="A81" s="4"/>
      <c r="B81" s="4"/>
    </row>
    <row r="82" spans="1:2" x14ac:dyDescent="0.2">
      <c r="A82" s="4"/>
      <c r="B82" s="4"/>
    </row>
    <row r="83" spans="1:2" x14ac:dyDescent="0.2">
      <c r="A83" s="4"/>
      <c r="B83" s="4"/>
    </row>
    <row r="84" spans="1:2" x14ac:dyDescent="0.2">
      <c r="A84" s="4"/>
      <c r="B84" s="4"/>
    </row>
    <row r="85" spans="1:2" x14ac:dyDescent="0.2">
      <c r="A85" s="4"/>
      <c r="B85" s="4"/>
    </row>
    <row r="86" spans="1:2" x14ac:dyDescent="0.2">
      <c r="A86" s="4"/>
      <c r="B86" s="4"/>
    </row>
    <row r="87" spans="1:2" x14ac:dyDescent="0.2">
      <c r="A87" s="4"/>
      <c r="B87" s="4"/>
    </row>
    <row r="88" spans="1:2" x14ac:dyDescent="0.2">
      <c r="A88" s="4"/>
      <c r="B88" s="4"/>
    </row>
    <row r="89" spans="1:2" x14ac:dyDescent="0.2">
      <c r="A89" s="4"/>
      <c r="B89" s="4"/>
    </row>
    <row r="90" spans="1:2" x14ac:dyDescent="0.2">
      <c r="A90" s="4"/>
      <c r="B90" s="4"/>
    </row>
    <row r="91" spans="1:2" x14ac:dyDescent="0.2">
      <c r="A91" s="4"/>
      <c r="B91" s="4"/>
    </row>
    <row r="92" spans="1:2" x14ac:dyDescent="0.2">
      <c r="A92" s="4"/>
      <c r="B92" s="4"/>
    </row>
    <row r="93" spans="1:2" x14ac:dyDescent="0.2">
      <c r="A93" s="4"/>
      <c r="B93" s="4"/>
    </row>
    <row r="94" spans="1:2" x14ac:dyDescent="0.2">
      <c r="A94" s="4"/>
      <c r="B94" s="4"/>
    </row>
    <row r="95" spans="1:2" x14ac:dyDescent="0.2">
      <c r="A95" s="4"/>
      <c r="B95" s="4"/>
    </row>
    <row r="96" spans="1:2" x14ac:dyDescent="0.2">
      <c r="A96" s="4"/>
      <c r="B96" s="4"/>
    </row>
    <row r="97" spans="1:9" x14ac:dyDescent="0.2">
      <c r="A97" s="4"/>
      <c r="B97" s="4"/>
    </row>
    <row r="98" spans="1:9" x14ac:dyDescent="0.2">
      <c r="A98" s="4"/>
      <c r="B98" s="4"/>
    </row>
    <row r="99" spans="1:9" x14ac:dyDescent="0.2">
      <c r="A99" s="4"/>
      <c r="B99" s="4"/>
      <c r="C99" s="4"/>
      <c r="D99" s="4"/>
      <c r="E99" s="4"/>
      <c r="F99" s="4"/>
      <c r="G99" s="4"/>
      <c r="H99" s="8"/>
      <c r="I99" s="4"/>
    </row>
    <row r="100" spans="1:9" x14ac:dyDescent="0.2">
      <c r="A100" s="4"/>
      <c r="B100" s="4"/>
      <c r="C100" s="4"/>
      <c r="D100" s="4"/>
      <c r="E100" s="4"/>
      <c r="F100" s="4"/>
      <c r="G100" s="4"/>
      <c r="H100" s="8"/>
      <c r="I100" s="4"/>
    </row>
    <row r="101" spans="1:9" x14ac:dyDescent="0.2">
      <c r="A101" s="4"/>
      <c r="B101" s="4"/>
      <c r="C101" s="4"/>
      <c r="D101" s="4"/>
      <c r="E101" s="4"/>
      <c r="F101" s="4"/>
      <c r="G101" s="4"/>
      <c r="H101" s="8"/>
      <c r="I101" s="4"/>
    </row>
    <row r="102" spans="1:9" x14ac:dyDescent="0.2">
      <c r="A102" s="4"/>
      <c r="B102" s="4"/>
      <c r="C102" s="4"/>
      <c r="D102" s="4"/>
      <c r="E102" s="4"/>
      <c r="F102" s="4"/>
      <c r="G102" s="4"/>
      <c r="H102" s="8"/>
      <c r="I102" s="4"/>
    </row>
  </sheetData>
  <autoFilter ref="C21:I59" xr:uid="{00000000-0001-0000-0000-000000000000}">
    <filterColumn colId="1" showButton="0"/>
  </autoFilter>
  <mergeCells count="37">
    <mergeCell ref="D45:E45"/>
    <mergeCell ref="D46:E46"/>
    <mergeCell ref="D48:E48"/>
    <mergeCell ref="D49:E49"/>
    <mergeCell ref="D47:E47"/>
    <mergeCell ref="D35:E35"/>
    <mergeCell ref="D36:E36"/>
    <mergeCell ref="D37:E37"/>
    <mergeCell ref="D29:E29"/>
    <mergeCell ref="D31:E31"/>
    <mergeCell ref="D32:E32"/>
    <mergeCell ref="D33:E33"/>
    <mergeCell ref="D34:E34"/>
    <mergeCell ref="G21:G22"/>
    <mergeCell ref="E6:H6"/>
    <mergeCell ref="C17:F17"/>
    <mergeCell ref="C19:I19"/>
    <mergeCell ref="E7:I7"/>
    <mergeCell ref="C21:C22"/>
    <mergeCell ref="D21:E22"/>
    <mergeCell ref="F21:F22"/>
    <mergeCell ref="C53:H53"/>
    <mergeCell ref="D28:E28"/>
    <mergeCell ref="D50:E50"/>
    <mergeCell ref="D24:E24"/>
    <mergeCell ref="D25:E25"/>
    <mergeCell ref="D26:E26"/>
    <mergeCell ref="D27:E27"/>
    <mergeCell ref="D30:E30"/>
    <mergeCell ref="C51:E51"/>
    <mergeCell ref="D44:E44"/>
    <mergeCell ref="D43:E43"/>
    <mergeCell ref="D42:E42"/>
    <mergeCell ref="D41:E41"/>
    <mergeCell ref="D40:E40"/>
    <mergeCell ref="D39:E39"/>
    <mergeCell ref="D38:E38"/>
  </mergeCells>
  <phoneticPr fontId="21" type="noConversion"/>
  <printOptions horizontalCentered="1"/>
  <pageMargins left="0.16" right="0.25" top="0.19685039370078741" bottom="0.19685039370078741" header="0.31496062992125984" footer="0.31496062992125984"/>
  <pageSetup paperSize="9" scale="92" orientation="portrait" horizontalDpi="180" verticalDpi="180" r:id="rId1"/>
  <drawing r:id="rId2"/>
  <legacyDrawing r:id="rId3"/>
  <oleObjects>
    <mc:AlternateContent xmlns:mc="http://schemas.openxmlformats.org/markup-compatibility/2006">
      <mc:Choice Requires="x14">
        <oleObject progId="Word.Picture.8" shapeId="2049" r:id="rId4">
          <objectPr defaultSize="0" autoPict="0" r:id="rId5">
            <anchor moveWithCells="1" sizeWithCells="1">
              <from>
                <xdr:col>0</xdr:col>
                <xdr:colOff>114300</xdr:colOff>
                <xdr:row>0</xdr:row>
                <xdr:rowOff>19050</xdr:rowOff>
              </from>
              <to>
                <xdr:col>3</xdr:col>
                <xdr:colOff>428625</xdr:colOff>
                <xdr:row>6</xdr:row>
                <xdr:rowOff>95250</xdr:rowOff>
              </to>
            </anchor>
          </objectPr>
        </oleObject>
      </mc:Choice>
      <mc:Fallback>
        <oleObject progId="Word.Picture.8" shapeId="2049" r:id="rId4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8E4AF8-8CC5-4053-8D2B-2DAF92F9EA38}">
  <dimension ref="A2:N90"/>
  <sheetViews>
    <sheetView topLeftCell="A22" zoomScale="115" zoomScaleNormal="115" workbookViewId="0">
      <selection activeCell="C11" sqref="C11:E11"/>
    </sheetView>
  </sheetViews>
  <sheetFormatPr baseColWidth="10" defaultColWidth="11.5703125" defaultRowHeight="12.75" x14ac:dyDescent="0.2"/>
  <cols>
    <col min="1" max="1" width="1.85546875" style="1" customWidth="1"/>
    <col min="2" max="2" width="2.140625" style="1" customWidth="1"/>
    <col min="3" max="3" width="4.28515625" style="1" customWidth="1"/>
    <col min="4" max="4" width="13" style="1" customWidth="1"/>
    <col min="5" max="5" width="24.28515625" style="1" customWidth="1"/>
    <col min="6" max="6" width="12" style="1" bestFit="1" customWidth="1"/>
    <col min="7" max="7" width="13.28515625" style="1" bestFit="1" customWidth="1"/>
    <col min="8" max="8" width="12.28515625" style="7" bestFit="1" customWidth="1"/>
    <col min="9" max="9" width="13" style="1" customWidth="1"/>
    <col min="10" max="10" width="16.85546875" style="66" bestFit="1" customWidth="1"/>
    <col min="11" max="11" width="21.42578125" style="1" bestFit="1" customWidth="1"/>
    <col min="12" max="12" width="11.5703125" style="7" customWidth="1"/>
    <col min="13" max="13" width="12.28515625" style="1" bestFit="1" customWidth="1"/>
    <col min="14" max="16384" width="11.5703125" style="1"/>
  </cols>
  <sheetData>
    <row r="2" spans="1:12" ht="33.75" x14ac:dyDescent="0.5">
      <c r="E2" s="9" t="s">
        <v>0</v>
      </c>
    </row>
    <row r="3" spans="1:12" ht="6" customHeight="1" x14ac:dyDescent="0.2">
      <c r="I3" s="10"/>
      <c r="J3" s="67"/>
    </row>
    <row r="4" spans="1:12" x14ac:dyDescent="0.2">
      <c r="E4" s="10" t="s">
        <v>1</v>
      </c>
      <c r="F4" s="10"/>
      <c r="G4" s="10"/>
      <c r="H4" s="10"/>
    </row>
    <row r="5" spans="1:12" x14ac:dyDescent="0.2">
      <c r="E5" s="10" t="s">
        <v>2</v>
      </c>
      <c r="F5" s="10"/>
      <c r="G5" s="10"/>
      <c r="H5" s="11"/>
    </row>
    <row r="6" spans="1:12" x14ac:dyDescent="0.2">
      <c r="E6" s="211" t="s">
        <v>3</v>
      </c>
      <c r="F6" s="211"/>
      <c r="G6" s="211"/>
      <c r="H6" s="211"/>
    </row>
    <row r="7" spans="1:12" x14ac:dyDescent="0.2">
      <c r="E7" s="217" t="s">
        <v>16</v>
      </c>
      <c r="F7" s="217"/>
      <c r="G7" s="217"/>
      <c r="H7" s="217"/>
      <c r="I7" s="217"/>
      <c r="J7" s="68"/>
    </row>
    <row r="8" spans="1:12" x14ac:dyDescent="0.2">
      <c r="E8" s="12"/>
      <c r="F8" s="12"/>
      <c r="G8" s="12"/>
      <c r="H8" s="13"/>
    </row>
    <row r="9" spans="1:12" ht="13.5" thickBot="1" x14ac:dyDescent="0.25"/>
    <row r="10" spans="1:12" ht="5.45" customHeight="1" thickTop="1" x14ac:dyDescent="0.2">
      <c r="A10" s="4"/>
      <c r="B10" s="14"/>
      <c r="C10" s="15"/>
      <c r="D10" s="15"/>
      <c r="E10" s="15"/>
      <c r="F10" s="15"/>
      <c r="G10" s="15"/>
      <c r="H10" s="16"/>
      <c r="I10" s="15"/>
    </row>
    <row r="11" spans="1:12" s="2" customFormat="1" ht="25.9" customHeight="1" thickBot="1" x14ac:dyDescent="0.3">
      <c r="A11" s="17"/>
      <c r="B11" s="18"/>
      <c r="C11" s="223" t="e">
        <f>#REF!</f>
        <v>#REF!</v>
      </c>
      <c r="D11" s="223"/>
      <c r="E11" s="223"/>
      <c r="F11" s="21"/>
      <c r="G11" s="21"/>
      <c r="H11" s="22"/>
      <c r="I11" s="21"/>
      <c r="J11" s="69"/>
      <c r="L11" s="77"/>
    </row>
    <row r="12" spans="1:12" ht="18" customHeight="1" x14ac:dyDescent="0.25">
      <c r="A12" s="4"/>
      <c r="B12" s="23"/>
      <c r="C12" s="24" t="s">
        <v>21</v>
      </c>
      <c r="D12" s="25"/>
      <c r="E12" s="25"/>
      <c r="F12" s="26"/>
      <c r="G12" s="26"/>
      <c r="H12" s="27"/>
      <c r="I12" s="28"/>
      <c r="J12" s="69"/>
    </row>
    <row r="13" spans="1:12" ht="18" x14ac:dyDescent="0.25">
      <c r="A13" s="4"/>
      <c r="B13" s="23"/>
      <c r="C13" s="29" t="s">
        <v>4</v>
      </c>
      <c r="D13" s="30"/>
      <c r="E13" s="30"/>
      <c r="F13" s="21"/>
      <c r="G13" s="21"/>
      <c r="H13" s="22"/>
      <c r="I13" s="31"/>
      <c r="J13" s="69"/>
    </row>
    <row r="14" spans="1:12" ht="18" x14ac:dyDescent="0.25">
      <c r="A14" s="4"/>
      <c r="B14" s="23"/>
      <c r="C14" s="32" t="s">
        <v>22</v>
      </c>
      <c r="D14" s="30"/>
      <c r="E14" s="30"/>
      <c r="F14" s="21"/>
      <c r="G14" s="21"/>
      <c r="H14" s="22"/>
      <c r="I14" s="31"/>
      <c r="J14" s="69"/>
    </row>
    <row r="15" spans="1:12" ht="18" x14ac:dyDescent="0.25">
      <c r="A15" s="4"/>
      <c r="B15" s="23"/>
      <c r="C15" s="32" t="s">
        <v>23</v>
      </c>
      <c r="D15" s="30"/>
      <c r="E15" s="30"/>
      <c r="F15" s="21"/>
      <c r="G15" s="21"/>
      <c r="H15" s="22"/>
      <c r="I15" s="31"/>
      <c r="J15" s="69"/>
    </row>
    <row r="16" spans="1:12" ht="18" x14ac:dyDescent="0.25">
      <c r="A16" s="4"/>
      <c r="B16" s="23"/>
      <c r="C16" s="33" t="s">
        <v>24</v>
      </c>
      <c r="D16" s="30"/>
      <c r="E16" s="30"/>
      <c r="F16" s="34"/>
      <c r="G16" s="34"/>
      <c r="H16" s="22"/>
      <c r="I16" s="31"/>
      <c r="J16" s="69"/>
    </row>
    <row r="17" spans="1:14" ht="18.75" customHeight="1" thickBot="1" x14ac:dyDescent="0.3">
      <c r="A17" s="4"/>
      <c r="B17" s="23"/>
      <c r="C17" s="212" t="s">
        <v>5</v>
      </c>
      <c r="D17" s="213"/>
      <c r="E17" s="213"/>
      <c r="F17" s="213"/>
      <c r="G17" s="35"/>
      <c r="H17" s="36"/>
      <c r="I17" s="37"/>
      <c r="J17" s="69"/>
    </row>
    <row r="18" spans="1:14" ht="16.5" thickBot="1" x14ac:dyDescent="0.3">
      <c r="A18" s="4"/>
      <c r="B18" s="23"/>
      <c r="C18" s="38"/>
      <c r="D18" s="39"/>
      <c r="E18" s="39"/>
      <c r="F18" s="21"/>
      <c r="G18" s="21"/>
      <c r="H18" s="22"/>
      <c r="I18" s="21"/>
      <c r="J18" s="69"/>
    </row>
    <row r="19" spans="1:14" ht="16.5" thickBot="1" x14ac:dyDescent="0.3">
      <c r="A19" s="4"/>
      <c r="B19" s="23"/>
      <c r="C19" s="214" t="s">
        <v>118</v>
      </c>
      <c r="D19" s="215"/>
      <c r="E19" s="215"/>
      <c r="F19" s="215"/>
      <c r="G19" s="215"/>
      <c r="H19" s="215"/>
      <c r="I19" s="216"/>
      <c r="J19" s="70"/>
    </row>
    <row r="20" spans="1:14" ht="13.5" thickBot="1" x14ac:dyDescent="0.25">
      <c r="A20" s="4"/>
      <c r="B20" s="23"/>
      <c r="C20" s="21"/>
      <c r="D20" s="21"/>
      <c r="E20" s="21"/>
      <c r="F20" s="21"/>
      <c r="G20" s="21"/>
      <c r="H20" s="22"/>
      <c r="I20" s="21"/>
      <c r="J20" s="69"/>
    </row>
    <row r="21" spans="1:14" x14ac:dyDescent="0.2">
      <c r="A21" s="4"/>
      <c r="B21" s="23"/>
      <c r="C21" s="209" t="s">
        <v>6</v>
      </c>
      <c r="D21" s="218" t="s">
        <v>7</v>
      </c>
      <c r="E21" s="219"/>
      <c r="F21" s="209" t="s">
        <v>8</v>
      </c>
      <c r="G21" s="209" t="s">
        <v>9</v>
      </c>
      <c r="H21" s="40" t="s">
        <v>10</v>
      </c>
      <c r="I21" s="41" t="s">
        <v>11</v>
      </c>
      <c r="J21" s="71" t="s">
        <v>36</v>
      </c>
      <c r="K21" s="85">
        <v>0.5</v>
      </c>
      <c r="L21" s="7" t="s">
        <v>46</v>
      </c>
    </row>
    <row r="22" spans="1:14" ht="13.5" thickBot="1" x14ac:dyDescent="0.25">
      <c r="A22" s="4"/>
      <c r="B22" s="23"/>
      <c r="C22" s="210"/>
      <c r="D22" s="206"/>
      <c r="E22" s="220"/>
      <c r="F22" s="210"/>
      <c r="G22" s="210"/>
      <c r="H22" s="42" t="s">
        <v>12</v>
      </c>
      <c r="I22" s="42" t="s">
        <v>12</v>
      </c>
      <c r="J22" s="71" t="s">
        <v>37</v>
      </c>
      <c r="K22" s="85">
        <v>3400</v>
      </c>
      <c r="L22" s="7" t="s">
        <v>45</v>
      </c>
    </row>
    <row r="23" spans="1:14" s="3" customFormat="1" x14ac:dyDescent="0.2">
      <c r="A23" s="21"/>
      <c r="B23" s="43"/>
      <c r="C23" s="44">
        <v>1</v>
      </c>
      <c r="D23" s="204" t="e">
        <f>#REF!</f>
        <v>#REF!</v>
      </c>
      <c r="E23" s="205"/>
      <c r="F23" s="44" t="e">
        <f>#REF!</f>
        <v>#REF!</v>
      </c>
      <c r="G23" s="141" t="e">
        <f>F23*2.4/1000</f>
        <v>#REF!</v>
      </c>
      <c r="H23" s="141">
        <f>'FP230130 Auto'!H23</f>
        <v>3.9239999999999999</v>
      </c>
      <c r="I23" s="62" t="e">
        <f t="shared" ref="I23:I38" si="0">F23*H23</f>
        <v>#REF!</v>
      </c>
      <c r="J23" s="83" t="s">
        <v>38</v>
      </c>
      <c r="K23" s="86">
        <f>K21/K22*1000</f>
        <v>0.14705882352941174</v>
      </c>
      <c r="L23" s="78" t="s">
        <v>47</v>
      </c>
    </row>
    <row r="24" spans="1:14" s="3" customFormat="1" x14ac:dyDescent="0.2">
      <c r="A24" s="21"/>
      <c r="B24" s="43"/>
      <c r="C24" s="44">
        <f t="shared" ref="C24:C31" si="1">+C23+1</f>
        <v>2</v>
      </c>
      <c r="D24" s="204" t="e">
        <f>#REF!</f>
        <v>#REF!</v>
      </c>
      <c r="E24" s="205"/>
      <c r="F24" s="44" t="e">
        <f>#REF!</f>
        <v>#REF!</v>
      </c>
      <c r="G24" s="141" t="e">
        <f t="shared" ref="G24:G28" si="2">F24*2.4/1000</f>
        <v>#REF!</v>
      </c>
      <c r="H24" s="141">
        <v>5.2619999999999996</v>
      </c>
      <c r="I24" s="62" t="e">
        <f t="shared" si="0"/>
        <v>#REF!</v>
      </c>
      <c r="J24" s="72" t="s">
        <v>39</v>
      </c>
      <c r="K24" s="76">
        <f>VLOOKUP(C39,'FP230130 Auto'!C23:I54,7,FALSE)</f>
        <v>15150.02</v>
      </c>
      <c r="L24" s="78" t="s">
        <v>44</v>
      </c>
      <c r="M24" s="84"/>
    </row>
    <row r="25" spans="1:14" s="3" customFormat="1" x14ac:dyDescent="0.2">
      <c r="A25" s="21"/>
      <c r="B25" s="43"/>
      <c r="C25" s="44">
        <f t="shared" si="1"/>
        <v>3</v>
      </c>
      <c r="D25" s="204" t="e">
        <f>#REF!</f>
        <v>#REF!</v>
      </c>
      <c r="E25" s="205"/>
      <c r="F25" s="44" t="e">
        <f>#REF!</f>
        <v>#REF!</v>
      </c>
      <c r="G25" s="141" t="e">
        <f t="shared" si="2"/>
        <v>#REF!</v>
      </c>
      <c r="H25" s="141">
        <f>'FP230130 Auto'!H25</f>
        <v>1.409</v>
      </c>
      <c r="I25" s="62" t="e">
        <f t="shared" si="0"/>
        <v>#REF!</v>
      </c>
      <c r="J25" s="72" t="s">
        <v>40</v>
      </c>
      <c r="K25" s="76">
        <f>'FP230130 Auto'!I30+'FP230130 Auto'!I29</f>
        <v>121.30000000000001</v>
      </c>
      <c r="L25" s="78" t="s">
        <v>43</v>
      </c>
      <c r="M25" s="84"/>
    </row>
    <row r="26" spans="1:14" s="3" customFormat="1" x14ac:dyDescent="0.2">
      <c r="A26" s="21"/>
      <c r="B26" s="43"/>
      <c r="C26" s="44">
        <v>1</v>
      </c>
      <c r="D26" s="204" t="e">
        <f>#REF!</f>
        <v>#REF!</v>
      </c>
      <c r="E26" s="205"/>
      <c r="F26" s="44" t="e">
        <f>#REF!</f>
        <v>#REF!</v>
      </c>
      <c r="G26" s="141" t="e">
        <f>F26*L43/1000</f>
        <v>#REF!</v>
      </c>
      <c r="H26" s="141">
        <f>'FP230130 Auto'!H26</f>
        <v>1.409</v>
      </c>
      <c r="I26" s="62" t="e">
        <f t="shared" si="0"/>
        <v>#REF!</v>
      </c>
      <c r="J26" s="72" t="s">
        <v>41</v>
      </c>
      <c r="K26" s="76" t="e">
        <f>'FP230130 Auto'!I50-(SUM(I23:I28)-SUM('FP230130 Auto'!I23:I28))</f>
        <v>#REF!</v>
      </c>
      <c r="L26" s="78" t="s">
        <v>58</v>
      </c>
    </row>
    <row r="27" spans="1:14" s="3" customFormat="1" x14ac:dyDescent="0.2">
      <c r="A27" s="21"/>
      <c r="B27" s="43"/>
      <c r="C27" s="44">
        <f t="shared" si="1"/>
        <v>2</v>
      </c>
      <c r="D27" s="204" t="e">
        <f>#REF!</f>
        <v>#REF!</v>
      </c>
      <c r="E27" s="205"/>
      <c r="F27" s="44" t="e">
        <f>#REF!</f>
        <v>#REF!</v>
      </c>
      <c r="G27" s="141" t="e">
        <f>F27*L42/1000</f>
        <v>#REF!</v>
      </c>
      <c r="H27" s="141">
        <f>'FP230130 Auto'!H27</f>
        <v>5.0190000000000001</v>
      </c>
      <c r="I27" s="62" t="e">
        <f t="shared" si="0"/>
        <v>#REF!</v>
      </c>
      <c r="J27" s="72" t="s">
        <v>42</v>
      </c>
      <c r="K27" s="84" t="e">
        <f>K26/K22</f>
        <v>#REF!</v>
      </c>
      <c r="L27" s="78" t="s">
        <v>48</v>
      </c>
    </row>
    <row r="28" spans="1:14" s="3" customFormat="1" x14ac:dyDescent="0.2">
      <c r="A28" s="21"/>
      <c r="B28" s="43"/>
      <c r="C28" s="44">
        <f t="shared" si="1"/>
        <v>3</v>
      </c>
      <c r="D28" s="204" t="e">
        <f>#REF!</f>
        <v>#REF!</v>
      </c>
      <c r="E28" s="205"/>
      <c r="F28" s="44" t="e">
        <f>#REF!</f>
        <v>#REF!</v>
      </c>
      <c r="G28" s="141" t="e">
        <f t="shared" si="2"/>
        <v>#REF!</v>
      </c>
      <c r="H28" s="141">
        <f>'FP230130 Auto'!H28</f>
        <v>3.7669999999999999</v>
      </c>
      <c r="I28" s="62" t="e">
        <f t="shared" si="0"/>
        <v>#REF!</v>
      </c>
      <c r="J28" s="72"/>
      <c r="K28" s="76"/>
      <c r="L28" s="78"/>
    </row>
    <row r="29" spans="1:14" s="3" customFormat="1" x14ac:dyDescent="0.2">
      <c r="A29" s="21"/>
      <c r="B29" s="43"/>
      <c r="C29" s="44">
        <f t="shared" si="1"/>
        <v>4</v>
      </c>
      <c r="D29" s="204" t="e">
        <f>#REF!</f>
        <v>#REF!</v>
      </c>
      <c r="E29" s="205"/>
      <c r="F29" s="44" t="e">
        <f>#REF!</f>
        <v>#REF!</v>
      </c>
      <c r="G29" s="141" t="e">
        <f>F29*0.33/1000</f>
        <v>#REF!</v>
      </c>
      <c r="H29" s="141">
        <v>1.72</v>
      </c>
      <c r="I29" s="62" t="e">
        <f t="shared" si="0"/>
        <v>#REF!</v>
      </c>
      <c r="J29" s="72" t="s">
        <v>103</v>
      </c>
      <c r="K29" s="84" t="e">
        <f>K21/#REF!</f>
        <v>#REF!</v>
      </c>
      <c r="L29" s="138" t="s">
        <v>104</v>
      </c>
    </row>
    <row r="30" spans="1:14" s="3" customFormat="1" ht="13.5" thickBot="1" x14ac:dyDescent="0.25">
      <c r="A30" s="21"/>
      <c r="B30" s="43"/>
      <c r="C30" s="44">
        <v>4</v>
      </c>
      <c r="D30" s="204" t="e">
        <f>#REF!</f>
        <v>#REF!</v>
      </c>
      <c r="E30" s="205"/>
      <c r="F30" s="44" t="e">
        <f>#REF!</f>
        <v>#REF!</v>
      </c>
      <c r="G30" s="141" t="e">
        <f>F30*0.33/1000</f>
        <v>#REF!</v>
      </c>
      <c r="H30" s="141">
        <v>1.71</v>
      </c>
      <c r="I30" s="62" t="e">
        <f t="shared" si="0"/>
        <v>#REF!</v>
      </c>
      <c r="J30" s="72"/>
      <c r="K30" s="84"/>
      <c r="L30" s="78"/>
      <c r="N30" s="3">
        <v>3624</v>
      </c>
    </row>
    <row r="31" spans="1:14" s="3" customFormat="1" hidden="1" x14ac:dyDescent="0.2">
      <c r="A31" s="21"/>
      <c r="B31" s="43"/>
      <c r="C31" s="44">
        <f t="shared" si="1"/>
        <v>5</v>
      </c>
      <c r="D31" s="204" t="e">
        <f>#REF!</f>
        <v>#REF!</v>
      </c>
      <c r="E31" s="205"/>
      <c r="F31" s="44" t="e">
        <f>#REF!</f>
        <v>#REF!</v>
      </c>
      <c r="G31" s="141" t="e">
        <f>#REF!</f>
        <v>#REF!</v>
      </c>
      <c r="H31" s="141">
        <f>'FP230130 Auto'!H31</f>
        <v>4.0129999999999999</v>
      </c>
      <c r="I31" s="62" t="e">
        <f t="shared" si="0"/>
        <v>#REF!</v>
      </c>
      <c r="J31" s="72"/>
      <c r="K31" s="139" t="e">
        <f t="shared" ref="K31:K37" si="3">G23+(F23*K$29)</f>
        <v>#REF!</v>
      </c>
      <c r="L31" s="78"/>
    </row>
    <row r="32" spans="1:14" s="3" customFormat="1" hidden="1" x14ac:dyDescent="0.2">
      <c r="A32" s="21"/>
      <c r="B32" s="43"/>
      <c r="C32" s="44">
        <v>10</v>
      </c>
      <c r="D32" s="204" t="e">
        <f>#REF!</f>
        <v>#REF!</v>
      </c>
      <c r="E32" s="205"/>
      <c r="F32" s="44" t="e">
        <f>#REF!</f>
        <v>#REF!</v>
      </c>
      <c r="G32" s="141" t="e">
        <f>#REF!</f>
        <v>#REF!</v>
      </c>
      <c r="H32" s="141">
        <f>'FP230130 Auto'!H32</f>
        <v>2.5710000000000002</v>
      </c>
      <c r="I32" s="62" t="e">
        <f t="shared" si="0"/>
        <v>#REF!</v>
      </c>
      <c r="J32" s="72"/>
      <c r="K32" s="139" t="e">
        <f t="shared" si="3"/>
        <v>#REF!</v>
      </c>
      <c r="L32" s="78"/>
    </row>
    <row r="33" spans="1:13" s="3" customFormat="1" hidden="1" x14ac:dyDescent="0.2">
      <c r="A33" s="21"/>
      <c r="B33" s="43"/>
      <c r="C33" s="44" t="e">
        <f>#REF!</f>
        <v>#REF!</v>
      </c>
      <c r="D33" s="204" t="e">
        <f>#REF!</f>
        <v>#REF!</v>
      </c>
      <c r="E33" s="205"/>
      <c r="F33" s="44" t="e">
        <f>#REF!</f>
        <v>#REF!</v>
      </c>
      <c r="G33" s="141" t="e">
        <f>#REF!</f>
        <v>#REF!</v>
      </c>
      <c r="H33" s="141">
        <f>'FP230130 Auto'!H33</f>
        <v>6.73</v>
      </c>
      <c r="I33" s="62" t="e">
        <f t="shared" si="0"/>
        <v>#REF!</v>
      </c>
      <c r="J33" s="155"/>
      <c r="K33" s="139" t="e">
        <f t="shared" si="3"/>
        <v>#REF!</v>
      </c>
      <c r="L33" s="78"/>
    </row>
    <row r="34" spans="1:13" s="3" customFormat="1" hidden="1" x14ac:dyDescent="0.2">
      <c r="A34" s="21"/>
      <c r="B34" s="43"/>
      <c r="C34" s="44" t="e">
        <f>#REF!</f>
        <v>#REF!</v>
      </c>
      <c r="D34" s="204" t="e">
        <f>#REF!</f>
        <v>#REF!</v>
      </c>
      <c r="E34" s="205"/>
      <c r="F34" s="44" t="e">
        <f>#REF!</f>
        <v>#REF!</v>
      </c>
      <c r="G34" s="141" t="e">
        <f>#REF!</f>
        <v>#REF!</v>
      </c>
      <c r="H34" s="141">
        <f>'FP230130 Auto'!H34</f>
        <v>4.4720000000000004</v>
      </c>
      <c r="I34" s="62" t="e">
        <f t="shared" si="0"/>
        <v>#REF!</v>
      </c>
      <c r="J34" s="72"/>
      <c r="K34" s="139" t="e">
        <f t="shared" si="3"/>
        <v>#REF!</v>
      </c>
      <c r="L34" s="78"/>
    </row>
    <row r="35" spans="1:13" s="3" customFormat="1" hidden="1" x14ac:dyDescent="0.2">
      <c r="A35" s="21"/>
      <c r="B35" s="43"/>
      <c r="C35" s="44" t="e">
        <f>#REF!</f>
        <v>#REF!</v>
      </c>
      <c r="D35" s="204" t="e">
        <f>#REF!</f>
        <v>#REF!</v>
      </c>
      <c r="E35" s="205"/>
      <c r="F35" s="44" t="e">
        <f>#REF!</f>
        <v>#REF!</v>
      </c>
      <c r="G35" s="141" t="e">
        <f>#REF!</f>
        <v>#REF!</v>
      </c>
      <c r="H35" s="141">
        <f>'FP230130 Auto'!H35</f>
        <v>3.242</v>
      </c>
      <c r="I35" s="62" t="e">
        <f t="shared" si="0"/>
        <v>#REF!</v>
      </c>
      <c r="J35" s="72">
        <f>300/0.6</f>
        <v>500</v>
      </c>
      <c r="K35" s="139" t="e">
        <f t="shared" si="3"/>
        <v>#REF!</v>
      </c>
      <c r="L35" s="78"/>
    </row>
    <row r="36" spans="1:13" s="3" customFormat="1" hidden="1" x14ac:dyDescent="0.2">
      <c r="A36" s="21"/>
      <c r="B36" s="43"/>
      <c r="C36" s="44" t="e">
        <f>#REF!</f>
        <v>#REF!</v>
      </c>
      <c r="D36" s="204" t="e">
        <f>#REF!</f>
        <v>#REF!</v>
      </c>
      <c r="E36" s="205"/>
      <c r="F36" s="44" t="e">
        <f>#REF!</f>
        <v>#REF!</v>
      </c>
      <c r="G36" s="141" t="e">
        <f>#REF!</f>
        <v>#REF!</v>
      </c>
      <c r="H36" s="141">
        <f>'FP230130 Auto'!H36</f>
        <v>7.3220000000000001</v>
      </c>
      <c r="I36" s="62" t="e">
        <f t="shared" si="0"/>
        <v>#REF!</v>
      </c>
      <c r="J36" s="142">
        <f>0.6/300</f>
        <v>2E-3</v>
      </c>
      <c r="K36" s="139" t="e">
        <f t="shared" si="3"/>
        <v>#REF!</v>
      </c>
      <c r="L36" s="78"/>
    </row>
    <row r="37" spans="1:13" s="3" customFormat="1" hidden="1" x14ac:dyDescent="0.2">
      <c r="A37" s="21"/>
      <c r="B37" s="43"/>
      <c r="C37" s="44" t="e">
        <f>#REF!</f>
        <v>#REF!</v>
      </c>
      <c r="D37" s="204" t="e">
        <f>#REF!</f>
        <v>#REF!</v>
      </c>
      <c r="E37" s="205"/>
      <c r="F37" s="44" t="e">
        <f>#REF!</f>
        <v>#REF!</v>
      </c>
      <c r="G37" s="141" t="e">
        <f>#REF!</f>
        <v>#REF!</v>
      </c>
      <c r="H37" s="141">
        <f>'FP230130 Auto'!H43</f>
        <v>7.266</v>
      </c>
      <c r="I37" s="62" t="e">
        <f t="shared" si="0"/>
        <v>#REF!</v>
      </c>
      <c r="J37" s="72"/>
      <c r="K37" s="139" t="e">
        <f t="shared" si="3"/>
        <v>#REF!</v>
      </c>
      <c r="L37" s="78"/>
    </row>
    <row r="38" spans="1:13" s="3" customFormat="1" ht="13.5" hidden="1" thickBot="1" x14ac:dyDescent="0.25">
      <c r="A38" s="21"/>
      <c r="B38" s="43"/>
      <c r="C38" s="44" t="e">
        <f>#REF!</f>
        <v>#REF!</v>
      </c>
      <c r="D38" s="204" t="e">
        <f>#REF!</f>
        <v>#REF!</v>
      </c>
      <c r="E38" s="205"/>
      <c r="F38" s="44" t="e">
        <f>#REF!</f>
        <v>#REF!</v>
      </c>
      <c r="G38" s="141" t="e">
        <f>#REF!</f>
        <v>#REF!</v>
      </c>
      <c r="H38" s="141">
        <f>'FP230130 Auto'!H44</f>
        <v>4.673</v>
      </c>
      <c r="I38" s="62" t="e">
        <f t="shared" si="0"/>
        <v>#REF!</v>
      </c>
      <c r="J38" s="72"/>
      <c r="K38" s="139" t="e">
        <f t="shared" ref="K38:K50" si="4">G30+(F30*K$29)</f>
        <v>#REF!</v>
      </c>
      <c r="L38" s="78"/>
    </row>
    <row r="39" spans="1:13" ht="13.5" thickBot="1" x14ac:dyDescent="0.25">
      <c r="A39" s="4"/>
      <c r="B39" s="23"/>
      <c r="C39" s="221" t="s">
        <v>13</v>
      </c>
      <c r="D39" s="207"/>
      <c r="E39" s="222"/>
      <c r="F39" s="51" t="e">
        <f>SUM(F23:F38)</f>
        <v>#REF!</v>
      </c>
      <c r="G39" s="52" t="e">
        <f>SUM(G23:G38)</f>
        <v>#REF!</v>
      </c>
      <c r="H39" s="53"/>
      <c r="I39" s="82" t="e">
        <f>SUM(I23:I38)</f>
        <v>#REF!</v>
      </c>
      <c r="J39" s="156" t="e">
        <f>G23/F23*1000</f>
        <v>#REF!</v>
      </c>
      <c r="K39" s="139" t="e">
        <f t="shared" si="4"/>
        <v>#REF!</v>
      </c>
      <c r="M39" s="1">
        <v>2.4</v>
      </c>
    </row>
    <row r="40" spans="1:13" x14ac:dyDescent="0.2">
      <c r="A40" s="4"/>
      <c r="B40" s="23"/>
      <c r="C40" s="54" t="s">
        <v>14</v>
      </c>
      <c r="D40" s="55"/>
      <c r="E40" s="55"/>
      <c r="F40" s="55"/>
      <c r="G40" s="55"/>
      <c r="H40" s="27"/>
      <c r="I40" s="56"/>
      <c r="J40" s="156" t="e">
        <f t="shared" ref="J40:J46" si="5">G24/F24*1000</f>
        <v>#REF!</v>
      </c>
      <c r="K40" s="139" t="e">
        <f t="shared" si="4"/>
        <v>#REF!</v>
      </c>
      <c r="M40" s="1">
        <v>2.4</v>
      </c>
    </row>
    <row r="41" spans="1:13" ht="15.75" x14ac:dyDescent="0.2">
      <c r="A41" s="4"/>
      <c r="B41" s="23"/>
      <c r="C41" s="202" t="e">
        <f>#REF!</f>
        <v>#REF!</v>
      </c>
      <c r="D41" s="203"/>
      <c r="E41" s="203"/>
      <c r="F41" s="203"/>
      <c r="G41" s="203"/>
      <c r="H41" s="203"/>
      <c r="I41" s="57"/>
      <c r="J41" s="156" t="e">
        <f t="shared" si="5"/>
        <v>#REF!</v>
      </c>
      <c r="K41" s="139" t="e">
        <f t="shared" si="4"/>
        <v>#REF!</v>
      </c>
      <c r="M41" s="1">
        <v>1.6666666666666667</v>
      </c>
    </row>
    <row r="42" spans="1:13" x14ac:dyDescent="0.2">
      <c r="A42" s="4"/>
      <c r="B42" s="23"/>
      <c r="C42" s="58" t="e">
        <f>#REF!</f>
        <v>#REF!</v>
      </c>
      <c r="D42" s="21"/>
      <c r="E42" s="21"/>
      <c r="F42" s="21"/>
      <c r="G42" s="21"/>
      <c r="H42" s="22"/>
      <c r="I42" s="31"/>
      <c r="J42" s="156" t="e">
        <f t="shared" si="5"/>
        <v>#REF!</v>
      </c>
      <c r="K42" s="139" t="e">
        <f t="shared" si="4"/>
        <v>#REF!</v>
      </c>
      <c r="L42" s="7">
        <v>2.4</v>
      </c>
      <c r="M42" s="1">
        <v>3</v>
      </c>
    </row>
    <row r="43" spans="1:13" x14ac:dyDescent="0.2">
      <c r="A43" s="4"/>
      <c r="B43" s="23"/>
      <c r="C43" s="58" t="e">
        <f>#REF!</f>
        <v>#REF!</v>
      </c>
      <c r="D43" s="21"/>
      <c r="E43" s="21"/>
      <c r="F43" s="21"/>
      <c r="G43" s="21"/>
      <c r="H43" s="22"/>
      <c r="I43" s="31"/>
      <c r="J43" s="156" t="e">
        <f t="shared" si="5"/>
        <v>#REF!</v>
      </c>
      <c r="K43" s="139" t="e">
        <f t="shared" si="4"/>
        <v>#REF!</v>
      </c>
      <c r="L43" s="7">
        <v>3.2700000000000395</v>
      </c>
      <c r="M43" s="1">
        <v>2.8</v>
      </c>
    </row>
    <row r="44" spans="1:13" x14ac:dyDescent="0.2">
      <c r="A44" s="4"/>
      <c r="B44" s="23"/>
      <c r="C44" s="58" t="e">
        <f>#REF!</f>
        <v>#REF!</v>
      </c>
      <c r="D44" s="21"/>
      <c r="E44" s="21"/>
      <c r="F44" s="21"/>
      <c r="G44" s="21"/>
      <c r="H44" s="22"/>
      <c r="I44" s="31"/>
      <c r="J44" s="156" t="e">
        <f t="shared" si="5"/>
        <v>#REF!</v>
      </c>
      <c r="K44" s="139" t="e">
        <f t="shared" si="4"/>
        <v>#REF!</v>
      </c>
      <c r="M44" s="1">
        <v>2</v>
      </c>
    </row>
    <row r="45" spans="1:13" x14ac:dyDescent="0.2">
      <c r="A45" s="4"/>
      <c r="B45" s="59"/>
      <c r="C45" s="58" t="e">
        <f>#REF!</f>
        <v>#REF!</v>
      </c>
      <c r="D45" s="21"/>
      <c r="E45" s="21"/>
      <c r="F45" s="21"/>
      <c r="G45" s="21"/>
      <c r="H45" s="22"/>
      <c r="I45" s="31"/>
      <c r="J45" s="156" t="e">
        <f t="shared" si="5"/>
        <v>#REF!</v>
      </c>
      <c r="K45" s="139" t="e">
        <f t="shared" si="4"/>
        <v>#REF!</v>
      </c>
      <c r="M45" s="1">
        <v>330</v>
      </c>
    </row>
    <row r="46" spans="1:13" x14ac:dyDescent="0.2">
      <c r="A46" s="4"/>
      <c r="B46" s="59"/>
      <c r="C46" s="58" t="e">
        <f>#REF!</f>
        <v>#REF!</v>
      </c>
      <c r="D46" s="21"/>
      <c r="E46" s="21"/>
      <c r="F46" s="21"/>
      <c r="G46" s="21"/>
      <c r="H46" s="22"/>
      <c r="I46" s="31"/>
      <c r="J46" s="156" t="e">
        <f t="shared" si="5"/>
        <v>#REF!</v>
      </c>
      <c r="K46" s="139" t="e">
        <f t="shared" si="4"/>
        <v>#REF!</v>
      </c>
      <c r="M46" s="1">
        <v>330</v>
      </c>
    </row>
    <row r="47" spans="1:13" x14ac:dyDescent="0.2">
      <c r="A47" s="4"/>
      <c r="B47" s="59"/>
      <c r="C47" s="81" t="e">
        <f>#REF!</f>
        <v>#REF!</v>
      </c>
      <c r="D47" s="21"/>
      <c r="E47" s="21"/>
      <c r="F47" s="21"/>
      <c r="G47" s="21"/>
      <c r="H47" s="22"/>
      <c r="I47" s="31"/>
      <c r="J47" s="69"/>
      <c r="K47" s="139" t="e">
        <f t="shared" si="4"/>
        <v>#REF!</v>
      </c>
    </row>
    <row r="48" spans="1:13" x14ac:dyDescent="0.2">
      <c r="A48" s="4"/>
      <c r="B48" s="59"/>
      <c r="C48" s="58"/>
      <c r="D48" s="21"/>
      <c r="E48" s="21"/>
      <c r="F48" s="21"/>
      <c r="G48" s="21"/>
      <c r="H48" s="22"/>
      <c r="I48" s="31"/>
      <c r="J48" s="69"/>
      <c r="K48" s="139" t="e">
        <f t="shared" si="4"/>
        <v>#REF!</v>
      </c>
    </row>
    <row r="49" spans="1:11" ht="13.5" thickBot="1" x14ac:dyDescent="0.25">
      <c r="A49" s="4"/>
      <c r="B49" s="59"/>
      <c r="C49" s="60"/>
      <c r="D49" s="61"/>
      <c r="E49" s="61"/>
      <c r="F49" s="61"/>
      <c r="G49" s="61"/>
      <c r="H49" s="36"/>
      <c r="I49" s="37"/>
      <c r="J49" s="69"/>
      <c r="K49" s="139" t="e">
        <f t="shared" si="4"/>
        <v>#REF!</v>
      </c>
    </row>
    <row r="50" spans="1:11" x14ac:dyDescent="0.2">
      <c r="A50" s="4"/>
      <c r="B50" s="4"/>
      <c r="C50" s="5"/>
      <c r="D50" s="5"/>
      <c r="E50" s="5"/>
      <c r="F50" s="5"/>
      <c r="G50" s="5"/>
      <c r="H50" s="6"/>
      <c r="I50" s="5"/>
      <c r="J50" s="75"/>
      <c r="K50" s="139" t="e">
        <f t="shared" si="4"/>
        <v>#REF!</v>
      </c>
    </row>
    <row r="51" spans="1:11" x14ac:dyDescent="0.2">
      <c r="A51" s="4"/>
      <c r="B51" s="4"/>
      <c r="C51" s="5"/>
      <c r="D51" s="5"/>
      <c r="E51" s="5"/>
      <c r="F51" s="5"/>
      <c r="G51" s="5"/>
      <c r="H51" s="6"/>
      <c r="I51" s="5"/>
      <c r="J51" s="75"/>
    </row>
    <row r="52" spans="1:11" x14ac:dyDescent="0.2">
      <c r="A52" s="4"/>
      <c r="B52" s="4"/>
    </row>
    <row r="53" spans="1:11" x14ac:dyDescent="0.2">
      <c r="A53" s="4"/>
      <c r="B53" s="4"/>
    </row>
    <row r="54" spans="1:11" x14ac:dyDescent="0.2">
      <c r="A54" s="4"/>
      <c r="B54" s="4"/>
    </row>
    <row r="55" spans="1:11" x14ac:dyDescent="0.2">
      <c r="A55" s="4"/>
      <c r="B55" s="4"/>
    </row>
    <row r="56" spans="1:11" x14ac:dyDescent="0.2">
      <c r="A56" s="4"/>
      <c r="B56" s="4"/>
    </row>
    <row r="57" spans="1:11" x14ac:dyDescent="0.2">
      <c r="A57" s="4"/>
      <c r="B57" s="4"/>
    </row>
    <row r="58" spans="1:11" x14ac:dyDescent="0.2">
      <c r="A58" s="4"/>
      <c r="B58" s="4"/>
    </row>
    <row r="59" spans="1:11" x14ac:dyDescent="0.2">
      <c r="A59" s="4"/>
      <c r="B59" s="4"/>
    </row>
    <row r="60" spans="1:11" x14ac:dyDescent="0.2">
      <c r="A60" s="4"/>
      <c r="B60" s="4"/>
    </row>
    <row r="61" spans="1:11" x14ac:dyDescent="0.2">
      <c r="A61" s="4"/>
      <c r="B61" s="4"/>
    </row>
    <row r="62" spans="1:11" x14ac:dyDescent="0.2">
      <c r="A62" s="4"/>
      <c r="B62" s="4"/>
    </row>
    <row r="63" spans="1:11" x14ac:dyDescent="0.2">
      <c r="A63" s="4"/>
      <c r="B63" s="4"/>
    </row>
    <row r="64" spans="1:11" x14ac:dyDescent="0.2">
      <c r="A64" s="4"/>
      <c r="B64" s="4"/>
    </row>
    <row r="65" spans="1:2" x14ac:dyDescent="0.2">
      <c r="A65" s="4"/>
      <c r="B65" s="4"/>
    </row>
    <row r="66" spans="1:2" x14ac:dyDescent="0.2">
      <c r="A66" s="4"/>
      <c r="B66" s="4"/>
    </row>
    <row r="67" spans="1:2" x14ac:dyDescent="0.2">
      <c r="A67" s="4"/>
      <c r="B67" s="4"/>
    </row>
    <row r="68" spans="1:2" x14ac:dyDescent="0.2">
      <c r="A68" s="4"/>
      <c r="B68" s="4"/>
    </row>
    <row r="69" spans="1:2" x14ac:dyDescent="0.2">
      <c r="A69" s="4"/>
      <c r="B69" s="4"/>
    </row>
    <row r="70" spans="1:2" x14ac:dyDescent="0.2">
      <c r="A70" s="4"/>
      <c r="B70" s="4"/>
    </row>
    <row r="71" spans="1:2" x14ac:dyDescent="0.2">
      <c r="A71" s="4"/>
      <c r="B71" s="4"/>
    </row>
    <row r="72" spans="1:2" x14ac:dyDescent="0.2">
      <c r="A72" s="4"/>
      <c r="B72" s="4"/>
    </row>
    <row r="73" spans="1:2" x14ac:dyDescent="0.2">
      <c r="A73" s="4"/>
      <c r="B73" s="4"/>
    </row>
    <row r="74" spans="1:2" x14ac:dyDescent="0.2">
      <c r="A74" s="4"/>
      <c r="B74" s="4"/>
    </row>
    <row r="75" spans="1:2" x14ac:dyDescent="0.2">
      <c r="A75" s="4"/>
      <c r="B75" s="4"/>
    </row>
    <row r="76" spans="1:2" x14ac:dyDescent="0.2">
      <c r="A76" s="4"/>
      <c r="B76" s="4"/>
    </row>
    <row r="77" spans="1:2" x14ac:dyDescent="0.2">
      <c r="A77" s="4"/>
      <c r="B77" s="4"/>
    </row>
    <row r="78" spans="1:2" x14ac:dyDescent="0.2">
      <c r="A78" s="4"/>
      <c r="B78" s="4"/>
    </row>
    <row r="79" spans="1:2" x14ac:dyDescent="0.2">
      <c r="A79" s="4"/>
      <c r="B79" s="4"/>
    </row>
    <row r="80" spans="1:2" x14ac:dyDescent="0.2">
      <c r="A80" s="4"/>
      <c r="B80" s="4"/>
    </row>
    <row r="81" spans="1:9" x14ac:dyDescent="0.2">
      <c r="A81" s="4"/>
      <c r="B81" s="4"/>
    </row>
    <row r="82" spans="1:9" x14ac:dyDescent="0.2">
      <c r="A82" s="4"/>
      <c r="B82" s="4"/>
    </row>
    <row r="83" spans="1:9" x14ac:dyDescent="0.2">
      <c r="A83" s="4"/>
      <c r="B83" s="4"/>
    </row>
    <row r="84" spans="1:9" x14ac:dyDescent="0.2">
      <c r="A84" s="4"/>
      <c r="B84" s="4"/>
    </row>
    <row r="85" spans="1:9" x14ac:dyDescent="0.2">
      <c r="A85" s="4"/>
      <c r="B85" s="4"/>
    </row>
    <row r="86" spans="1:9" x14ac:dyDescent="0.2">
      <c r="A86" s="4"/>
      <c r="B86" s="4"/>
    </row>
    <row r="87" spans="1:9" x14ac:dyDescent="0.2">
      <c r="A87" s="4"/>
      <c r="B87" s="4"/>
      <c r="C87" s="4"/>
      <c r="D87" s="4"/>
      <c r="E87" s="4"/>
      <c r="F87" s="4"/>
      <c r="G87" s="4"/>
      <c r="H87" s="8"/>
      <c r="I87" s="4"/>
    </row>
    <row r="88" spans="1:9" x14ac:dyDescent="0.2">
      <c r="A88" s="4"/>
      <c r="B88" s="4"/>
      <c r="C88" s="4"/>
      <c r="D88" s="4"/>
      <c r="E88" s="4"/>
      <c r="F88" s="4"/>
      <c r="G88" s="4"/>
      <c r="H88" s="8"/>
      <c r="I88" s="4"/>
    </row>
    <row r="89" spans="1:9" x14ac:dyDescent="0.2">
      <c r="A89" s="4"/>
      <c r="B89" s="4"/>
      <c r="C89" s="4"/>
      <c r="D89" s="4"/>
      <c r="E89" s="4"/>
      <c r="F89" s="4"/>
      <c r="G89" s="4"/>
      <c r="H89" s="8"/>
      <c r="I89" s="4"/>
    </row>
    <row r="90" spans="1:9" x14ac:dyDescent="0.2">
      <c r="A90" s="4"/>
      <c r="B90" s="4"/>
      <c r="C90" s="4"/>
      <c r="D90" s="4"/>
      <c r="E90" s="4"/>
      <c r="F90" s="4"/>
      <c r="G90" s="4"/>
      <c r="H90" s="8"/>
      <c r="I90" s="4"/>
    </row>
  </sheetData>
  <mergeCells count="27">
    <mergeCell ref="D35:E35"/>
    <mergeCell ref="D36:E36"/>
    <mergeCell ref="E6:H6"/>
    <mergeCell ref="E7:I7"/>
    <mergeCell ref="C17:F17"/>
    <mergeCell ref="C19:I19"/>
    <mergeCell ref="C21:C22"/>
    <mergeCell ref="D21:E22"/>
    <mergeCell ref="F21:F22"/>
    <mergeCell ref="G21:G22"/>
    <mergeCell ref="C11:E11"/>
    <mergeCell ref="D37:E37"/>
    <mergeCell ref="D38:E38"/>
    <mergeCell ref="D30:E30"/>
    <mergeCell ref="C41:H41"/>
    <mergeCell ref="D23:E23"/>
    <mergeCell ref="D24:E24"/>
    <mergeCell ref="D25:E25"/>
    <mergeCell ref="D26:E26"/>
    <mergeCell ref="D27:E27"/>
    <mergeCell ref="D28:E28"/>
    <mergeCell ref="C39:E39"/>
    <mergeCell ref="D29:E29"/>
    <mergeCell ref="D31:E31"/>
    <mergeCell ref="D32:E32"/>
    <mergeCell ref="D33:E33"/>
    <mergeCell ref="D34:E34"/>
  </mergeCells>
  <printOptions horizontalCentered="1"/>
  <pageMargins left="0.16" right="0.25" top="0.19685039370078741" bottom="0.19685039370078741" header="0.31496062992125984" footer="0.31496062992125984"/>
  <pageSetup paperSize="9" orientation="portrait" horizontalDpi="4294967293" verticalDpi="180" r:id="rId1"/>
  <drawing r:id="rId2"/>
  <legacyDrawing r:id="rId3"/>
  <oleObjects>
    <mc:AlternateContent xmlns:mc="http://schemas.openxmlformats.org/markup-compatibility/2006">
      <mc:Choice Requires="x14">
        <oleObject progId="Word.Picture.8" shapeId="4097" r:id="rId4">
          <objectPr defaultSize="0" autoPict="0" r:id="rId5">
            <anchor moveWithCells="1" sizeWithCells="1">
              <from>
                <xdr:col>0</xdr:col>
                <xdr:colOff>28575</xdr:colOff>
                <xdr:row>0</xdr:row>
                <xdr:rowOff>9525</xdr:rowOff>
              </from>
              <to>
                <xdr:col>3</xdr:col>
                <xdr:colOff>342900</xdr:colOff>
                <xdr:row>6</xdr:row>
                <xdr:rowOff>85725</xdr:rowOff>
              </to>
            </anchor>
          </objectPr>
        </oleObject>
      </mc:Choice>
      <mc:Fallback>
        <oleObject progId="Word.Picture.8" shapeId="4097" r:id="rId4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4AD270-3018-44C3-A31F-192C0E4111BB}">
  <sheetPr filterMode="1">
    <pageSetUpPr fitToPage="1"/>
  </sheetPr>
  <dimension ref="A2:O101"/>
  <sheetViews>
    <sheetView view="pageBreakPreview" topLeftCell="A42" zoomScaleNormal="115" zoomScaleSheetLayoutView="100" workbookViewId="0">
      <selection activeCell="F56" sqref="F56"/>
    </sheetView>
  </sheetViews>
  <sheetFormatPr baseColWidth="10" defaultColWidth="11.5703125" defaultRowHeight="12.75" x14ac:dyDescent="0.2"/>
  <cols>
    <col min="1" max="1" width="1.85546875" style="1" customWidth="1"/>
    <col min="2" max="2" width="2.140625" style="1" customWidth="1"/>
    <col min="3" max="3" width="4.28515625" style="1" customWidth="1"/>
    <col min="4" max="4" width="13.28515625" style="1" customWidth="1"/>
    <col min="5" max="5" width="24.7109375" style="1" customWidth="1"/>
    <col min="6" max="6" width="16.140625" style="1" bestFit="1" customWidth="1"/>
    <col min="7" max="7" width="12.85546875" style="1" customWidth="1"/>
    <col min="8" max="8" width="16.140625" style="7" bestFit="1" customWidth="1"/>
    <col min="9" max="9" width="13" style="1" customWidth="1"/>
    <col min="10" max="10" width="13" style="66" customWidth="1"/>
    <col min="11" max="11" width="15.140625" style="1" customWidth="1"/>
    <col min="12" max="12" width="11.5703125" style="7" customWidth="1"/>
    <col min="13" max="13" width="6.85546875" style="1" customWidth="1"/>
    <col min="14" max="16384" width="11.5703125" style="1"/>
  </cols>
  <sheetData>
    <row r="2" spans="1:14" ht="33.75" x14ac:dyDescent="0.5">
      <c r="E2" s="9" t="s">
        <v>0</v>
      </c>
      <c r="K2" s="1" t="s">
        <v>127</v>
      </c>
      <c r="L2" s="174">
        <f>'FP230130 Auto'!$L$2</f>
        <v>16</v>
      </c>
    </row>
    <row r="3" spans="1:14" ht="6" customHeight="1" x14ac:dyDescent="0.2">
      <c r="I3" s="10"/>
      <c r="J3" s="67"/>
    </row>
    <row r="4" spans="1:14" x14ac:dyDescent="0.2">
      <c r="E4" s="10" t="s">
        <v>1</v>
      </c>
      <c r="F4" s="10"/>
      <c r="G4" s="10"/>
      <c r="H4" s="10"/>
    </row>
    <row r="5" spans="1:14" x14ac:dyDescent="0.2">
      <c r="E5" s="10" t="s">
        <v>2</v>
      </c>
      <c r="F5" s="10"/>
      <c r="G5" s="10"/>
      <c r="H5" s="11"/>
    </row>
    <row r="6" spans="1:14" x14ac:dyDescent="0.2">
      <c r="E6" s="211" t="s">
        <v>3</v>
      </c>
      <c r="F6" s="211"/>
      <c r="G6" s="211"/>
      <c r="H6" s="211"/>
    </row>
    <row r="7" spans="1:14" x14ac:dyDescent="0.2">
      <c r="E7" s="217" t="s">
        <v>16</v>
      </c>
      <c r="F7" s="217"/>
      <c r="G7" s="217"/>
      <c r="H7" s="217"/>
      <c r="I7" s="217"/>
      <c r="J7" s="68"/>
    </row>
    <row r="8" spans="1:14" x14ac:dyDescent="0.2">
      <c r="E8" s="12"/>
      <c r="F8" s="12"/>
      <c r="G8" s="12"/>
      <c r="H8" s="13"/>
    </row>
    <row r="9" spans="1:14" ht="13.5" thickBot="1" x14ac:dyDescent="0.25"/>
    <row r="10" spans="1:14" ht="5.45" customHeight="1" thickTop="1" x14ac:dyDescent="0.2">
      <c r="A10" s="4"/>
      <c r="B10" s="14"/>
      <c r="C10" s="15"/>
      <c r="D10" s="15"/>
      <c r="E10" s="15"/>
      <c r="F10" s="15"/>
      <c r="G10" s="15"/>
      <c r="H10" s="16"/>
      <c r="I10" s="15"/>
    </row>
    <row r="11" spans="1:14" s="2" customFormat="1" ht="25.9" customHeight="1" thickBot="1" x14ac:dyDescent="0.3">
      <c r="A11" s="17"/>
      <c r="B11" s="18"/>
      <c r="C11" s="19" t="s">
        <v>154</v>
      </c>
      <c r="D11" s="19"/>
      <c r="E11" s="20"/>
      <c r="F11" s="21"/>
      <c r="G11" s="21"/>
      <c r="H11" s="22"/>
      <c r="I11" s="21"/>
      <c r="J11" s="69"/>
      <c r="K11" s="164"/>
      <c r="L11" s="165"/>
      <c r="M11" s="166"/>
      <c r="N11" s="118"/>
    </row>
    <row r="12" spans="1:14" ht="18" customHeight="1" x14ac:dyDescent="0.25">
      <c r="A12" s="4"/>
      <c r="B12" s="23"/>
      <c r="C12" s="24" t="s">
        <v>21</v>
      </c>
      <c r="D12" s="25"/>
      <c r="E12" s="25"/>
      <c r="F12" s="26"/>
      <c r="G12" s="26"/>
      <c r="H12" s="27"/>
      <c r="I12" s="28"/>
      <c r="J12" s="69"/>
      <c r="K12" s="164"/>
      <c r="L12" s="165"/>
      <c r="M12" s="166"/>
      <c r="N12" s="118"/>
    </row>
    <row r="13" spans="1:14" ht="18.75" x14ac:dyDescent="0.25">
      <c r="A13" s="4"/>
      <c r="B13" s="23"/>
      <c r="C13" s="29" t="s">
        <v>4</v>
      </c>
      <c r="D13" s="30"/>
      <c r="E13" s="30"/>
      <c r="F13" s="21"/>
      <c r="G13" s="21"/>
      <c r="H13" s="22"/>
      <c r="I13" s="31"/>
      <c r="J13" s="69"/>
      <c r="K13" s="164"/>
      <c r="L13" s="165"/>
      <c r="M13" s="166"/>
      <c r="N13" s="118"/>
    </row>
    <row r="14" spans="1:14" ht="18.75" x14ac:dyDescent="0.25">
      <c r="A14" s="4"/>
      <c r="B14" s="23"/>
      <c r="C14" s="32" t="s">
        <v>22</v>
      </c>
      <c r="D14" s="30"/>
      <c r="E14" s="30"/>
      <c r="F14" s="21"/>
      <c r="G14" s="21"/>
      <c r="H14" s="22"/>
      <c r="I14" s="31"/>
      <c r="J14" s="69"/>
      <c r="K14" s="164"/>
      <c r="L14" s="165"/>
      <c r="M14" s="166"/>
      <c r="N14" s="118"/>
    </row>
    <row r="15" spans="1:14" ht="18.75" x14ac:dyDescent="0.25">
      <c r="A15" s="4"/>
      <c r="B15" s="23"/>
      <c r="C15" s="32" t="s">
        <v>23</v>
      </c>
      <c r="D15" s="30"/>
      <c r="E15" s="30"/>
      <c r="F15" s="21"/>
      <c r="G15" s="21"/>
      <c r="H15" s="22"/>
      <c r="I15" s="31"/>
      <c r="J15" s="69"/>
      <c r="K15" s="164"/>
      <c r="L15" s="165"/>
      <c r="M15" s="166"/>
      <c r="N15" s="118"/>
    </row>
    <row r="16" spans="1:14" ht="18.75" x14ac:dyDescent="0.25">
      <c r="A16" s="4"/>
      <c r="B16" s="23"/>
      <c r="C16" s="33" t="s">
        <v>24</v>
      </c>
      <c r="D16" s="30"/>
      <c r="E16" s="30"/>
      <c r="F16" s="34"/>
      <c r="G16" s="34"/>
      <c r="H16" s="22"/>
      <c r="I16" s="31"/>
      <c r="J16" s="69"/>
      <c r="K16" s="164"/>
      <c r="L16" s="165"/>
      <c r="M16" s="166"/>
      <c r="N16" s="118"/>
    </row>
    <row r="17" spans="1:15" ht="18.75" customHeight="1" thickBot="1" x14ac:dyDescent="0.3">
      <c r="A17" s="4"/>
      <c r="B17" s="23"/>
      <c r="C17" s="212" t="s">
        <v>5</v>
      </c>
      <c r="D17" s="213"/>
      <c r="E17" s="213"/>
      <c r="F17" s="213"/>
      <c r="G17" s="35"/>
      <c r="H17" s="36"/>
      <c r="I17" s="37"/>
      <c r="J17" s="69"/>
      <c r="K17" s="164"/>
      <c r="L17" s="165"/>
      <c r="M17" s="166"/>
      <c r="N17" s="118"/>
    </row>
    <row r="18" spans="1:15" ht="19.5" thickBot="1" x14ac:dyDescent="0.3">
      <c r="A18" s="4"/>
      <c r="B18" s="23"/>
      <c r="C18" s="38"/>
      <c r="D18" s="39"/>
      <c r="E18" s="39"/>
      <c r="F18" s="21"/>
      <c r="G18" s="21"/>
      <c r="H18" s="22"/>
      <c r="I18" s="21"/>
      <c r="J18" s="69"/>
      <c r="K18" s="164"/>
      <c r="L18" s="165"/>
      <c r="M18" s="166"/>
      <c r="N18" s="118"/>
    </row>
    <row r="19" spans="1:15" ht="19.5" thickBot="1" x14ac:dyDescent="0.3">
      <c r="A19" s="4"/>
      <c r="B19" s="23"/>
      <c r="C19" s="214" t="s">
        <v>155</v>
      </c>
      <c r="D19" s="215"/>
      <c r="E19" s="215"/>
      <c r="F19" s="215"/>
      <c r="G19" s="215"/>
      <c r="H19" s="215"/>
      <c r="I19" s="216"/>
      <c r="J19" s="70"/>
      <c r="K19" s="164"/>
      <c r="L19" s="165"/>
      <c r="M19" s="166"/>
      <c r="N19" s="118"/>
    </row>
    <row r="20" spans="1:15" ht="19.5" thickBot="1" x14ac:dyDescent="0.3">
      <c r="A20" s="4"/>
      <c r="B20" s="23"/>
      <c r="C20" s="21"/>
      <c r="D20" s="21"/>
      <c r="E20" s="21"/>
      <c r="F20" s="21"/>
      <c r="G20" s="21"/>
      <c r="H20" s="22"/>
      <c r="I20" s="21"/>
      <c r="J20" s="69"/>
      <c r="K20" s="118"/>
      <c r="L20" s="164"/>
      <c r="M20" s="165"/>
      <c r="N20" s="166"/>
      <c r="O20" s="118"/>
    </row>
    <row r="21" spans="1:15" ht="18.75" x14ac:dyDescent="0.25">
      <c r="A21" s="4"/>
      <c r="B21" s="23"/>
      <c r="C21" s="209" t="s">
        <v>6</v>
      </c>
      <c r="D21" s="218" t="s">
        <v>7</v>
      </c>
      <c r="E21" s="219"/>
      <c r="F21" s="209" t="s">
        <v>8</v>
      </c>
      <c r="G21" s="209" t="s">
        <v>9</v>
      </c>
      <c r="H21" s="40" t="s">
        <v>10</v>
      </c>
      <c r="I21" s="41" t="s">
        <v>11</v>
      </c>
      <c r="J21" s="71"/>
      <c r="K21" s="118"/>
      <c r="L21" s="164"/>
      <c r="M21" s="165"/>
      <c r="N21" s="166"/>
      <c r="O21" s="118"/>
    </row>
    <row r="22" spans="1:15" ht="19.5" thickBot="1" x14ac:dyDescent="0.3">
      <c r="A22" s="4"/>
      <c r="B22" s="23"/>
      <c r="C22" s="210"/>
      <c r="D22" s="206"/>
      <c r="E22" s="220"/>
      <c r="F22" s="210"/>
      <c r="G22" s="210"/>
      <c r="H22" s="42" t="s">
        <v>12</v>
      </c>
      <c r="I22" s="42" t="s">
        <v>12</v>
      </c>
      <c r="J22" s="71"/>
      <c r="K22" s="118"/>
      <c r="L22" s="164"/>
      <c r="M22" s="165"/>
      <c r="N22" s="166"/>
      <c r="O22" s="118"/>
    </row>
    <row r="23" spans="1:15" s="3" customFormat="1" ht="15.75" hidden="1" customHeight="1" x14ac:dyDescent="0.25">
      <c r="A23" s="21"/>
      <c r="B23" s="43"/>
      <c r="C23" s="44"/>
      <c r="D23" s="168" t="s">
        <v>105</v>
      </c>
      <c r="E23" s="163"/>
      <c r="F23" s="44">
        <f>+VLOOKUP(D23,Tarif!A:S,19,FALSE)</f>
        <v>0</v>
      </c>
      <c r="G23" s="64">
        <f>VLOOKUP(D23,Tarif!A:V,22,0)/1000</f>
        <v>0</v>
      </c>
      <c r="H23" s="140">
        <f>MROUND((+VLOOKUP(D23,Tarif!A:R,$L$2,FALSE)+Tarif!$V$1),0.001)</f>
        <v>4.2960000000000003</v>
      </c>
      <c r="I23" s="62">
        <f>H23*F23</f>
        <v>0</v>
      </c>
      <c r="J23" s="72"/>
      <c r="K23" s="118"/>
      <c r="L23" s="178"/>
      <c r="M23" s="165"/>
      <c r="N23" s="166"/>
      <c r="O23" s="118"/>
    </row>
    <row r="24" spans="1:15" s="3" customFormat="1" ht="15" hidden="1" customHeight="1" x14ac:dyDescent="0.25">
      <c r="A24" s="21"/>
      <c r="B24" s="43"/>
      <c r="C24" s="44"/>
      <c r="D24" s="204" t="s">
        <v>109</v>
      </c>
      <c r="E24" s="205"/>
      <c r="F24" s="44">
        <f>+VLOOKUP(D24,Tarif!A:S,19,FALSE)</f>
        <v>0</v>
      </c>
      <c r="G24" s="64">
        <f>VLOOKUP(D24,Tarif!A:V,22,0)/1000</f>
        <v>0</v>
      </c>
      <c r="H24" s="140">
        <f>MROUND((+VLOOKUP(D24,Tarif!A:R,$L$2,FALSE)+Tarif!$V$1),0.001)</f>
        <v>3.2789999999999999</v>
      </c>
      <c r="I24" s="62">
        <f>H24*F24</f>
        <v>0</v>
      </c>
      <c r="J24" s="72"/>
      <c r="K24" s="118"/>
      <c r="L24" s="178"/>
      <c r="M24" s="165"/>
      <c r="N24" s="166"/>
      <c r="O24" s="118"/>
    </row>
    <row r="25" spans="1:15" s="3" customFormat="1" ht="14.25" customHeight="1" x14ac:dyDescent="0.25">
      <c r="A25" s="21"/>
      <c r="B25" s="43"/>
      <c r="C25" s="44">
        <v>1</v>
      </c>
      <c r="D25" s="204" t="s">
        <v>29</v>
      </c>
      <c r="E25" s="205"/>
      <c r="F25" s="44">
        <f>+VLOOKUP(D25,Tarif!A:S,19,FALSE)</f>
        <v>500</v>
      </c>
      <c r="G25" s="64">
        <f>VLOOKUP(D25,Tarif!A:V,22,0)/1000</f>
        <v>0.49598784194528878</v>
      </c>
      <c r="H25" s="140">
        <f>MROUND((+VLOOKUP(D25,Tarif!A:R,$L$2,FALSE)+Tarif!$V$1),0.001)</f>
        <v>1.7810000000000001</v>
      </c>
      <c r="I25" s="62">
        <f>H25*F25</f>
        <v>890.50000000000011</v>
      </c>
      <c r="J25" s="72"/>
      <c r="K25" s="118"/>
      <c r="L25" s="178"/>
      <c r="M25" s="165"/>
      <c r="N25" s="166"/>
      <c r="O25" s="118"/>
    </row>
    <row r="26" spans="1:15" s="3" customFormat="1" ht="12.75" customHeight="1" x14ac:dyDescent="0.25">
      <c r="A26" s="21"/>
      <c r="B26" s="43"/>
      <c r="C26" s="44">
        <v>2</v>
      </c>
      <c r="D26" s="204" t="s">
        <v>31</v>
      </c>
      <c r="E26" s="205"/>
      <c r="F26" s="44">
        <f>+VLOOKUP(D26,Tarif!A:S,19,FALSE)</f>
        <v>800</v>
      </c>
      <c r="G26" s="64">
        <f>VLOOKUP(D26,Tarif!A:V,22,0)/1000</f>
        <v>0.50078054711246189</v>
      </c>
      <c r="H26" s="140">
        <f>MROUND((+VLOOKUP(D26,Tarif!A:R,$L$2,FALSE)+Tarif!$V$1),0.001)</f>
        <v>1.7810000000000001</v>
      </c>
      <c r="I26" s="62">
        <f>H26*F26</f>
        <v>1424.8000000000002</v>
      </c>
      <c r="J26" s="72"/>
      <c r="K26" s="164"/>
      <c r="L26" s="178"/>
      <c r="M26" s="166"/>
      <c r="N26" s="118"/>
    </row>
    <row r="27" spans="1:15" s="3" customFormat="1" ht="15.75" customHeight="1" x14ac:dyDescent="0.25">
      <c r="A27" s="21"/>
      <c r="B27" s="43"/>
      <c r="C27" s="44">
        <v>3</v>
      </c>
      <c r="D27" s="204" t="s">
        <v>106</v>
      </c>
      <c r="E27" s="205"/>
      <c r="F27" s="44">
        <f>+VLOOKUP(D27,Tarif!A:S,19,FALSE)</f>
        <v>100</v>
      </c>
      <c r="G27" s="64">
        <f>VLOOKUP(D27,Tarif!A:V,22,0)/1000</f>
        <v>0.16419756838905775</v>
      </c>
      <c r="H27" s="140">
        <f>MROUND((+VLOOKUP(D27,Tarif!A:R,$L$2,FALSE)+Tarif!$V$1),0.001)</f>
        <v>5.391</v>
      </c>
      <c r="I27" s="62">
        <f>H27*F27</f>
        <v>539.1</v>
      </c>
      <c r="J27" s="72"/>
      <c r="K27" s="164"/>
      <c r="L27" s="178"/>
      <c r="M27" s="166"/>
      <c r="N27" s="118"/>
    </row>
    <row r="28" spans="1:15" s="3" customFormat="1" ht="15.75" customHeight="1" x14ac:dyDescent="0.25">
      <c r="A28" s="21"/>
      <c r="B28" s="43"/>
      <c r="C28" s="44">
        <v>4</v>
      </c>
      <c r="D28" s="204" t="s">
        <v>107</v>
      </c>
      <c r="E28" s="205"/>
      <c r="F28" s="44">
        <f>+VLOOKUP(D28,Tarif!A:S,19,FALSE)</f>
        <v>80</v>
      </c>
      <c r="G28" s="64">
        <f>VLOOKUP(D28,Tarif!A:V,22,0)/1000</f>
        <v>0.11375805471124621</v>
      </c>
      <c r="H28" s="140">
        <f>MROUND((+VLOOKUP(D28,Tarif!A:R,$L$2,FALSE)+Tarif!$V$1),0.001)</f>
        <v>4.1390000000000002</v>
      </c>
      <c r="I28" s="62">
        <f t="shared" ref="I28:I48" si="0">H28*F28</f>
        <v>331.12</v>
      </c>
      <c r="J28" s="72"/>
      <c r="K28" s="164"/>
      <c r="L28" s="178"/>
      <c r="M28" s="166"/>
      <c r="N28" s="118"/>
    </row>
    <row r="29" spans="1:15" s="3" customFormat="1" ht="15.75" customHeight="1" x14ac:dyDescent="0.25">
      <c r="A29" s="21"/>
      <c r="B29" s="43"/>
      <c r="C29" s="44">
        <v>5</v>
      </c>
      <c r="D29" s="204" t="s">
        <v>108</v>
      </c>
      <c r="E29" s="205"/>
      <c r="F29" s="44">
        <f>+VLOOKUP(D29,Tarif!A:S,19,FALSE)</f>
        <v>50</v>
      </c>
      <c r="G29" s="64">
        <f>VLOOKUP(D29,Tarif!A:V,22,0)/1000</f>
        <v>4.8598784194528878E-2</v>
      </c>
      <c r="H29" s="140">
        <f>MROUND((+VLOOKUP(D29,Tarif!A:R,$L$2,FALSE)+Tarif!$V$1),0.001)+0.9248</f>
        <v>3.7227999999999999</v>
      </c>
      <c r="I29" s="62">
        <f t="shared" si="0"/>
        <v>186.14</v>
      </c>
      <c r="J29" s="72"/>
      <c r="K29" s="164"/>
      <c r="L29" s="178"/>
      <c r="M29" s="166"/>
      <c r="N29" s="118"/>
    </row>
    <row r="30" spans="1:15" s="3" customFormat="1" ht="15" hidden="1" customHeight="1" x14ac:dyDescent="0.25">
      <c r="A30" s="21"/>
      <c r="B30" s="43"/>
      <c r="C30" s="44"/>
      <c r="D30" s="204" t="s">
        <v>124</v>
      </c>
      <c r="E30" s="205"/>
      <c r="F30" s="44">
        <f>+VLOOKUP(D30,Tarif!A:S,19,FALSE)</f>
        <v>0</v>
      </c>
      <c r="G30" s="64">
        <f>VLOOKUP(D30,Tarif!A:V,22,0)/1000</f>
        <v>0</v>
      </c>
      <c r="H30" s="140">
        <f>MROUND((+VLOOKUP(D30,Tarif!A:R,$L$2,FALSE)+Tarif!$V$1),0.001)</f>
        <v>5.7830000000000004</v>
      </c>
      <c r="I30" s="62">
        <f>H30*F30</f>
        <v>0</v>
      </c>
      <c r="K30" s="164"/>
      <c r="L30" s="178"/>
      <c r="M30" s="166"/>
      <c r="N30" s="118"/>
    </row>
    <row r="31" spans="1:15" s="3" customFormat="1" hidden="1" x14ac:dyDescent="0.2">
      <c r="A31" s="21"/>
      <c r="B31" s="43"/>
      <c r="C31" s="44"/>
      <c r="D31" s="204" t="s">
        <v>125</v>
      </c>
      <c r="E31" s="205"/>
      <c r="F31" s="44">
        <f>+VLOOKUP(D31,Tarif!A:S,19,FALSE)</f>
        <v>0</v>
      </c>
      <c r="G31" s="64">
        <f>VLOOKUP(D31,Tarif!A:V,22,0)/1000</f>
        <v>0</v>
      </c>
      <c r="H31" s="140">
        <f>MROUND((+VLOOKUP(D31,Tarif!A:R,$L$2,FALSE)+Tarif!$V$1),0.001)</f>
        <v>4.3849999999999998</v>
      </c>
      <c r="I31" s="62">
        <f>H31*F31</f>
        <v>0</v>
      </c>
      <c r="L31" s="178"/>
    </row>
    <row r="32" spans="1:15" s="3" customFormat="1" hidden="1" x14ac:dyDescent="0.2">
      <c r="A32" s="21"/>
      <c r="B32" s="43"/>
      <c r="C32" s="44"/>
      <c r="D32" s="204" t="s">
        <v>126</v>
      </c>
      <c r="E32" s="205"/>
      <c r="F32" s="44">
        <f>+VLOOKUP(D32,Tarif!A:S,19,FALSE)</f>
        <v>0</v>
      </c>
      <c r="G32" s="64">
        <f>VLOOKUP(D32,Tarif!A:V,22,0)/1000</f>
        <v>0</v>
      </c>
      <c r="H32" s="140">
        <f>MROUND((+VLOOKUP(D32,Tarif!A:R,$L$2,FALSE)+Tarif!$V$1),0.001)</f>
        <v>2.9430000000000001</v>
      </c>
      <c r="I32" s="62">
        <f>H32*F32</f>
        <v>0</v>
      </c>
      <c r="L32" s="178"/>
    </row>
    <row r="33" spans="1:12" s="3" customFormat="1" hidden="1" x14ac:dyDescent="0.2">
      <c r="A33" s="21"/>
      <c r="B33" s="43"/>
      <c r="C33" s="44"/>
      <c r="D33" s="204" t="s">
        <v>115</v>
      </c>
      <c r="E33" s="205"/>
      <c r="F33" s="44">
        <f>+VLOOKUP(D33,Tarif!A:S,19,FALSE)</f>
        <v>0</v>
      </c>
      <c r="G33" s="64">
        <f>VLOOKUP(D33,Tarif!A:V,22,0)/1000</f>
        <v>0</v>
      </c>
      <c r="H33" s="140">
        <f>MROUND((+VLOOKUP(D33,Tarif!A:R,$L$2,FALSE)+Tarif!$V$1),0.001)</f>
        <v>7.1020000000000003</v>
      </c>
      <c r="I33" s="62">
        <f t="shared" si="0"/>
        <v>0</v>
      </c>
      <c r="L33" s="178"/>
    </row>
    <row r="34" spans="1:12" s="3" customFormat="1" hidden="1" x14ac:dyDescent="0.2">
      <c r="A34" s="21"/>
      <c r="B34" s="43"/>
      <c r="C34" s="44"/>
      <c r="D34" s="204" t="s">
        <v>116</v>
      </c>
      <c r="E34" s="205"/>
      <c r="F34" s="44">
        <f>+VLOOKUP(D34,Tarif!A:S,19,FALSE)</f>
        <v>0</v>
      </c>
      <c r="G34" s="64">
        <f>VLOOKUP(D34,Tarif!A:V,22,0)/1000</f>
        <v>0</v>
      </c>
      <c r="H34" s="140">
        <f>MROUND((+VLOOKUP(D34,Tarif!A:R,$L$2,FALSE)+Tarif!$V$1),0.001)</f>
        <v>4.8440000000000003</v>
      </c>
      <c r="I34" s="62">
        <f t="shared" si="0"/>
        <v>0</v>
      </c>
      <c r="L34" s="178"/>
    </row>
    <row r="35" spans="1:12" s="3" customFormat="1" hidden="1" x14ac:dyDescent="0.2">
      <c r="A35" s="21"/>
      <c r="B35" s="43"/>
      <c r="C35" s="44"/>
      <c r="D35" s="204" t="s">
        <v>117</v>
      </c>
      <c r="E35" s="205"/>
      <c r="F35" s="44">
        <f>+VLOOKUP(D35,Tarif!A:S,19,FALSE)</f>
        <v>0</v>
      </c>
      <c r="G35" s="64">
        <f>VLOOKUP(D35,Tarif!A:V,22,0)/1000</f>
        <v>0</v>
      </c>
      <c r="H35" s="140">
        <f>MROUND((+VLOOKUP(D35,Tarif!A:R,$L$2,FALSE)+Tarif!$V$1),0.001)</f>
        <v>3.6139999999999999</v>
      </c>
      <c r="I35" s="62">
        <f t="shared" si="0"/>
        <v>0</v>
      </c>
      <c r="L35" s="178"/>
    </row>
    <row r="36" spans="1:12" s="3" customFormat="1" x14ac:dyDescent="0.2">
      <c r="A36" s="21"/>
      <c r="B36" s="43"/>
      <c r="C36" s="44">
        <v>6</v>
      </c>
      <c r="D36" s="204" t="s">
        <v>18</v>
      </c>
      <c r="E36" s="205"/>
      <c r="F36" s="44">
        <f>+VLOOKUP(D36,Tarif!A:S,19,FALSE)</f>
        <v>600</v>
      </c>
      <c r="G36" s="64">
        <f>VLOOKUP(D36,Tarif!A:V,22,0)/1000</f>
        <v>1.4183854103343467</v>
      </c>
      <c r="H36" s="140">
        <f>MROUND((+VLOOKUP(D36,Tarif!A:R,$L$2,FALSE)+Tarif!$V$1),0.001)</f>
        <v>7.694</v>
      </c>
      <c r="I36" s="62">
        <f t="shared" si="0"/>
        <v>4616.3999999999996</v>
      </c>
      <c r="L36" s="178"/>
    </row>
    <row r="37" spans="1:12" s="3" customFormat="1" x14ac:dyDescent="0.2">
      <c r="A37" s="21"/>
      <c r="B37" s="43"/>
      <c r="C37" s="44">
        <v>7</v>
      </c>
      <c r="D37" s="204" t="s">
        <v>19</v>
      </c>
      <c r="E37" s="205"/>
      <c r="F37" s="44">
        <f>+VLOOKUP(D37,Tarif!A:S,19,FALSE)</f>
        <v>480</v>
      </c>
      <c r="G37" s="64">
        <f>VLOOKUP(D37,Tarif!A:V,22,0)/1000</f>
        <v>0.9369483282674772</v>
      </c>
      <c r="H37" s="140">
        <v>5.7</v>
      </c>
      <c r="I37" s="62">
        <f t="shared" si="0"/>
        <v>2736</v>
      </c>
      <c r="L37" s="178"/>
    </row>
    <row r="38" spans="1:12" s="3" customFormat="1" ht="15" customHeight="1" x14ac:dyDescent="0.2">
      <c r="A38" s="21"/>
      <c r="B38" s="43"/>
      <c r="C38" s="44">
        <v>8</v>
      </c>
      <c r="D38" s="204" t="s">
        <v>20</v>
      </c>
      <c r="E38" s="205"/>
      <c r="F38" s="44">
        <f>+VLOOKUP(D38,Tarif!A:S,19,FALSE)</f>
        <v>240</v>
      </c>
      <c r="G38" s="64">
        <f>VLOOKUP(D38,Tarif!A:V,22,0)/1000</f>
        <v>0.32303416413373853</v>
      </c>
      <c r="H38" s="140">
        <f>MROUND((+VLOOKUP(D38,Tarif!A:R,$L$2,FALSE)+Tarif!$V$1),0.001)</f>
        <v>3.7370000000000001</v>
      </c>
      <c r="I38" s="62">
        <f t="shared" si="0"/>
        <v>896.88</v>
      </c>
      <c r="L38" s="178"/>
    </row>
    <row r="39" spans="1:12" s="3" customFormat="1" ht="15" hidden="1" customHeight="1" x14ac:dyDescent="0.2">
      <c r="A39" s="21"/>
      <c r="B39" s="43"/>
      <c r="C39" s="44"/>
      <c r="D39" s="204" t="s">
        <v>121</v>
      </c>
      <c r="E39" s="205"/>
      <c r="F39" s="44">
        <f>+VLOOKUP(D39,Tarif!A:S,19,FALSE)</f>
        <v>0</v>
      </c>
      <c r="G39" s="64">
        <f>VLOOKUP(D39,Tarif!A:V,22,0)/1000</f>
        <v>0</v>
      </c>
      <c r="H39" s="140">
        <f>MROUND((+VLOOKUP(D39,Tarif!A:R,$L$2,FALSE)+Tarif!$V$1),0.001)</f>
        <v>8.197000000000001</v>
      </c>
      <c r="I39" s="62">
        <f t="shared" si="0"/>
        <v>0</v>
      </c>
      <c r="L39" s="178"/>
    </row>
    <row r="40" spans="1:12" s="3" customFormat="1" ht="15" hidden="1" customHeight="1" x14ac:dyDescent="0.2">
      <c r="A40" s="21"/>
      <c r="B40" s="43"/>
      <c r="C40" s="44"/>
      <c r="D40" s="204" t="s">
        <v>122</v>
      </c>
      <c r="E40" s="205"/>
      <c r="F40" s="44">
        <f>+VLOOKUP(D40,Tarif!A:S,19,FALSE)</f>
        <v>0</v>
      </c>
      <c r="G40" s="64">
        <f>VLOOKUP(D40,Tarif!A:V,22,0)/1000</f>
        <v>0</v>
      </c>
      <c r="H40" s="140">
        <f>MROUND((+VLOOKUP(D40,Tarif!A:R,$L$2,FALSE)+Tarif!$V$1),0.001)</f>
        <v>6.33</v>
      </c>
      <c r="I40" s="62">
        <f t="shared" si="0"/>
        <v>0</v>
      </c>
      <c r="L40" s="178"/>
    </row>
    <row r="41" spans="1:12" s="3" customFormat="1" ht="15" hidden="1" customHeight="1" x14ac:dyDescent="0.2">
      <c r="A41" s="21"/>
      <c r="B41" s="43"/>
      <c r="C41" s="44"/>
      <c r="D41" s="204" t="s">
        <v>123</v>
      </c>
      <c r="E41" s="205"/>
      <c r="F41" s="44">
        <f>+VLOOKUP(D41,Tarif!A:S,19,FALSE)</f>
        <v>0</v>
      </c>
      <c r="G41" s="64">
        <f>VLOOKUP(D41,Tarif!A:V,22,0)/1000</f>
        <v>0</v>
      </c>
      <c r="H41" s="140">
        <f>MROUND((+VLOOKUP(D41,Tarif!A:R,$L$2,FALSE)+Tarif!$V$1),0.001)</f>
        <v>3.9830000000000001</v>
      </c>
      <c r="I41" s="62">
        <f t="shared" si="0"/>
        <v>0</v>
      </c>
      <c r="L41" s="178"/>
    </row>
    <row r="42" spans="1:12" s="3" customFormat="1" ht="15" customHeight="1" x14ac:dyDescent="0.2">
      <c r="A42" s="21"/>
      <c r="B42" s="43"/>
      <c r="C42" s="44">
        <v>9</v>
      </c>
      <c r="D42" s="204" t="s">
        <v>26</v>
      </c>
      <c r="E42" s="205"/>
      <c r="F42" s="44">
        <f>+VLOOKUP(D42,Tarif!A:S,19,FALSE)</f>
        <v>200</v>
      </c>
      <c r="G42" s="64">
        <f>VLOOKUP(D42,Tarif!A:V,22,0)/1000</f>
        <v>0.5723951367781156</v>
      </c>
      <c r="H42" s="140">
        <f>MROUND((+VLOOKUP(D42,Tarif!A:R,$L$2,FALSE)+Tarif!$V$1),0.001)</f>
        <v>9.5169999999999995</v>
      </c>
      <c r="I42" s="62">
        <f t="shared" si="0"/>
        <v>1903.3999999999999</v>
      </c>
      <c r="L42" s="178"/>
    </row>
    <row r="43" spans="1:12" s="3" customFormat="1" ht="15" customHeight="1" x14ac:dyDescent="0.2">
      <c r="A43" s="21"/>
      <c r="B43" s="43"/>
      <c r="C43" s="44">
        <v>10</v>
      </c>
      <c r="D43" s="204" t="s">
        <v>27</v>
      </c>
      <c r="E43" s="205"/>
      <c r="F43" s="44">
        <f>+VLOOKUP(D43,Tarif!A:S,19,FALSE)</f>
        <v>160</v>
      </c>
      <c r="G43" s="64">
        <f>VLOOKUP(D43,Tarif!A:V,22,0)/1000</f>
        <v>0.41071610942249243</v>
      </c>
      <c r="H43" s="140">
        <f>MROUND((+VLOOKUP(D43,Tarif!A:R,$L$2,FALSE)+Tarif!$V$1),0.001)</f>
        <v>7.6379999999999999</v>
      </c>
      <c r="I43" s="62">
        <f t="shared" si="0"/>
        <v>1222.08</v>
      </c>
      <c r="L43" s="178"/>
    </row>
    <row r="44" spans="1:12" s="3" customFormat="1" ht="15" customHeight="1" x14ac:dyDescent="0.2">
      <c r="A44" s="21"/>
      <c r="B44" s="43"/>
      <c r="C44" s="44">
        <v>11</v>
      </c>
      <c r="D44" s="204" t="s">
        <v>28</v>
      </c>
      <c r="E44" s="205"/>
      <c r="F44" s="44">
        <f>+VLOOKUP(D44,Tarif!A:S,19,FALSE)</f>
        <v>80</v>
      </c>
      <c r="G44" s="64">
        <f>VLOOKUP(D44,Tarif!A:V,22,0)/1000</f>
        <v>0.1403980547112462</v>
      </c>
      <c r="H44" s="140">
        <f>MROUND((+VLOOKUP(D44,Tarif!A:R,$L$2,FALSE)+Tarif!$V$1),0.001)</f>
        <v>5.0449999999999999</v>
      </c>
      <c r="I44" s="62">
        <f t="shared" si="0"/>
        <v>403.6</v>
      </c>
      <c r="L44" s="178"/>
    </row>
    <row r="45" spans="1:12" s="3" customFormat="1" ht="15" hidden="1" customHeight="1" x14ac:dyDescent="0.2">
      <c r="A45" s="21"/>
      <c r="B45" s="43"/>
      <c r="C45" s="44"/>
      <c r="D45" s="190" t="str">
        <f>'FP230130 Auto'!D45</f>
        <v>Batteries de démarrage non formées sans acide:</v>
      </c>
      <c r="E45" s="80"/>
      <c r="F45" s="44"/>
      <c r="G45" s="64"/>
      <c r="H45" s="65"/>
      <c r="I45" s="62"/>
      <c r="L45" s="178"/>
    </row>
    <row r="46" spans="1:12" s="3" customFormat="1" ht="15" hidden="1" customHeight="1" x14ac:dyDescent="0.2">
      <c r="A46" s="21"/>
      <c r="B46" s="43"/>
      <c r="C46" s="44">
        <v>12</v>
      </c>
      <c r="D46" s="79" t="str">
        <f>'FP230130 Auto'!D46</f>
        <v>ML34CF00L1S13</v>
      </c>
      <c r="E46" s="80"/>
      <c r="F46" s="44">
        <f>'FP230130 Auto'!F46</f>
        <v>0</v>
      </c>
      <c r="G46" s="44">
        <f>'FP230130 Auto'!G46</f>
        <v>0</v>
      </c>
      <c r="H46" s="44">
        <f>'FP230130 Auto'!H46</f>
        <v>103.95</v>
      </c>
      <c r="I46" s="62">
        <f t="shared" si="0"/>
        <v>0</v>
      </c>
      <c r="L46" s="178"/>
    </row>
    <row r="47" spans="1:12" s="3" customFormat="1" ht="15" hidden="1" customHeight="1" x14ac:dyDescent="0.2">
      <c r="A47" s="21"/>
      <c r="B47" s="43"/>
      <c r="C47" s="44">
        <v>13</v>
      </c>
      <c r="D47" s="79" t="str">
        <f>'FP230130 Auto'!D47</f>
        <v>MSP12BF003L1S13</v>
      </c>
      <c r="E47" s="80"/>
      <c r="F47" s="44">
        <f>'FP230130 Auto'!F47</f>
        <v>0</v>
      </c>
      <c r="G47" s="44">
        <f>'FP230130 Auto'!G47</f>
        <v>0</v>
      </c>
      <c r="H47" s="44">
        <f>'FP230130 Auto'!H47</f>
        <v>88.44</v>
      </c>
      <c r="I47" s="62">
        <f t="shared" si="0"/>
        <v>0</v>
      </c>
      <c r="L47" s="178"/>
    </row>
    <row r="48" spans="1:12" s="3" customFormat="1" ht="15" hidden="1" customHeight="1" x14ac:dyDescent="0.2">
      <c r="A48" s="21"/>
      <c r="B48" s="43"/>
      <c r="C48" s="44">
        <v>14</v>
      </c>
      <c r="D48" s="79" t="str">
        <f>'FP230130 Auto'!D48</f>
        <v>MSP89AF003L1S13</v>
      </c>
      <c r="E48" s="80"/>
      <c r="F48" s="44">
        <f>'FP230130 Auto'!F48</f>
        <v>0</v>
      </c>
      <c r="G48" s="44">
        <f>'FP230130 Auto'!G48</f>
        <v>0</v>
      </c>
      <c r="H48" s="44">
        <v>68.41</v>
      </c>
      <c r="I48" s="62">
        <f t="shared" si="0"/>
        <v>0</v>
      </c>
      <c r="L48" s="178"/>
    </row>
    <row r="49" spans="1:14" ht="13.5" thickBot="1" x14ac:dyDescent="0.25">
      <c r="A49" s="4"/>
      <c r="B49" s="23"/>
      <c r="C49" s="44"/>
      <c r="D49" s="204"/>
      <c r="E49" s="205"/>
      <c r="F49" s="44"/>
      <c r="G49" s="64"/>
      <c r="H49" s="65"/>
      <c r="I49" s="62"/>
      <c r="J49" s="72"/>
      <c r="L49" s="178"/>
    </row>
    <row r="50" spans="1:14" ht="13.5" thickBot="1" x14ac:dyDescent="0.25">
      <c r="A50" s="4"/>
      <c r="B50" s="23"/>
      <c r="C50" s="206" t="s">
        <v>13</v>
      </c>
      <c r="D50" s="207"/>
      <c r="E50" s="208"/>
      <c r="F50" s="158">
        <f>SUM(F23:F49)</f>
        <v>3290</v>
      </c>
      <c r="G50" s="52">
        <f>SUM(G23:G49)</f>
        <v>5.1252000000000004</v>
      </c>
      <c r="H50" s="53"/>
      <c r="I50" s="82">
        <f>SUM(I25:I49)</f>
        <v>15150.019999999999</v>
      </c>
      <c r="J50" s="73">
        <f>'FP230130 Auto'!I51</f>
        <v>15150.02</v>
      </c>
      <c r="K50" s="179">
        <f>I50-J50</f>
        <v>0</v>
      </c>
      <c r="L50" s="178"/>
      <c r="N50" s="167"/>
    </row>
    <row r="51" spans="1:14" x14ac:dyDescent="0.2">
      <c r="A51" s="4"/>
      <c r="B51" s="23"/>
      <c r="C51" s="54" t="s">
        <v>14</v>
      </c>
      <c r="D51" s="55"/>
      <c r="E51" s="55"/>
      <c r="F51" s="55"/>
      <c r="G51" s="55"/>
      <c r="H51" s="27"/>
      <c r="I51" s="56"/>
      <c r="J51" s="74"/>
      <c r="K51" s="1">
        <f>+K50/50</f>
        <v>0</v>
      </c>
    </row>
    <row r="52" spans="1:14" ht="15.75" x14ac:dyDescent="0.2">
      <c r="A52" s="4"/>
      <c r="B52" s="23"/>
      <c r="C52" s="202" t="str">
        <f>'FP230130 Auto'!C53</f>
        <v>Quinze mille cent cinquente euro et deux centimes</v>
      </c>
      <c r="D52" s="203"/>
      <c r="E52" s="203"/>
      <c r="F52" s="203"/>
      <c r="G52" s="203"/>
      <c r="H52" s="203"/>
      <c r="I52" s="57"/>
      <c r="J52" s="74"/>
    </row>
    <row r="53" spans="1:14" x14ac:dyDescent="0.2">
      <c r="A53" s="4"/>
      <c r="B53" s="23"/>
      <c r="C53" s="58" t="s">
        <v>15</v>
      </c>
      <c r="D53" s="21"/>
      <c r="E53" s="21"/>
      <c r="F53" s="21"/>
      <c r="G53" s="21"/>
      <c r="H53" s="22"/>
      <c r="I53" s="31"/>
      <c r="J53" s="69">
        <f>'FP230130 Auto'!E57</f>
        <v>5125.2</v>
      </c>
    </row>
    <row r="54" spans="1:14" x14ac:dyDescent="0.2">
      <c r="A54" s="4"/>
      <c r="B54" s="23"/>
      <c r="C54" s="58" t="s">
        <v>17</v>
      </c>
      <c r="D54" s="21"/>
      <c r="E54" s="21"/>
      <c r="G54" s="21"/>
      <c r="H54" s="22"/>
      <c r="I54" s="31"/>
      <c r="J54" s="69">
        <f>'FP230130 Auto'!E58</f>
        <v>5225.2</v>
      </c>
    </row>
    <row r="55" spans="1:14" x14ac:dyDescent="0.2">
      <c r="A55" s="4"/>
      <c r="B55" s="23"/>
      <c r="C55" s="58" t="s">
        <v>128</v>
      </c>
      <c r="D55" s="21"/>
      <c r="E55" s="173">
        <v>4</v>
      </c>
      <c r="F55" s="21"/>
      <c r="G55" s="21"/>
      <c r="H55" s="22"/>
      <c r="I55" s="31"/>
      <c r="J55" s="69"/>
    </row>
    <row r="56" spans="1:14" x14ac:dyDescent="0.2">
      <c r="A56" s="4"/>
      <c r="B56" s="59"/>
      <c r="C56" s="58" t="s">
        <v>119</v>
      </c>
      <c r="E56" s="159">
        <f>+G50*1000</f>
        <v>5125.2000000000007</v>
      </c>
      <c r="F56" s="21"/>
      <c r="G56" s="21"/>
      <c r="H56" s="22"/>
      <c r="I56" s="31"/>
      <c r="J56" s="69"/>
    </row>
    <row r="57" spans="1:14" x14ac:dyDescent="0.2">
      <c r="A57" s="4"/>
      <c r="B57" s="59"/>
      <c r="C57" s="58" t="s">
        <v>120</v>
      </c>
      <c r="E57" s="159">
        <f>+E56+(E55*25)</f>
        <v>5225.2000000000007</v>
      </c>
      <c r="F57" s="21"/>
      <c r="G57" s="21"/>
      <c r="H57" s="22"/>
      <c r="I57" s="31"/>
      <c r="J57" s="69"/>
    </row>
    <row r="58" spans="1:14" x14ac:dyDescent="0.2">
      <c r="A58" s="4"/>
      <c r="B58" s="59"/>
      <c r="C58" s="81" t="s">
        <v>30</v>
      </c>
      <c r="D58" s="21"/>
      <c r="E58" s="21"/>
      <c r="F58" s="21"/>
      <c r="G58" s="21"/>
      <c r="H58" s="22"/>
      <c r="I58" s="31"/>
      <c r="J58" s="69"/>
    </row>
    <row r="59" spans="1:14" x14ac:dyDescent="0.2">
      <c r="A59" s="4"/>
      <c r="B59" s="59"/>
      <c r="C59" s="58"/>
      <c r="D59" s="21"/>
      <c r="E59" s="21"/>
      <c r="F59" s="21"/>
      <c r="G59" s="21"/>
      <c r="H59" s="22"/>
      <c r="I59" s="31"/>
      <c r="J59" s="69"/>
    </row>
    <row r="60" spans="1:14" ht="13.5" thickBot="1" x14ac:dyDescent="0.25">
      <c r="A60" s="4"/>
      <c r="B60" s="59"/>
      <c r="C60" s="60"/>
      <c r="D60" s="61"/>
      <c r="E60" s="61"/>
      <c r="F60" s="61"/>
      <c r="G60" s="61"/>
      <c r="H60" s="36"/>
      <c r="I60" s="37"/>
      <c r="J60" s="69"/>
    </row>
    <row r="61" spans="1:14" x14ac:dyDescent="0.2">
      <c r="A61" s="4"/>
      <c r="B61" s="4"/>
      <c r="C61" s="5"/>
      <c r="D61" s="5"/>
      <c r="E61" s="5"/>
      <c r="F61" s="5"/>
      <c r="G61" s="5"/>
      <c r="H61" s="6"/>
      <c r="I61" s="5"/>
      <c r="J61" s="75"/>
    </row>
    <row r="62" spans="1:14" x14ac:dyDescent="0.2">
      <c r="A62" s="4"/>
      <c r="B62" s="4"/>
      <c r="C62" s="5"/>
      <c r="D62" s="5"/>
      <c r="E62" s="5"/>
      <c r="F62" s="5"/>
      <c r="G62" s="5"/>
      <c r="H62" s="6"/>
      <c r="I62" s="5"/>
      <c r="J62" s="75"/>
    </row>
    <row r="63" spans="1:14" x14ac:dyDescent="0.2">
      <c r="A63" s="4"/>
      <c r="B63" s="4"/>
    </row>
    <row r="64" spans="1:14" x14ac:dyDescent="0.2">
      <c r="A64" s="4"/>
      <c r="B64" s="4"/>
    </row>
    <row r="65" spans="1:2" x14ac:dyDescent="0.2">
      <c r="A65" s="4"/>
      <c r="B65" s="4"/>
    </row>
    <row r="66" spans="1:2" x14ac:dyDescent="0.2">
      <c r="A66" s="4"/>
      <c r="B66" s="4"/>
    </row>
    <row r="67" spans="1:2" x14ac:dyDescent="0.2">
      <c r="A67" s="4"/>
      <c r="B67" s="4"/>
    </row>
    <row r="68" spans="1:2" x14ac:dyDescent="0.2">
      <c r="A68" s="4"/>
      <c r="B68" s="4"/>
    </row>
    <row r="69" spans="1:2" x14ac:dyDescent="0.2">
      <c r="A69" s="4"/>
      <c r="B69" s="4"/>
    </row>
    <row r="70" spans="1:2" x14ac:dyDescent="0.2">
      <c r="A70" s="4"/>
      <c r="B70" s="4"/>
    </row>
    <row r="71" spans="1:2" x14ac:dyDescent="0.2">
      <c r="A71" s="4"/>
      <c r="B71" s="4"/>
    </row>
    <row r="72" spans="1:2" x14ac:dyDescent="0.2">
      <c r="A72" s="4"/>
      <c r="B72" s="4"/>
    </row>
    <row r="73" spans="1:2" x14ac:dyDescent="0.2">
      <c r="A73" s="4"/>
      <c r="B73" s="4"/>
    </row>
    <row r="74" spans="1:2" x14ac:dyDescent="0.2">
      <c r="A74" s="4"/>
      <c r="B74" s="4"/>
    </row>
    <row r="75" spans="1:2" x14ac:dyDescent="0.2">
      <c r="A75" s="4"/>
      <c r="B75" s="4"/>
    </row>
    <row r="76" spans="1:2" x14ac:dyDescent="0.2">
      <c r="A76" s="4"/>
      <c r="B76" s="4"/>
    </row>
    <row r="77" spans="1:2" x14ac:dyDescent="0.2">
      <c r="A77" s="4"/>
      <c r="B77" s="4"/>
    </row>
    <row r="78" spans="1:2" x14ac:dyDescent="0.2">
      <c r="A78" s="4"/>
      <c r="B78" s="4"/>
    </row>
    <row r="79" spans="1:2" x14ac:dyDescent="0.2">
      <c r="A79" s="4"/>
      <c r="B79" s="4"/>
    </row>
    <row r="80" spans="1:2" x14ac:dyDescent="0.2">
      <c r="A80" s="4"/>
      <c r="B80" s="4"/>
    </row>
    <row r="81" spans="1:2" x14ac:dyDescent="0.2">
      <c r="A81" s="4"/>
      <c r="B81" s="4"/>
    </row>
    <row r="82" spans="1:2" x14ac:dyDescent="0.2">
      <c r="A82" s="4"/>
      <c r="B82" s="4"/>
    </row>
    <row r="83" spans="1:2" x14ac:dyDescent="0.2">
      <c r="A83" s="4"/>
      <c r="B83" s="4"/>
    </row>
    <row r="84" spans="1:2" x14ac:dyDescent="0.2">
      <c r="A84" s="4"/>
      <c r="B84" s="4"/>
    </row>
    <row r="85" spans="1:2" x14ac:dyDescent="0.2">
      <c r="A85" s="4"/>
      <c r="B85" s="4"/>
    </row>
    <row r="86" spans="1:2" x14ac:dyDescent="0.2">
      <c r="A86" s="4"/>
      <c r="B86" s="4"/>
    </row>
    <row r="87" spans="1:2" x14ac:dyDescent="0.2">
      <c r="A87" s="4"/>
      <c r="B87" s="4"/>
    </row>
    <row r="88" spans="1:2" x14ac:dyDescent="0.2">
      <c r="A88" s="4"/>
      <c r="B88" s="4"/>
    </row>
    <row r="89" spans="1:2" x14ac:dyDescent="0.2">
      <c r="A89" s="4"/>
      <c r="B89" s="4"/>
    </row>
    <row r="90" spans="1:2" x14ac:dyDescent="0.2">
      <c r="A90" s="4"/>
      <c r="B90" s="4"/>
    </row>
    <row r="91" spans="1:2" x14ac:dyDescent="0.2">
      <c r="A91" s="4"/>
      <c r="B91" s="4"/>
    </row>
    <row r="92" spans="1:2" x14ac:dyDescent="0.2">
      <c r="A92" s="4"/>
      <c r="B92" s="4"/>
    </row>
    <row r="93" spans="1:2" x14ac:dyDescent="0.2">
      <c r="A93" s="4"/>
      <c r="B93" s="4"/>
    </row>
    <row r="94" spans="1:2" x14ac:dyDescent="0.2">
      <c r="A94" s="4"/>
      <c r="B94" s="4"/>
    </row>
    <row r="95" spans="1:2" x14ac:dyDescent="0.2">
      <c r="A95" s="4"/>
      <c r="B95" s="4"/>
    </row>
    <row r="96" spans="1:2" x14ac:dyDescent="0.2">
      <c r="A96" s="4"/>
      <c r="B96" s="4"/>
    </row>
    <row r="97" spans="1:9" x14ac:dyDescent="0.2">
      <c r="A97" s="4"/>
      <c r="B97" s="4"/>
    </row>
    <row r="98" spans="1:9" x14ac:dyDescent="0.2">
      <c r="A98" s="4"/>
      <c r="B98" s="4"/>
      <c r="C98" s="4"/>
      <c r="D98" s="4"/>
      <c r="E98" s="4"/>
      <c r="F98" s="4"/>
      <c r="G98" s="4"/>
      <c r="H98" s="8"/>
      <c r="I98" s="4"/>
    </row>
    <row r="99" spans="1:9" x14ac:dyDescent="0.2">
      <c r="A99" s="4"/>
      <c r="B99" s="4"/>
      <c r="C99" s="4"/>
      <c r="D99" s="4"/>
      <c r="E99" s="4"/>
      <c r="F99" s="4"/>
      <c r="G99" s="4"/>
      <c r="H99" s="8"/>
      <c r="I99" s="4"/>
    </row>
    <row r="100" spans="1:9" x14ac:dyDescent="0.2">
      <c r="A100" s="4"/>
      <c r="B100" s="4"/>
      <c r="C100" s="4"/>
      <c r="D100" s="4"/>
      <c r="E100" s="4"/>
      <c r="F100" s="4"/>
      <c r="G100" s="4"/>
      <c r="H100" s="8"/>
      <c r="I100" s="4"/>
    </row>
    <row r="101" spans="1:9" x14ac:dyDescent="0.2">
      <c r="A101" s="4"/>
      <c r="B101" s="4"/>
      <c r="C101" s="4"/>
      <c r="D101" s="4"/>
      <c r="E101" s="4"/>
      <c r="F101" s="4"/>
      <c r="G101" s="4"/>
      <c r="H101" s="8"/>
      <c r="I101" s="4"/>
    </row>
  </sheetData>
  <autoFilter ref="C21:I58" xr:uid="{00000000-0001-0000-0000-000000000000}">
    <filterColumn colId="1" showButton="0"/>
    <filterColumn colId="3">
      <filters blank="1">
        <filter val="100"/>
        <filter val="160"/>
        <filter val="200"/>
        <filter val="240"/>
        <filter val="3 290"/>
        <filter val="480"/>
        <filter val="50"/>
        <filter val="500"/>
        <filter val="600"/>
        <filter val="80"/>
        <filter val="800"/>
      </filters>
    </filterColumn>
  </autoFilter>
  <mergeCells count="32">
    <mergeCell ref="C52:H52"/>
    <mergeCell ref="D36:E36"/>
    <mergeCell ref="D37:E37"/>
    <mergeCell ref="D38:E38"/>
    <mergeCell ref="D39:E39"/>
    <mergeCell ref="D40:E40"/>
    <mergeCell ref="D41:E41"/>
    <mergeCell ref="D42:E42"/>
    <mergeCell ref="D43:E43"/>
    <mergeCell ref="D44:E44"/>
    <mergeCell ref="D49:E49"/>
    <mergeCell ref="C50:E50"/>
    <mergeCell ref="D35:E35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E6:H6"/>
    <mergeCell ref="E7:I7"/>
    <mergeCell ref="C17:F17"/>
    <mergeCell ref="C19:I19"/>
    <mergeCell ref="C21:C22"/>
    <mergeCell ref="D21:E22"/>
    <mergeCell ref="F21:F22"/>
    <mergeCell ref="G21:G22"/>
  </mergeCells>
  <printOptions horizontalCentered="1"/>
  <pageMargins left="0.7" right="0.7" top="0.75" bottom="0.75" header="0.3" footer="0.3"/>
  <pageSetup paperSize="9" scale="85" orientation="portrait" horizontalDpi="4294967293" verticalDpi="180" r:id="rId1"/>
  <drawing r:id="rId2"/>
  <legacyDrawing r:id="rId3"/>
  <oleObjects>
    <mc:AlternateContent xmlns:mc="http://schemas.openxmlformats.org/markup-compatibility/2006">
      <mc:Choice Requires="x14">
        <oleObject progId="Word.Picture.8" shapeId="23553" r:id="rId4">
          <objectPr defaultSize="0" autoPict="0" r:id="rId5">
            <anchor moveWithCells="1" sizeWithCells="1">
              <from>
                <xdr:col>0</xdr:col>
                <xdr:colOff>28575</xdr:colOff>
                <xdr:row>0</xdr:row>
                <xdr:rowOff>9525</xdr:rowOff>
              </from>
              <to>
                <xdr:col>3</xdr:col>
                <xdr:colOff>342900</xdr:colOff>
                <xdr:row>6</xdr:row>
                <xdr:rowOff>85725</xdr:rowOff>
              </to>
            </anchor>
          </objectPr>
        </oleObject>
      </mc:Choice>
      <mc:Fallback>
        <oleObject progId="Word.Picture.8" shapeId="23553" r:id="rId4"/>
      </mc:Fallback>
    </mc:AlternateContent>
  </oleObjec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BD8EA2-0597-41A0-9A63-65240660745C}">
  <dimension ref="A2:O97"/>
  <sheetViews>
    <sheetView topLeftCell="A33" zoomScale="115" zoomScaleNormal="115" workbookViewId="0">
      <selection activeCell="C25" sqref="C25:C44"/>
    </sheetView>
  </sheetViews>
  <sheetFormatPr baseColWidth="10" defaultColWidth="11.5703125" defaultRowHeight="12.75" x14ac:dyDescent="0.2"/>
  <cols>
    <col min="1" max="1" width="1.85546875" style="1" customWidth="1"/>
    <col min="2" max="2" width="2.140625" style="1" customWidth="1"/>
    <col min="3" max="3" width="4.28515625" style="1" customWidth="1"/>
    <col min="4" max="4" width="13.28515625" style="1" customWidth="1"/>
    <col min="5" max="5" width="24.28515625" style="1" customWidth="1"/>
    <col min="6" max="6" width="16.140625" style="1" bestFit="1" customWidth="1"/>
    <col min="7" max="7" width="12.85546875" style="1" customWidth="1"/>
    <col min="8" max="8" width="16.140625" style="7" bestFit="1" customWidth="1"/>
    <col min="9" max="9" width="13" style="1" customWidth="1"/>
    <col min="10" max="10" width="13" style="66" customWidth="1"/>
    <col min="11" max="11" width="12.5703125" style="1" bestFit="1" customWidth="1"/>
    <col min="12" max="12" width="11.5703125" style="7" customWidth="1"/>
    <col min="13" max="13" width="6.85546875" style="1" customWidth="1"/>
    <col min="14" max="16384" width="11.5703125" style="1"/>
  </cols>
  <sheetData>
    <row r="2" spans="1:14" ht="33.75" x14ac:dyDescent="0.5">
      <c r="E2" s="9" t="s">
        <v>0</v>
      </c>
      <c r="K2" s="1" t="s">
        <v>127</v>
      </c>
      <c r="L2" s="174">
        <f>'FP230130 Auto'!$L$2</f>
        <v>16</v>
      </c>
    </row>
    <row r="3" spans="1:14" ht="6" customHeight="1" x14ac:dyDescent="0.2">
      <c r="I3" s="10"/>
      <c r="J3" s="67"/>
    </row>
    <row r="4" spans="1:14" x14ac:dyDescent="0.2">
      <c r="E4" s="10" t="s">
        <v>1</v>
      </c>
      <c r="F4" s="10"/>
      <c r="G4" s="10"/>
      <c r="H4" s="10"/>
    </row>
    <row r="5" spans="1:14" x14ac:dyDescent="0.2">
      <c r="E5" s="10" t="s">
        <v>2</v>
      </c>
      <c r="F5" s="10"/>
      <c r="G5" s="10"/>
      <c r="H5" s="11"/>
    </row>
    <row r="6" spans="1:14" x14ac:dyDescent="0.2">
      <c r="E6" s="211" t="s">
        <v>3</v>
      </c>
      <c r="F6" s="211"/>
      <c r="G6" s="211"/>
      <c r="H6" s="211"/>
    </row>
    <row r="7" spans="1:14" x14ac:dyDescent="0.2">
      <c r="E7" s="217" t="s">
        <v>16</v>
      </c>
      <c r="F7" s="217"/>
      <c r="G7" s="217"/>
      <c r="H7" s="217"/>
      <c r="I7" s="217"/>
      <c r="J7" s="68"/>
    </row>
    <row r="8" spans="1:14" x14ac:dyDescent="0.2">
      <c r="E8" s="12"/>
      <c r="F8" s="12"/>
      <c r="G8" s="12"/>
      <c r="H8" s="13"/>
    </row>
    <row r="9" spans="1:14" ht="13.5" thickBot="1" x14ac:dyDescent="0.25"/>
    <row r="10" spans="1:14" ht="5.45" customHeight="1" thickTop="1" x14ac:dyDescent="0.2">
      <c r="A10" s="4"/>
      <c r="B10" s="14"/>
      <c r="C10" s="15"/>
      <c r="D10" s="15"/>
      <c r="E10" s="15"/>
      <c r="F10" s="15"/>
      <c r="G10" s="15"/>
      <c r="H10" s="16"/>
      <c r="I10" s="15"/>
    </row>
    <row r="11" spans="1:14" s="2" customFormat="1" ht="25.9" customHeight="1" thickBot="1" x14ac:dyDescent="0.3">
      <c r="A11" s="17"/>
      <c r="B11" s="18"/>
      <c r="C11" s="19" t="s">
        <v>129</v>
      </c>
      <c r="D11" s="19"/>
      <c r="E11" s="20"/>
      <c r="F11" s="21"/>
      <c r="G11" s="21"/>
      <c r="H11" s="22"/>
      <c r="I11" s="21"/>
      <c r="J11" s="69"/>
      <c r="K11" s="164"/>
      <c r="L11" s="165"/>
      <c r="M11" s="166"/>
      <c r="N11" s="118"/>
    </row>
    <row r="12" spans="1:14" ht="18" customHeight="1" x14ac:dyDescent="0.25">
      <c r="A12" s="4"/>
      <c r="B12" s="23"/>
      <c r="C12" s="24" t="s">
        <v>21</v>
      </c>
      <c r="D12" s="25"/>
      <c r="E12" s="25"/>
      <c r="F12" s="26"/>
      <c r="G12" s="26"/>
      <c r="H12" s="27"/>
      <c r="I12" s="28"/>
      <c r="J12" s="69"/>
      <c r="K12" s="164"/>
      <c r="L12" s="165"/>
      <c r="M12" s="166"/>
      <c r="N12" s="118"/>
    </row>
    <row r="13" spans="1:14" ht="18.75" x14ac:dyDescent="0.25">
      <c r="A13" s="4"/>
      <c r="B13" s="23"/>
      <c r="C13" s="29" t="s">
        <v>4</v>
      </c>
      <c r="D13" s="30"/>
      <c r="E13" s="30"/>
      <c r="F13" s="21"/>
      <c r="G13" s="21"/>
      <c r="H13" s="22"/>
      <c r="I13" s="31"/>
      <c r="J13" s="69"/>
      <c r="K13" s="164"/>
      <c r="L13" s="165"/>
      <c r="M13" s="166"/>
      <c r="N13" s="118"/>
    </row>
    <row r="14" spans="1:14" ht="18.75" x14ac:dyDescent="0.25">
      <c r="A14" s="4"/>
      <c r="B14" s="23"/>
      <c r="C14" s="32" t="s">
        <v>22</v>
      </c>
      <c r="D14" s="30"/>
      <c r="E14" s="30"/>
      <c r="F14" s="21"/>
      <c r="G14" s="21"/>
      <c r="H14" s="22"/>
      <c r="I14" s="31"/>
      <c r="J14" s="69"/>
      <c r="K14" s="164"/>
      <c r="L14" s="165"/>
      <c r="M14" s="166"/>
      <c r="N14" s="118"/>
    </row>
    <row r="15" spans="1:14" ht="18.75" x14ac:dyDescent="0.25">
      <c r="A15" s="4"/>
      <c r="B15" s="23"/>
      <c r="C15" s="32" t="s">
        <v>23</v>
      </c>
      <c r="D15" s="30"/>
      <c r="E15" s="30"/>
      <c r="F15" s="21"/>
      <c r="G15" s="21"/>
      <c r="H15" s="22"/>
      <c r="I15" s="31"/>
      <c r="J15" s="69"/>
      <c r="K15" s="164"/>
      <c r="L15" s="165"/>
      <c r="M15" s="166"/>
      <c r="N15" s="118"/>
    </row>
    <row r="16" spans="1:14" ht="18.75" x14ac:dyDescent="0.25">
      <c r="A16" s="4"/>
      <c r="B16" s="23"/>
      <c r="C16" s="33" t="s">
        <v>24</v>
      </c>
      <c r="D16" s="30"/>
      <c r="E16" s="30"/>
      <c r="F16" s="34"/>
      <c r="G16" s="34"/>
      <c r="H16" s="22"/>
      <c r="I16" s="31"/>
      <c r="J16" s="69"/>
      <c r="K16" s="164"/>
      <c r="L16" s="165"/>
      <c r="M16" s="166"/>
      <c r="N16" s="118"/>
    </row>
    <row r="17" spans="1:15" ht="18.75" customHeight="1" thickBot="1" x14ac:dyDescent="0.3">
      <c r="A17" s="4"/>
      <c r="B17" s="23"/>
      <c r="C17" s="212" t="s">
        <v>5</v>
      </c>
      <c r="D17" s="213"/>
      <c r="E17" s="213"/>
      <c r="F17" s="213"/>
      <c r="G17" s="35"/>
      <c r="H17" s="36"/>
      <c r="I17" s="37"/>
      <c r="J17" s="69"/>
      <c r="K17" s="164"/>
      <c r="L17" s="165"/>
      <c r="M17" s="166"/>
      <c r="N17" s="118"/>
    </row>
    <row r="18" spans="1:15" ht="19.5" thickBot="1" x14ac:dyDescent="0.3">
      <c r="A18" s="4"/>
      <c r="B18" s="23"/>
      <c r="C18" s="38"/>
      <c r="D18" s="39"/>
      <c r="E18" s="39"/>
      <c r="F18" s="21"/>
      <c r="G18" s="21"/>
      <c r="H18" s="22"/>
      <c r="I18" s="21"/>
      <c r="J18" s="69"/>
      <c r="K18" s="164"/>
      <c r="L18" s="165"/>
      <c r="M18" s="166"/>
      <c r="N18" s="118"/>
    </row>
    <row r="19" spans="1:15" ht="19.5" thickBot="1" x14ac:dyDescent="0.3">
      <c r="A19" s="4"/>
      <c r="B19" s="23"/>
      <c r="C19" s="214" t="s">
        <v>134</v>
      </c>
      <c r="D19" s="215"/>
      <c r="E19" s="215"/>
      <c r="F19" s="215"/>
      <c r="G19" s="215"/>
      <c r="H19" s="215"/>
      <c r="I19" s="216"/>
      <c r="J19" s="70"/>
      <c r="K19" s="164"/>
      <c r="L19" s="165"/>
      <c r="M19" s="166"/>
      <c r="N19" s="118"/>
    </row>
    <row r="20" spans="1:15" ht="19.5" thickBot="1" x14ac:dyDescent="0.3">
      <c r="A20" s="4"/>
      <c r="B20" s="23"/>
      <c r="C20" s="21"/>
      <c r="D20" s="21"/>
      <c r="E20" s="21"/>
      <c r="F20" s="21"/>
      <c r="G20" s="21"/>
      <c r="H20" s="22"/>
      <c r="I20" s="21"/>
      <c r="J20" s="69"/>
      <c r="K20" s="118"/>
      <c r="L20" s="164"/>
      <c r="M20" s="165"/>
      <c r="N20" s="166"/>
      <c r="O20" s="118"/>
    </row>
    <row r="21" spans="1:15" ht="18.75" x14ac:dyDescent="0.25">
      <c r="A21" s="4"/>
      <c r="B21" s="23"/>
      <c r="C21" s="209" t="s">
        <v>6</v>
      </c>
      <c r="D21" s="218" t="s">
        <v>7</v>
      </c>
      <c r="E21" s="219"/>
      <c r="F21" s="209" t="s">
        <v>8</v>
      </c>
      <c r="G21" s="209" t="s">
        <v>9</v>
      </c>
      <c r="H21" s="40" t="s">
        <v>10</v>
      </c>
      <c r="I21" s="41" t="s">
        <v>11</v>
      </c>
      <c r="J21" s="71"/>
      <c r="K21" s="118"/>
      <c r="L21" s="164"/>
      <c r="M21" s="165"/>
      <c r="N21" s="166"/>
      <c r="O21" s="118"/>
    </row>
    <row r="22" spans="1:15" ht="19.5" thickBot="1" x14ac:dyDescent="0.3">
      <c r="A22" s="4"/>
      <c r="B22" s="23"/>
      <c r="C22" s="210"/>
      <c r="D22" s="206"/>
      <c r="E22" s="220"/>
      <c r="F22" s="210"/>
      <c r="G22" s="210"/>
      <c r="H22" s="42" t="s">
        <v>12</v>
      </c>
      <c r="I22" s="42" t="s">
        <v>12</v>
      </c>
      <c r="J22" s="71"/>
      <c r="K22" s="118"/>
      <c r="L22" s="164"/>
      <c r="M22" s="165"/>
      <c r="N22" s="166"/>
      <c r="O22" s="118"/>
    </row>
    <row r="23" spans="1:15" s="3" customFormat="1" ht="15.75" customHeight="1" x14ac:dyDescent="0.25">
      <c r="A23" s="21"/>
      <c r="B23" s="43"/>
      <c r="C23" s="44">
        <v>1</v>
      </c>
      <c r="D23" s="168" t="s">
        <v>105</v>
      </c>
      <c r="E23" s="163"/>
      <c r="F23" s="44">
        <f>+VLOOKUP(D23,Tarif!A:S,19,FALSE)</f>
        <v>0</v>
      </c>
      <c r="G23" s="64">
        <f>VLOOKUP(D23,Tarif!A:V,22,0)/1000</f>
        <v>0</v>
      </c>
      <c r="H23" s="140">
        <f>MROUND((+VLOOKUP(D23,Tarif!A:R,$L$2,FALSE)+Tarif!$V$1),0.001)</f>
        <v>4.2960000000000003</v>
      </c>
      <c r="I23" s="62">
        <f>H23*F23</f>
        <v>0</v>
      </c>
      <c r="J23" s="72"/>
      <c r="K23" s="118"/>
      <c r="L23" s="178" t="e">
        <f t="shared" ref="L23:L45" si="0">$K$46/F20</f>
        <v>#DIV/0!</v>
      </c>
      <c r="M23" s="165"/>
      <c r="N23" s="166"/>
      <c r="O23" s="118"/>
    </row>
    <row r="24" spans="1:15" s="3" customFormat="1" ht="15" customHeight="1" x14ac:dyDescent="0.25">
      <c r="A24" s="21"/>
      <c r="B24" s="43"/>
      <c r="C24" s="44">
        <v>2</v>
      </c>
      <c r="D24" s="204" t="s">
        <v>109</v>
      </c>
      <c r="E24" s="205"/>
      <c r="F24" s="44">
        <f>+VLOOKUP(D24,Tarif!A:S,19,FALSE)</f>
        <v>0</v>
      </c>
      <c r="G24" s="64">
        <f>VLOOKUP(D24,Tarif!A:V,22,0)/1000</f>
        <v>0</v>
      </c>
      <c r="H24" s="140">
        <f>MROUND((+VLOOKUP(D24,Tarif!A:R,$L$2,FALSE)+Tarif!$V$1),0.001)</f>
        <v>3.2789999999999999</v>
      </c>
      <c r="I24" s="62">
        <f>H24*F24</f>
        <v>0</v>
      </c>
      <c r="J24" s="72"/>
      <c r="K24" s="118"/>
      <c r="L24" s="178" t="e">
        <f t="shared" si="0"/>
        <v>#VALUE!</v>
      </c>
      <c r="M24" s="165"/>
      <c r="N24" s="166"/>
      <c r="O24" s="118"/>
    </row>
    <row r="25" spans="1:15" s="3" customFormat="1" ht="14.25" customHeight="1" x14ac:dyDescent="0.25">
      <c r="A25" s="21"/>
      <c r="B25" s="43"/>
      <c r="C25" s="44">
        <v>3</v>
      </c>
      <c r="D25" s="204" t="s">
        <v>29</v>
      </c>
      <c r="E25" s="205"/>
      <c r="F25" s="44">
        <f>+VLOOKUP(D25,Tarif!A:S,19,FALSE)</f>
        <v>500</v>
      </c>
      <c r="G25" s="64">
        <f>VLOOKUP(D25,Tarif!A:V,22,0)/1000</f>
        <v>0.49598784194528878</v>
      </c>
      <c r="H25" s="140">
        <f>MROUND((+VLOOKUP(D25,Tarif!A:R,$L$2,FALSE)+Tarif!$V$1),0.001)</f>
        <v>1.7810000000000001</v>
      </c>
      <c r="I25" s="62">
        <f>H25*F25</f>
        <v>890.50000000000011</v>
      </c>
      <c r="J25" s="72"/>
      <c r="K25" s="118"/>
      <c r="L25" s="178" t="e">
        <f t="shared" si="0"/>
        <v>#DIV/0!</v>
      </c>
      <c r="M25" s="165"/>
      <c r="N25" s="166"/>
      <c r="O25" s="118"/>
    </row>
    <row r="26" spans="1:15" s="3" customFormat="1" ht="12.75" customHeight="1" x14ac:dyDescent="0.25">
      <c r="A26" s="21"/>
      <c r="B26" s="43"/>
      <c r="C26" s="44">
        <v>4</v>
      </c>
      <c r="D26" s="204" t="s">
        <v>31</v>
      </c>
      <c r="E26" s="205"/>
      <c r="F26" s="44">
        <f>+VLOOKUP(D26,Tarif!A:S,19,FALSE)</f>
        <v>800</v>
      </c>
      <c r="G26" s="64">
        <f>VLOOKUP(D26,Tarif!A:V,22,0)/1000</f>
        <v>0.50078054711246189</v>
      </c>
      <c r="H26" s="140">
        <f>MROUND((+VLOOKUP(D26,Tarif!A:R,$L$2,FALSE)+Tarif!$V$1),0.001)</f>
        <v>1.7810000000000001</v>
      </c>
      <c r="I26" s="62">
        <f>H26*F26</f>
        <v>1424.8000000000002</v>
      </c>
      <c r="J26" s="72"/>
      <c r="K26" s="164"/>
      <c r="L26" s="178" t="e">
        <f t="shared" si="0"/>
        <v>#DIV/0!</v>
      </c>
      <c r="M26" s="166"/>
      <c r="N26" s="118"/>
    </row>
    <row r="27" spans="1:15" s="3" customFormat="1" ht="15.75" customHeight="1" x14ac:dyDescent="0.25">
      <c r="A27" s="21"/>
      <c r="B27" s="43"/>
      <c r="C27" s="44">
        <v>5</v>
      </c>
      <c r="D27" s="204" t="s">
        <v>106</v>
      </c>
      <c r="E27" s="205"/>
      <c r="F27" s="44">
        <f>+VLOOKUP(D27,Tarif!A:S,19,FALSE)</f>
        <v>100</v>
      </c>
      <c r="G27" s="64">
        <f>VLOOKUP(D27,Tarif!A:V,22,0)/1000</f>
        <v>0.16419756838905775</v>
      </c>
      <c r="H27" s="140">
        <f>MROUND((+VLOOKUP(D27,Tarif!A:R,$L$2,FALSE)+Tarif!$V$1),0.001)</f>
        <v>5.391</v>
      </c>
      <c r="I27" s="62">
        <f>H27*F27</f>
        <v>539.1</v>
      </c>
      <c r="J27" s="72"/>
      <c r="K27" s="164"/>
      <c r="L27" s="178" t="e">
        <f t="shared" si="0"/>
        <v>#DIV/0!</v>
      </c>
      <c r="M27" s="166"/>
      <c r="N27" s="118"/>
    </row>
    <row r="28" spans="1:15" s="3" customFormat="1" ht="15.75" customHeight="1" x14ac:dyDescent="0.25">
      <c r="A28" s="21"/>
      <c r="B28" s="43"/>
      <c r="C28" s="44">
        <v>6</v>
      </c>
      <c r="D28" s="204" t="s">
        <v>107</v>
      </c>
      <c r="E28" s="205"/>
      <c r="F28" s="44">
        <f>+VLOOKUP(D28,Tarif!A:S,19,FALSE)</f>
        <v>80</v>
      </c>
      <c r="G28" s="64">
        <f>VLOOKUP(D28,Tarif!A:V,22,0)/1000</f>
        <v>0.11375805471124621</v>
      </c>
      <c r="H28" s="140">
        <f>MROUND((+VLOOKUP(D28,Tarif!A:R,$L$2,FALSE)+Tarif!$V$1),0.001)</f>
        <v>4.1390000000000002</v>
      </c>
      <c r="I28" s="62">
        <f t="shared" ref="I28:I44" si="1">H28*F28</f>
        <v>331.12</v>
      </c>
      <c r="J28" s="72"/>
      <c r="K28" s="164"/>
      <c r="L28" s="178">
        <f t="shared" si="0"/>
        <v>5.2337999999999996</v>
      </c>
      <c r="M28" s="166"/>
      <c r="N28" s="118"/>
    </row>
    <row r="29" spans="1:15" s="3" customFormat="1" ht="15.75" customHeight="1" x14ac:dyDescent="0.25">
      <c r="A29" s="21"/>
      <c r="B29" s="43"/>
      <c r="C29" s="44">
        <v>7</v>
      </c>
      <c r="D29" s="204" t="s">
        <v>108</v>
      </c>
      <c r="E29" s="205"/>
      <c r="F29" s="44">
        <f>+VLOOKUP(D29,Tarif!A:S,19,FALSE)</f>
        <v>50</v>
      </c>
      <c r="G29" s="64">
        <f>VLOOKUP(D29,Tarif!A:V,22,0)/1000</f>
        <v>4.8598784194528878E-2</v>
      </c>
      <c r="H29" s="140">
        <f>MROUND((+VLOOKUP(D29,Tarif!A:R,$L$2,FALSE)+Tarif!$V$1),0.001)</f>
        <v>2.798</v>
      </c>
      <c r="I29" s="62">
        <f t="shared" si="1"/>
        <v>139.9</v>
      </c>
      <c r="J29" s="72"/>
      <c r="K29" s="164"/>
      <c r="L29" s="178">
        <f t="shared" si="0"/>
        <v>3.2711249999999996</v>
      </c>
      <c r="M29" s="166"/>
      <c r="N29" s="118"/>
    </row>
    <row r="30" spans="1:15" s="3" customFormat="1" ht="15" customHeight="1" x14ac:dyDescent="0.25">
      <c r="A30" s="21"/>
      <c r="B30" s="43"/>
      <c r="C30" s="44">
        <v>6</v>
      </c>
      <c r="D30" s="204" t="s">
        <v>124</v>
      </c>
      <c r="E30" s="205"/>
      <c r="F30" s="44">
        <f>+VLOOKUP(D30,Tarif!A:S,19,FALSE)</f>
        <v>0</v>
      </c>
      <c r="G30" s="64">
        <f>VLOOKUP(D30,Tarif!A:V,22,0)/1000</f>
        <v>0</v>
      </c>
      <c r="H30" s="140">
        <f>MROUND((+VLOOKUP(D30,Tarif!A:R,$L$2,FALSE)+Tarif!$V$1),0.001)</f>
        <v>5.7830000000000004</v>
      </c>
      <c r="I30" s="62">
        <f>H30*F30</f>
        <v>0</v>
      </c>
      <c r="K30" s="164"/>
      <c r="L30" s="178">
        <f t="shared" si="0"/>
        <v>26.168999999999997</v>
      </c>
      <c r="M30" s="166"/>
      <c r="N30" s="118"/>
    </row>
    <row r="31" spans="1:15" s="3" customFormat="1" x14ac:dyDescent="0.2">
      <c r="A31" s="21"/>
      <c r="B31" s="43"/>
      <c r="C31" s="44">
        <v>8</v>
      </c>
      <c r="D31" s="204" t="s">
        <v>125</v>
      </c>
      <c r="E31" s="205"/>
      <c r="F31" s="44">
        <f>+VLOOKUP(D31,Tarif!A:S,19,FALSE)</f>
        <v>0</v>
      </c>
      <c r="G31" s="64">
        <f>VLOOKUP(D31,Tarif!A:V,22,0)/1000</f>
        <v>0</v>
      </c>
      <c r="H31" s="140">
        <f>MROUND((+VLOOKUP(D31,Tarif!A:R,$L$2,FALSE)+Tarif!$V$1),0.001)</f>
        <v>4.3849999999999998</v>
      </c>
      <c r="I31" s="62">
        <f>H31*F31</f>
        <v>0</v>
      </c>
      <c r="L31" s="178">
        <f t="shared" si="0"/>
        <v>32.711249999999993</v>
      </c>
    </row>
    <row r="32" spans="1:15" s="3" customFormat="1" x14ac:dyDescent="0.2">
      <c r="A32" s="21"/>
      <c r="B32" s="43"/>
      <c r="C32" s="44">
        <v>9</v>
      </c>
      <c r="D32" s="204" t="s">
        <v>126</v>
      </c>
      <c r="E32" s="205"/>
      <c r="F32" s="44">
        <f>+VLOOKUP(D32,Tarif!A:S,19,FALSE)</f>
        <v>0</v>
      </c>
      <c r="G32" s="64">
        <f>VLOOKUP(D32,Tarif!A:V,22,0)/1000</f>
        <v>0</v>
      </c>
      <c r="H32" s="140">
        <f>MROUND((+VLOOKUP(D32,Tarif!A:R,$L$2,FALSE)+Tarif!$V$1),0.001)</f>
        <v>2.9430000000000001</v>
      </c>
      <c r="I32" s="62">
        <f>H32*F32</f>
        <v>0</v>
      </c>
      <c r="L32" s="178">
        <f t="shared" si="0"/>
        <v>52.337999999999994</v>
      </c>
    </row>
    <row r="33" spans="1:14" s="3" customFormat="1" x14ac:dyDescent="0.2">
      <c r="A33" s="21"/>
      <c r="B33" s="43"/>
      <c r="C33" s="44">
        <v>10</v>
      </c>
      <c r="D33" s="204" t="s">
        <v>115</v>
      </c>
      <c r="E33" s="205"/>
      <c r="F33" s="44">
        <f>+VLOOKUP(D33,Tarif!A:S,19,FALSE)</f>
        <v>0</v>
      </c>
      <c r="G33" s="64">
        <f>VLOOKUP(D33,Tarif!A:V,22,0)/1000</f>
        <v>0</v>
      </c>
      <c r="H33" s="140">
        <f>MROUND((+VLOOKUP(D33,Tarif!A:R,$L$2,FALSE)+Tarif!$V$1),0.001)</f>
        <v>7.1020000000000003</v>
      </c>
      <c r="I33" s="62">
        <f t="shared" si="1"/>
        <v>0</v>
      </c>
      <c r="L33" s="178" t="e">
        <f t="shared" si="0"/>
        <v>#DIV/0!</v>
      </c>
    </row>
    <row r="34" spans="1:14" s="3" customFormat="1" x14ac:dyDescent="0.2">
      <c r="A34" s="21"/>
      <c r="B34" s="43"/>
      <c r="C34" s="44">
        <v>11</v>
      </c>
      <c r="D34" s="204" t="s">
        <v>116</v>
      </c>
      <c r="E34" s="205"/>
      <c r="F34" s="44">
        <f>+VLOOKUP(D34,Tarif!A:S,19,FALSE)</f>
        <v>0</v>
      </c>
      <c r="G34" s="64">
        <f>VLOOKUP(D34,Tarif!A:V,22,0)/1000</f>
        <v>0</v>
      </c>
      <c r="H34" s="140">
        <f>MROUND((+VLOOKUP(D34,Tarif!A:R,$L$2,FALSE)+Tarif!$V$1),0.001)</f>
        <v>4.8440000000000003</v>
      </c>
      <c r="I34" s="62">
        <f t="shared" si="1"/>
        <v>0</v>
      </c>
      <c r="L34" s="178" t="e">
        <f t="shared" si="0"/>
        <v>#DIV/0!</v>
      </c>
    </row>
    <row r="35" spans="1:14" s="3" customFormat="1" x14ac:dyDescent="0.2">
      <c r="A35" s="21"/>
      <c r="B35" s="43"/>
      <c r="C35" s="44">
        <v>12</v>
      </c>
      <c r="D35" s="204" t="s">
        <v>117</v>
      </c>
      <c r="E35" s="205"/>
      <c r="F35" s="44">
        <f>+VLOOKUP(D35,Tarif!A:S,19,FALSE)</f>
        <v>0</v>
      </c>
      <c r="G35" s="64">
        <f>VLOOKUP(D35,Tarif!A:V,22,0)/1000</f>
        <v>0</v>
      </c>
      <c r="H35" s="140">
        <f>MROUND((+VLOOKUP(D35,Tarif!A:R,$L$2,FALSE)+Tarif!$V$1),0.001)</f>
        <v>3.6139999999999999</v>
      </c>
      <c r="I35" s="62">
        <f t="shared" si="1"/>
        <v>0</v>
      </c>
      <c r="L35" s="178" t="e">
        <f t="shared" si="0"/>
        <v>#DIV/0!</v>
      </c>
    </row>
    <row r="36" spans="1:14" s="3" customFormat="1" x14ac:dyDescent="0.2">
      <c r="A36" s="21"/>
      <c r="B36" s="43"/>
      <c r="C36" s="44">
        <f t="shared" ref="C36:C44" si="2">+C35+1</f>
        <v>13</v>
      </c>
      <c r="D36" s="204" t="s">
        <v>18</v>
      </c>
      <c r="E36" s="205"/>
      <c r="F36" s="44">
        <f>+VLOOKUP(D36,Tarif!A:S,19,FALSE)</f>
        <v>600</v>
      </c>
      <c r="G36" s="64">
        <f>VLOOKUP(D36,Tarif!A:V,22,0)/1000</f>
        <v>1.4183854103343467</v>
      </c>
      <c r="H36" s="140">
        <f>MROUND((+VLOOKUP(D36,Tarif!A:R,$L$2,FALSE)+Tarif!$V$1),0.001)</f>
        <v>7.694</v>
      </c>
      <c r="I36" s="62">
        <f t="shared" si="1"/>
        <v>4616.3999999999996</v>
      </c>
      <c r="L36" s="178" t="e">
        <f t="shared" si="0"/>
        <v>#DIV/0!</v>
      </c>
    </row>
    <row r="37" spans="1:14" s="3" customFormat="1" x14ac:dyDescent="0.2">
      <c r="A37" s="21"/>
      <c r="B37" s="43"/>
      <c r="C37" s="44">
        <f t="shared" si="2"/>
        <v>14</v>
      </c>
      <c r="D37" s="204" t="s">
        <v>19</v>
      </c>
      <c r="E37" s="205"/>
      <c r="F37" s="44">
        <f>+VLOOKUP(D37,Tarif!A:S,19,FALSE)</f>
        <v>480</v>
      </c>
      <c r="G37" s="64">
        <f>VLOOKUP(D37,Tarif!A:V,22,0)/1000</f>
        <v>0.9369483282674772</v>
      </c>
      <c r="H37" s="140">
        <f>MROUND((+VLOOKUP(D37,Tarif!A:R,$L$2,FALSE)+Tarif!$V$1),0.001)</f>
        <v>5.7940000000000005</v>
      </c>
      <c r="I37" s="62">
        <f t="shared" si="1"/>
        <v>2781.1200000000003</v>
      </c>
      <c r="L37" s="178" t="e">
        <f t="shared" si="0"/>
        <v>#DIV/0!</v>
      </c>
    </row>
    <row r="38" spans="1:14" s="3" customFormat="1" ht="15" customHeight="1" x14ac:dyDescent="0.2">
      <c r="A38" s="21"/>
      <c r="B38" s="43"/>
      <c r="C38" s="44">
        <f t="shared" si="2"/>
        <v>15</v>
      </c>
      <c r="D38" s="204" t="s">
        <v>20</v>
      </c>
      <c r="E38" s="205"/>
      <c r="F38" s="44">
        <f>+VLOOKUP(D38,Tarif!A:S,19,FALSE)</f>
        <v>240</v>
      </c>
      <c r="G38" s="64">
        <f>VLOOKUP(D38,Tarif!A:V,22,0)/1000</f>
        <v>0.32303416413373853</v>
      </c>
      <c r="H38" s="140">
        <f>MROUND((+VLOOKUP(D38,Tarif!A:R,$L$2,FALSE)+Tarif!$V$1),0.001)</f>
        <v>3.7370000000000001</v>
      </c>
      <c r="I38" s="62">
        <f t="shared" si="1"/>
        <v>896.88</v>
      </c>
      <c r="K38" s="3">
        <f>3.715+0.027</f>
        <v>3.742</v>
      </c>
      <c r="L38" s="178" t="e">
        <f t="shared" si="0"/>
        <v>#DIV/0!</v>
      </c>
    </row>
    <row r="39" spans="1:14" s="3" customFormat="1" ht="15" customHeight="1" x14ac:dyDescent="0.2">
      <c r="A39" s="21"/>
      <c r="B39" s="43"/>
      <c r="C39" s="44">
        <f t="shared" si="2"/>
        <v>16</v>
      </c>
      <c r="D39" s="204" t="s">
        <v>121</v>
      </c>
      <c r="E39" s="205"/>
      <c r="F39" s="44">
        <f>+VLOOKUP(D39,Tarif!A:S,19,FALSE)</f>
        <v>0</v>
      </c>
      <c r="G39" s="64">
        <f>VLOOKUP(D39,Tarif!A:V,22,0)/1000</f>
        <v>0</v>
      </c>
      <c r="H39" s="140">
        <f>MROUND((+VLOOKUP(D39,Tarif!A:R,$L$2,FALSE)+Tarif!$V$1),0.001)</f>
        <v>8.197000000000001</v>
      </c>
      <c r="I39" s="62">
        <f t="shared" si="1"/>
        <v>0</v>
      </c>
      <c r="L39" s="178">
        <f t="shared" si="0"/>
        <v>4.3614999999999995</v>
      </c>
    </row>
    <row r="40" spans="1:14" s="3" customFormat="1" ht="15" customHeight="1" x14ac:dyDescent="0.2">
      <c r="A40" s="21"/>
      <c r="B40" s="43"/>
      <c r="C40" s="44">
        <f t="shared" si="2"/>
        <v>17</v>
      </c>
      <c r="D40" s="204" t="s">
        <v>122</v>
      </c>
      <c r="E40" s="205"/>
      <c r="F40" s="44">
        <f>+VLOOKUP(D40,Tarif!A:S,19,FALSE)</f>
        <v>0</v>
      </c>
      <c r="G40" s="64">
        <f>VLOOKUP(D40,Tarif!A:V,22,0)/1000</f>
        <v>0</v>
      </c>
      <c r="H40" s="140">
        <f>MROUND((+VLOOKUP(D40,Tarif!A:R,$L$2,FALSE)+Tarif!$V$1),0.001)</f>
        <v>6.33</v>
      </c>
      <c r="I40" s="62">
        <f t="shared" si="1"/>
        <v>0</v>
      </c>
      <c r="L40" s="178">
        <f t="shared" si="0"/>
        <v>5.4518749999999994</v>
      </c>
    </row>
    <row r="41" spans="1:14" s="3" customFormat="1" ht="15" customHeight="1" x14ac:dyDescent="0.2">
      <c r="A41" s="21"/>
      <c r="B41" s="43"/>
      <c r="C41" s="44">
        <f t="shared" si="2"/>
        <v>18</v>
      </c>
      <c r="D41" s="204" t="s">
        <v>123</v>
      </c>
      <c r="E41" s="205"/>
      <c r="F41" s="44">
        <f>+VLOOKUP(D41,Tarif!A:S,19,FALSE)</f>
        <v>0</v>
      </c>
      <c r="G41" s="64">
        <f>VLOOKUP(D41,Tarif!A:V,22,0)/1000</f>
        <v>0</v>
      </c>
      <c r="H41" s="140">
        <f>MROUND((+VLOOKUP(D41,Tarif!A:R,$L$2,FALSE)+Tarif!$V$1),0.001)</f>
        <v>3.9830000000000001</v>
      </c>
      <c r="I41" s="62">
        <f t="shared" si="1"/>
        <v>0</v>
      </c>
      <c r="L41" s="178">
        <f t="shared" si="0"/>
        <v>10.903749999999999</v>
      </c>
    </row>
    <row r="42" spans="1:14" s="3" customFormat="1" ht="15" customHeight="1" x14ac:dyDescent="0.2">
      <c r="A42" s="21"/>
      <c r="B42" s="43"/>
      <c r="C42" s="44">
        <f t="shared" si="2"/>
        <v>19</v>
      </c>
      <c r="D42" s="204" t="s">
        <v>26</v>
      </c>
      <c r="E42" s="205"/>
      <c r="F42" s="44">
        <f>+VLOOKUP(D42,Tarif!A:S,19,FALSE)</f>
        <v>200</v>
      </c>
      <c r="G42" s="64">
        <f>VLOOKUP(D42,Tarif!A:V,22,0)/1000</f>
        <v>0.5723951367781156</v>
      </c>
      <c r="H42" s="140">
        <f>MROUND((+VLOOKUP(D42,Tarif!A:R,$L$2,FALSE)+Tarif!$V$1),0.001)</f>
        <v>9.5169999999999995</v>
      </c>
      <c r="I42" s="62">
        <f t="shared" si="1"/>
        <v>1903.3999999999999</v>
      </c>
      <c r="L42" s="178" t="e">
        <f t="shared" si="0"/>
        <v>#DIV/0!</v>
      </c>
    </row>
    <row r="43" spans="1:14" s="3" customFormat="1" ht="15" customHeight="1" x14ac:dyDescent="0.2">
      <c r="A43" s="21"/>
      <c r="B43" s="43"/>
      <c r="C43" s="44">
        <f t="shared" si="2"/>
        <v>20</v>
      </c>
      <c r="D43" s="204" t="s">
        <v>27</v>
      </c>
      <c r="E43" s="205"/>
      <c r="F43" s="44">
        <f>+VLOOKUP(D43,Tarif!A:S,19,FALSE)</f>
        <v>160</v>
      </c>
      <c r="G43" s="64">
        <f>VLOOKUP(D43,Tarif!A:V,22,0)/1000</f>
        <v>0.41071610942249243</v>
      </c>
      <c r="H43" s="140">
        <f>MROUND((+VLOOKUP(D43,Tarif!A:R,$L$2,FALSE)+Tarif!$V$1),0.001)</f>
        <v>7.6379999999999999</v>
      </c>
      <c r="I43" s="62">
        <f t="shared" si="1"/>
        <v>1222.08</v>
      </c>
      <c r="L43" s="178" t="e">
        <f t="shared" si="0"/>
        <v>#DIV/0!</v>
      </c>
    </row>
    <row r="44" spans="1:14" s="3" customFormat="1" ht="15" customHeight="1" x14ac:dyDescent="0.2">
      <c r="A44" s="21"/>
      <c r="B44" s="43"/>
      <c r="C44" s="44">
        <f t="shared" si="2"/>
        <v>21</v>
      </c>
      <c r="D44" s="204" t="s">
        <v>28</v>
      </c>
      <c r="E44" s="205"/>
      <c r="F44" s="44">
        <f>+VLOOKUP(D44,Tarif!A:S,19,FALSE)</f>
        <v>80</v>
      </c>
      <c r="G44" s="64">
        <f>VLOOKUP(D44,Tarif!A:V,22,0)/1000</f>
        <v>0.1403980547112462</v>
      </c>
      <c r="H44" s="140">
        <f>MROUND((+VLOOKUP(D44,Tarif!A:R,$L$2,FALSE)+Tarif!$V$1),0.001)</f>
        <v>5.0449999999999999</v>
      </c>
      <c r="I44" s="62">
        <f t="shared" si="1"/>
        <v>403.6</v>
      </c>
      <c r="L44" s="178" t="e">
        <f t="shared" si="0"/>
        <v>#DIV/0!</v>
      </c>
    </row>
    <row r="45" spans="1:14" ht="13.5" thickBot="1" x14ac:dyDescent="0.25">
      <c r="A45" s="4"/>
      <c r="B45" s="23"/>
      <c r="C45" s="44"/>
      <c r="D45" s="204"/>
      <c r="E45" s="205"/>
      <c r="F45" s="44"/>
      <c r="G45" s="64"/>
      <c r="H45" s="65"/>
      <c r="I45" s="62"/>
      <c r="J45" s="72"/>
      <c r="L45" s="178">
        <f t="shared" si="0"/>
        <v>13.084499999999998</v>
      </c>
    </row>
    <row r="46" spans="1:14" ht="13.5" thickBot="1" x14ac:dyDescent="0.25">
      <c r="A46" s="4"/>
      <c r="B46" s="23"/>
      <c r="C46" s="206" t="s">
        <v>13</v>
      </c>
      <c r="D46" s="207"/>
      <c r="E46" s="208"/>
      <c r="F46" s="158">
        <f>SUM(F23:F45)</f>
        <v>3290</v>
      </c>
      <c r="G46" s="52">
        <f>SUM(G23:G45)</f>
        <v>5.1252000000000004</v>
      </c>
      <c r="H46" s="53"/>
      <c r="I46" s="82">
        <f>SUM(I23:I45)</f>
        <v>15148.9</v>
      </c>
      <c r="J46" s="73"/>
      <c r="K46" s="179">
        <f>I46-12532</f>
        <v>2616.8999999999996</v>
      </c>
      <c r="L46" s="178">
        <f>$K$46/F43</f>
        <v>16.355624999999996</v>
      </c>
      <c r="N46" s="167"/>
    </row>
    <row r="47" spans="1:14" x14ac:dyDescent="0.2">
      <c r="A47" s="4"/>
      <c r="B47" s="23"/>
      <c r="C47" s="54" t="s">
        <v>14</v>
      </c>
      <c r="D47" s="55"/>
      <c r="E47" s="55"/>
      <c r="F47" s="55"/>
      <c r="G47" s="55"/>
      <c r="H47" s="27"/>
      <c r="I47" s="56"/>
      <c r="J47" s="74"/>
    </row>
    <row r="48" spans="1:14" ht="15.75" x14ac:dyDescent="0.2">
      <c r="A48" s="4"/>
      <c r="B48" s="23"/>
      <c r="C48" s="202"/>
      <c r="D48" s="203"/>
      <c r="E48" s="203"/>
      <c r="F48" s="203"/>
      <c r="G48" s="203"/>
      <c r="H48" s="203"/>
      <c r="I48" s="57"/>
      <c r="J48" s="74"/>
    </row>
    <row r="49" spans="1:10" x14ac:dyDescent="0.2">
      <c r="A49" s="4"/>
      <c r="B49" s="23"/>
      <c r="C49" s="58" t="s">
        <v>15</v>
      </c>
      <c r="D49" s="21"/>
      <c r="E49" s="21"/>
      <c r="F49" s="21"/>
      <c r="G49" s="21"/>
      <c r="H49" s="22"/>
      <c r="I49" s="31"/>
      <c r="J49" s="69"/>
    </row>
    <row r="50" spans="1:10" x14ac:dyDescent="0.2">
      <c r="A50" s="4"/>
      <c r="B50" s="23"/>
      <c r="C50" s="58" t="s">
        <v>17</v>
      </c>
      <c r="D50" s="21"/>
      <c r="E50" s="21"/>
      <c r="G50" s="21"/>
      <c r="H50" s="22"/>
      <c r="I50" s="31"/>
      <c r="J50" s="69"/>
    </row>
    <row r="51" spans="1:10" x14ac:dyDescent="0.2">
      <c r="A51" s="4"/>
      <c r="B51" s="23"/>
      <c r="C51" s="58" t="s">
        <v>128</v>
      </c>
      <c r="D51" s="21"/>
      <c r="E51" s="173">
        <v>3</v>
      </c>
      <c r="F51" s="21"/>
      <c r="G51" s="21"/>
      <c r="H51" s="22"/>
      <c r="I51" s="31"/>
      <c r="J51" s="69"/>
    </row>
    <row r="52" spans="1:10" x14ac:dyDescent="0.2">
      <c r="A52" s="4"/>
      <c r="B52" s="59"/>
      <c r="C52" s="58" t="s">
        <v>119</v>
      </c>
      <c r="E52" s="159">
        <f>+G46*1000</f>
        <v>5125.2000000000007</v>
      </c>
      <c r="F52" s="21"/>
      <c r="G52" s="21"/>
      <c r="H52" s="22"/>
      <c r="I52" s="31"/>
      <c r="J52" s="69"/>
    </row>
    <row r="53" spans="1:10" x14ac:dyDescent="0.2">
      <c r="A53" s="4"/>
      <c r="B53" s="59"/>
      <c r="C53" s="58" t="s">
        <v>120</v>
      </c>
      <c r="E53" s="159">
        <f>+E52+(E51*25)</f>
        <v>5200.2000000000007</v>
      </c>
      <c r="F53" s="21"/>
      <c r="G53" s="21"/>
      <c r="H53" s="22"/>
      <c r="I53" s="31"/>
      <c r="J53" s="69"/>
    </row>
    <row r="54" spans="1:10" x14ac:dyDescent="0.2">
      <c r="A54" s="4"/>
      <c r="B54" s="59"/>
      <c r="C54" s="81" t="s">
        <v>30</v>
      </c>
      <c r="D54" s="21"/>
      <c r="E54" s="21"/>
      <c r="F54" s="21"/>
      <c r="G54" s="21"/>
      <c r="H54" s="22"/>
      <c r="I54" s="31"/>
      <c r="J54" s="69"/>
    </row>
    <row r="55" spans="1:10" x14ac:dyDescent="0.2">
      <c r="A55" s="4"/>
      <c r="B55" s="59"/>
      <c r="C55" s="58"/>
      <c r="D55" s="21"/>
      <c r="E55" s="21"/>
      <c r="F55" s="21"/>
      <c r="G55" s="21"/>
      <c r="H55" s="22"/>
      <c r="I55" s="31"/>
      <c r="J55" s="69"/>
    </row>
    <row r="56" spans="1:10" ht="13.5" thickBot="1" x14ac:dyDescent="0.25">
      <c r="A56" s="4"/>
      <c r="B56" s="59"/>
      <c r="C56" s="60"/>
      <c r="D56" s="61"/>
      <c r="E56" s="61"/>
      <c r="F56" s="61"/>
      <c r="G56" s="61"/>
      <c r="H56" s="36"/>
      <c r="I56" s="37"/>
      <c r="J56" s="69"/>
    </row>
    <row r="57" spans="1:10" x14ac:dyDescent="0.2">
      <c r="A57" s="4"/>
      <c r="B57" s="4"/>
      <c r="C57" s="5"/>
      <c r="D57" s="5"/>
      <c r="E57" s="5"/>
      <c r="F57" s="5"/>
      <c r="G57" s="5"/>
      <c r="H57" s="6"/>
      <c r="I57" s="5"/>
      <c r="J57" s="75"/>
    </row>
    <row r="58" spans="1:10" x14ac:dyDescent="0.2">
      <c r="A58" s="4"/>
      <c r="B58" s="4"/>
      <c r="C58" s="5"/>
      <c r="D58" s="5"/>
      <c r="E58" s="5"/>
      <c r="F58" s="5"/>
      <c r="G58" s="5"/>
      <c r="H58" s="6"/>
      <c r="I58" s="5"/>
      <c r="J58" s="75"/>
    </row>
    <row r="59" spans="1:10" x14ac:dyDescent="0.2">
      <c r="A59" s="4"/>
      <c r="B59" s="4"/>
    </row>
    <row r="60" spans="1:10" x14ac:dyDescent="0.2">
      <c r="A60" s="4"/>
      <c r="B60" s="4"/>
    </row>
    <row r="61" spans="1:10" x14ac:dyDescent="0.2">
      <c r="A61" s="4"/>
      <c r="B61" s="4"/>
    </row>
    <row r="62" spans="1:10" x14ac:dyDescent="0.2">
      <c r="A62" s="4"/>
      <c r="B62" s="4"/>
    </row>
    <row r="63" spans="1:10" x14ac:dyDescent="0.2">
      <c r="A63" s="4"/>
      <c r="B63" s="4"/>
    </row>
    <row r="64" spans="1:10" x14ac:dyDescent="0.2">
      <c r="A64" s="4"/>
      <c r="B64" s="4"/>
    </row>
    <row r="65" spans="1:2" x14ac:dyDescent="0.2">
      <c r="A65" s="4"/>
      <c r="B65" s="4"/>
    </row>
    <row r="66" spans="1:2" x14ac:dyDescent="0.2">
      <c r="A66" s="4"/>
      <c r="B66" s="4"/>
    </row>
    <row r="67" spans="1:2" x14ac:dyDescent="0.2">
      <c r="A67" s="4"/>
      <c r="B67" s="4"/>
    </row>
    <row r="68" spans="1:2" x14ac:dyDescent="0.2">
      <c r="A68" s="4"/>
      <c r="B68" s="4"/>
    </row>
    <row r="69" spans="1:2" x14ac:dyDescent="0.2">
      <c r="A69" s="4"/>
      <c r="B69" s="4"/>
    </row>
    <row r="70" spans="1:2" x14ac:dyDescent="0.2">
      <c r="A70" s="4"/>
      <c r="B70" s="4"/>
    </row>
    <row r="71" spans="1:2" x14ac:dyDescent="0.2">
      <c r="A71" s="4"/>
      <c r="B71" s="4"/>
    </row>
    <row r="72" spans="1:2" x14ac:dyDescent="0.2">
      <c r="A72" s="4"/>
      <c r="B72" s="4"/>
    </row>
    <row r="73" spans="1:2" x14ac:dyDescent="0.2">
      <c r="A73" s="4"/>
      <c r="B73" s="4"/>
    </row>
    <row r="74" spans="1:2" x14ac:dyDescent="0.2">
      <c r="A74" s="4"/>
      <c r="B74" s="4"/>
    </row>
    <row r="75" spans="1:2" x14ac:dyDescent="0.2">
      <c r="A75" s="4"/>
      <c r="B75" s="4"/>
    </row>
    <row r="76" spans="1:2" x14ac:dyDescent="0.2">
      <c r="A76" s="4"/>
      <c r="B76" s="4"/>
    </row>
    <row r="77" spans="1:2" x14ac:dyDescent="0.2">
      <c r="A77" s="4"/>
      <c r="B77" s="4"/>
    </row>
    <row r="78" spans="1:2" x14ac:dyDescent="0.2">
      <c r="A78" s="4"/>
      <c r="B78" s="4"/>
    </row>
    <row r="79" spans="1:2" x14ac:dyDescent="0.2">
      <c r="A79" s="4"/>
      <c r="B79" s="4"/>
    </row>
    <row r="80" spans="1:2" x14ac:dyDescent="0.2">
      <c r="A80" s="4"/>
      <c r="B80" s="4"/>
    </row>
    <row r="81" spans="1:9" x14ac:dyDescent="0.2">
      <c r="A81" s="4"/>
      <c r="B81" s="4"/>
    </row>
    <row r="82" spans="1:9" x14ac:dyDescent="0.2">
      <c r="A82" s="4"/>
      <c r="B82" s="4"/>
    </row>
    <row r="83" spans="1:9" x14ac:dyDescent="0.2">
      <c r="A83" s="4"/>
      <c r="B83" s="4"/>
    </row>
    <row r="84" spans="1:9" x14ac:dyDescent="0.2">
      <c r="A84" s="4"/>
      <c r="B84" s="4"/>
    </row>
    <row r="85" spans="1:9" x14ac:dyDescent="0.2">
      <c r="A85" s="4"/>
      <c r="B85" s="4"/>
    </row>
    <row r="86" spans="1:9" x14ac:dyDescent="0.2">
      <c r="A86" s="4"/>
      <c r="B86" s="4"/>
    </row>
    <row r="87" spans="1:9" x14ac:dyDescent="0.2">
      <c r="A87" s="4"/>
      <c r="B87" s="4"/>
    </row>
    <row r="88" spans="1:9" x14ac:dyDescent="0.2">
      <c r="A88" s="4"/>
      <c r="B88" s="4"/>
    </row>
    <row r="89" spans="1:9" x14ac:dyDescent="0.2">
      <c r="A89" s="4"/>
      <c r="B89" s="4"/>
    </row>
    <row r="90" spans="1:9" x14ac:dyDescent="0.2">
      <c r="A90" s="4"/>
      <c r="B90" s="4"/>
    </row>
    <row r="91" spans="1:9" x14ac:dyDescent="0.2">
      <c r="A91" s="4"/>
      <c r="B91" s="4"/>
    </row>
    <row r="92" spans="1:9" x14ac:dyDescent="0.2">
      <c r="A92" s="4"/>
      <c r="B92" s="4"/>
    </row>
    <row r="93" spans="1:9" x14ac:dyDescent="0.2">
      <c r="A93" s="4"/>
      <c r="B93" s="4"/>
    </row>
    <row r="94" spans="1:9" x14ac:dyDescent="0.2">
      <c r="A94" s="4"/>
      <c r="B94" s="4"/>
      <c r="C94" s="4"/>
      <c r="D94" s="4"/>
      <c r="E94" s="4"/>
      <c r="F94" s="4"/>
      <c r="G94" s="4"/>
      <c r="H94" s="8"/>
      <c r="I94" s="4"/>
    </row>
    <row r="95" spans="1:9" x14ac:dyDescent="0.2">
      <c r="A95" s="4"/>
      <c r="B95" s="4"/>
      <c r="C95" s="4"/>
      <c r="D95" s="4"/>
      <c r="E95" s="4"/>
      <c r="F95" s="4"/>
      <c r="G95" s="4"/>
      <c r="H95" s="8"/>
      <c r="I95" s="4"/>
    </row>
    <row r="96" spans="1:9" x14ac:dyDescent="0.2">
      <c r="A96" s="4"/>
      <c r="B96" s="4"/>
      <c r="C96" s="4"/>
      <c r="D96" s="4"/>
      <c r="E96" s="4"/>
      <c r="F96" s="4"/>
      <c r="G96" s="4"/>
      <c r="H96" s="8"/>
      <c r="I96" s="4"/>
    </row>
    <row r="97" spans="1:9" x14ac:dyDescent="0.2">
      <c r="A97" s="4"/>
      <c r="B97" s="4"/>
      <c r="C97" s="4"/>
      <c r="D97" s="4"/>
      <c r="E97" s="4"/>
      <c r="F97" s="4"/>
      <c r="G97" s="4"/>
      <c r="H97" s="8"/>
      <c r="I97" s="4"/>
    </row>
  </sheetData>
  <autoFilter ref="C21:I45" xr:uid="{00000000-0001-0000-0000-000000000000}">
    <filterColumn colId="1" showButton="0"/>
  </autoFilter>
  <mergeCells count="32">
    <mergeCell ref="C48:H48"/>
    <mergeCell ref="D36:E36"/>
    <mergeCell ref="D37:E37"/>
    <mergeCell ref="D38:E38"/>
    <mergeCell ref="D39:E39"/>
    <mergeCell ref="D40:E40"/>
    <mergeCell ref="D41:E41"/>
    <mergeCell ref="D42:E42"/>
    <mergeCell ref="D43:E43"/>
    <mergeCell ref="D44:E44"/>
    <mergeCell ref="D45:E45"/>
    <mergeCell ref="C46:E46"/>
    <mergeCell ref="D35:E35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E6:H6"/>
    <mergeCell ref="E7:I7"/>
    <mergeCell ref="C17:F17"/>
    <mergeCell ref="C19:I19"/>
    <mergeCell ref="C21:C22"/>
    <mergeCell ref="D21:E22"/>
    <mergeCell ref="F21:F22"/>
    <mergeCell ref="G21:G22"/>
  </mergeCells>
  <printOptions horizontalCentered="1"/>
  <pageMargins left="0.16" right="0.25" top="0.19685039370078741" bottom="0.19685039370078741" header="0.31496062992125984" footer="0.31496062992125984"/>
  <pageSetup paperSize="9" orientation="portrait" horizontalDpi="180" verticalDpi="180" r:id="rId1"/>
  <drawing r:id="rId2"/>
  <legacyDrawing r:id="rId3"/>
  <oleObjects>
    <mc:AlternateContent xmlns:mc="http://schemas.openxmlformats.org/markup-compatibility/2006">
      <mc:Choice Requires="x14">
        <oleObject progId="Word.Picture.8" shapeId="25601" r:id="rId4">
          <objectPr defaultSize="0" autoPict="0" r:id="rId5">
            <anchor moveWithCells="1" sizeWithCells="1">
              <from>
                <xdr:col>0</xdr:col>
                <xdr:colOff>28575</xdr:colOff>
                <xdr:row>0</xdr:row>
                <xdr:rowOff>9525</xdr:rowOff>
              </from>
              <to>
                <xdr:col>3</xdr:col>
                <xdr:colOff>342900</xdr:colOff>
                <xdr:row>6</xdr:row>
                <xdr:rowOff>85725</xdr:rowOff>
              </to>
            </anchor>
          </objectPr>
        </oleObject>
      </mc:Choice>
      <mc:Fallback>
        <oleObject progId="Word.Picture.8" shapeId="25601" r:id="rId4"/>
      </mc:Fallback>
    </mc:AlternateContent>
  </oleObjec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99D2CE-44FE-4677-85D3-C3BCAF8B45EC}">
  <sheetPr>
    <pageSetUpPr fitToPage="1"/>
  </sheetPr>
  <dimension ref="A1:J58"/>
  <sheetViews>
    <sheetView tabSelected="1" view="pageBreakPreview" topLeftCell="A30" zoomScale="70" zoomScaleNormal="85" zoomScaleSheetLayoutView="70" workbookViewId="0">
      <selection activeCell="H39" sqref="H39"/>
    </sheetView>
  </sheetViews>
  <sheetFormatPr baseColWidth="10" defaultRowHeight="21" x14ac:dyDescent="0.35"/>
  <cols>
    <col min="1" max="1" width="3.140625" style="87" customWidth="1"/>
    <col min="2" max="2" width="1.42578125" style="88" customWidth="1"/>
    <col min="3" max="3" width="1.5703125" style="88" customWidth="1"/>
    <col min="4" max="4" width="20.5703125" style="104" customWidth="1"/>
    <col min="5" max="5" width="46.5703125" style="88" customWidth="1"/>
    <col min="6" max="6" width="51.140625" style="88" customWidth="1"/>
    <col min="7" max="7" width="10.85546875" customWidth="1"/>
    <col min="8" max="8" width="17.28515625" customWidth="1"/>
  </cols>
  <sheetData>
    <row r="1" spans="1:6" s="90" customFormat="1" x14ac:dyDescent="0.35">
      <c r="A1" s="87"/>
      <c r="B1" s="88"/>
      <c r="C1" s="88"/>
      <c r="D1" s="88"/>
      <c r="E1" s="89"/>
      <c r="F1" s="88"/>
    </row>
    <row r="2" spans="1:6" s="90" customFormat="1" ht="22.5" x14ac:dyDescent="0.35">
      <c r="A2" s="87"/>
      <c r="B2" s="88"/>
      <c r="C2" s="88"/>
      <c r="E2" s="239" t="s">
        <v>57</v>
      </c>
      <c r="F2" s="240"/>
    </row>
    <row r="3" spans="1:6" s="90" customFormat="1" x14ac:dyDescent="0.35">
      <c r="A3" s="87"/>
      <c r="B3" s="88"/>
      <c r="C3" s="88"/>
      <c r="D3" s="88"/>
      <c r="E3" s="241" t="s">
        <v>49</v>
      </c>
      <c r="F3" s="241"/>
    </row>
    <row r="4" spans="1:6" s="90" customFormat="1" x14ac:dyDescent="0.35">
      <c r="A4" s="87"/>
      <c r="B4" s="88"/>
      <c r="C4" s="88"/>
      <c r="D4" s="88"/>
      <c r="E4" s="241" t="s">
        <v>50</v>
      </c>
      <c r="F4" s="241"/>
    </row>
    <row r="5" spans="1:6" s="90" customFormat="1" x14ac:dyDescent="0.35">
      <c r="A5" s="87"/>
      <c r="B5" s="88"/>
      <c r="C5" s="88"/>
      <c r="D5" s="88"/>
      <c r="E5" s="91" t="s">
        <v>51</v>
      </c>
      <c r="F5" s="88"/>
    </row>
    <row r="6" spans="1:6" s="90" customFormat="1" x14ac:dyDescent="0.35">
      <c r="A6" s="87"/>
      <c r="B6" s="88"/>
      <c r="C6" s="88"/>
      <c r="D6" s="88"/>
      <c r="E6" s="92" t="s">
        <v>52</v>
      </c>
      <c r="F6" s="88"/>
    </row>
    <row r="7" spans="1:6" s="90" customFormat="1" ht="13.5" x14ac:dyDescent="0.25">
      <c r="A7" s="242"/>
      <c r="B7" s="242"/>
      <c r="C7" s="242"/>
      <c r="D7" s="242"/>
      <c r="E7" s="242"/>
      <c r="F7" s="242"/>
    </row>
    <row r="8" spans="1:6" s="90" customFormat="1" x14ac:dyDescent="0.35">
      <c r="A8" s="87"/>
      <c r="B8" s="88"/>
      <c r="C8" s="94"/>
      <c r="D8" s="95"/>
      <c r="E8" s="95"/>
      <c r="F8" s="145"/>
    </row>
    <row r="9" spans="1:6" s="90" customFormat="1" ht="21.75" thickBot="1" x14ac:dyDescent="0.4">
      <c r="A9" s="87"/>
      <c r="B9" s="88"/>
      <c r="C9" s="114"/>
      <c r="D9" s="115" t="s">
        <v>157</v>
      </c>
      <c r="E9" s="88"/>
      <c r="F9" s="93"/>
    </row>
    <row r="10" spans="1:6" x14ac:dyDescent="0.35">
      <c r="C10" s="114"/>
      <c r="D10" s="105" t="s">
        <v>56</v>
      </c>
      <c r="E10" s="96"/>
      <c r="F10" s="146"/>
    </row>
    <row r="11" spans="1:6" ht="23.25" x14ac:dyDescent="0.35">
      <c r="C11" s="114"/>
      <c r="D11" s="107" t="str">
        <f>'FN230071'!C12</f>
        <v>Batteriedienst Hempe</v>
      </c>
      <c r="E11" s="106"/>
      <c r="F11" s="147"/>
    </row>
    <row r="12" spans="1:6" x14ac:dyDescent="0.35">
      <c r="C12" s="114"/>
      <c r="D12" s="97" t="str">
        <f>'FN230071'!C13</f>
        <v>Weimarische Str. 128, 99625 Großneuhausen, Germany </v>
      </c>
      <c r="E12" s="106"/>
      <c r="F12" s="147"/>
    </row>
    <row r="13" spans="1:6" x14ac:dyDescent="0.35">
      <c r="C13" s="114"/>
      <c r="D13" s="97" t="str">
        <f>'FN230071'!C14</f>
        <v>USt-Id-Nr: DE 815903643</v>
      </c>
      <c r="E13" s="106"/>
      <c r="F13" s="147"/>
    </row>
    <row r="14" spans="1:6" x14ac:dyDescent="0.35">
      <c r="C14" s="114"/>
      <c r="D14" s="97" t="str">
        <f>'FN230071'!C15</f>
        <v>Steuernummer : 151/230/26214</v>
      </c>
      <c r="E14" s="106"/>
      <c r="F14" s="147"/>
    </row>
    <row r="15" spans="1:6" x14ac:dyDescent="0.35">
      <c r="A15"/>
      <c r="C15" s="116"/>
      <c r="D15" s="97" t="str">
        <f>'FN230071'!C16</f>
        <v>Email : sabrina@batteriedienst-hempe.de  /  info@nour-batteries.de</v>
      </c>
      <c r="E15" s="106"/>
      <c r="F15" s="147"/>
    </row>
    <row r="16" spans="1:6" x14ac:dyDescent="0.35">
      <c r="C16" s="114"/>
      <c r="D16" s="97" t="str">
        <f>'FN230071'!C17</f>
        <v>Tél : 00491714020578</v>
      </c>
      <c r="E16" s="106"/>
      <c r="F16" s="147"/>
    </row>
    <row r="17" spans="1:10" ht="21.75" thickBot="1" x14ac:dyDescent="0.4">
      <c r="C17" s="114"/>
      <c r="D17" s="243"/>
      <c r="E17" s="244"/>
      <c r="F17" s="148"/>
    </row>
    <row r="18" spans="1:10" ht="21.75" thickBot="1" x14ac:dyDescent="0.4">
      <c r="C18" s="114"/>
      <c r="D18" s="236" t="s">
        <v>53</v>
      </c>
      <c r="E18" s="237"/>
      <c r="F18" s="238"/>
    </row>
    <row r="19" spans="1:10" ht="21.75" thickBot="1" x14ac:dyDescent="0.4">
      <c r="C19" s="114"/>
      <c r="D19" s="226" t="s">
        <v>156</v>
      </c>
      <c r="E19" s="227"/>
      <c r="F19" s="228"/>
    </row>
    <row r="20" spans="1:10" ht="36.75" customHeight="1" thickBot="1" x14ac:dyDescent="0.4">
      <c r="C20" s="114"/>
      <c r="D20" s="229"/>
      <c r="E20" s="230"/>
      <c r="F20" s="231"/>
    </row>
    <row r="21" spans="1:10" ht="42" x14ac:dyDescent="0.2">
      <c r="A21" s="98"/>
      <c r="B21" s="144"/>
      <c r="C21" s="117"/>
      <c r="D21" s="108" t="s">
        <v>54</v>
      </c>
      <c r="E21" s="109" t="s">
        <v>7</v>
      </c>
      <c r="F21" s="109" t="s">
        <v>55</v>
      </c>
      <c r="I21" t="s">
        <v>110</v>
      </c>
    </row>
    <row r="22" spans="1:10" ht="37.5" customHeight="1" x14ac:dyDescent="0.2">
      <c r="A22"/>
      <c r="B22"/>
      <c r="C22" s="116"/>
      <c r="D22" s="232">
        <v>1</v>
      </c>
      <c r="E22" s="161" t="s">
        <v>29</v>
      </c>
      <c r="F22" s="160">
        <v>500</v>
      </c>
      <c r="I22" t="s">
        <v>111</v>
      </c>
      <c r="J22" t="s">
        <v>55</v>
      </c>
    </row>
    <row r="23" spans="1:10" ht="37.5" customHeight="1" x14ac:dyDescent="0.2">
      <c r="A23"/>
      <c r="B23"/>
      <c r="C23" s="116"/>
      <c r="D23" s="233"/>
      <c r="E23" s="161" t="s">
        <v>31</v>
      </c>
      <c r="F23" s="160">
        <v>800</v>
      </c>
    </row>
    <row r="24" spans="1:10" ht="37.5" customHeight="1" x14ac:dyDescent="0.2">
      <c r="A24"/>
      <c r="B24"/>
      <c r="C24" s="116"/>
      <c r="D24" s="233"/>
      <c r="E24" s="161" t="s">
        <v>106</v>
      </c>
      <c r="F24" s="160">
        <v>100</v>
      </c>
    </row>
    <row r="25" spans="1:10" ht="37.5" customHeight="1" x14ac:dyDescent="0.2">
      <c r="A25"/>
      <c r="B25"/>
      <c r="C25" s="116"/>
      <c r="D25" s="233"/>
      <c r="E25" s="161" t="s">
        <v>150</v>
      </c>
      <c r="F25" s="160">
        <v>80</v>
      </c>
    </row>
    <row r="26" spans="1:10" ht="37.5" customHeight="1" x14ac:dyDescent="0.2">
      <c r="A26"/>
      <c r="B26"/>
      <c r="C26" s="116"/>
      <c r="D26" s="233"/>
      <c r="E26" s="161" t="s">
        <v>107</v>
      </c>
      <c r="F26" s="160">
        <v>50</v>
      </c>
    </row>
    <row r="27" spans="1:10" ht="37.5" customHeight="1" x14ac:dyDescent="0.2">
      <c r="A27"/>
      <c r="B27"/>
      <c r="C27" s="116"/>
      <c r="D27" s="233"/>
      <c r="E27" s="161" t="s">
        <v>26</v>
      </c>
      <c r="F27" s="160">
        <v>200</v>
      </c>
      <c r="G27" s="161"/>
    </row>
    <row r="28" spans="1:10" ht="37.5" customHeight="1" x14ac:dyDescent="0.2">
      <c r="A28"/>
      <c r="B28"/>
      <c r="C28" s="116"/>
      <c r="D28" s="200">
        <v>2</v>
      </c>
      <c r="E28" s="161" t="s">
        <v>18</v>
      </c>
      <c r="F28" s="160">
        <v>400</v>
      </c>
    </row>
    <row r="29" spans="1:10" ht="37.5" customHeight="1" x14ac:dyDescent="0.2">
      <c r="A29"/>
      <c r="B29"/>
      <c r="C29" s="116"/>
      <c r="D29" s="234">
        <v>3</v>
      </c>
      <c r="E29" s="161" t="s">
        <v>19</v>
      </c>
      <c r="F29" s="160">
        <v>180</v>
      </c>
      <c r="H29" s="161"/>
    </row>
    <row r="30" spans="1:10" ht="37.5" customHeight="1" x14ac:dyDescent="0.2">
      <c r="A30"/>
      <c r="B30"/>
      <c r="C30" s="116"/>
      <c r="D30" s="234"/>
      <c r="E30" s="161" t="s">
        <v>133</v>
      </c>
      <c r="F30" s="160">
        <v>240</v>
      </c>
    </row>
    <row r="31" spans="1:10" ht="37.5" customHeight="1" x14ac:dyDescent="0.2">
      <c r="A31"/>
      <c r="B31"/>
      <c r="C31" s="116"/>
      <c r="D31" s="234"/>
      <c r="E31" s="161" t="s">
        <v>27</v>
      </c>
      <c r="F31" s="160">
        <v>160</v>
      </c>
      <c r="I31" t="s">
        <v>112</v>
      </c>
      <c r="J31">
        <v>250</v>
      </c>
    </row>
    <row r="32" spans="1:10" ht="37.5" customHeight="1" x14ac:dyDescent="0.2">
      <c r="A32"/>
      <c r="B32"/>
      <c r="C32" s="116"/>
      <c r="D32" s="234"/>
      <c r="E32" s="161" t="s">
        <v>132</v>
      </c>
      <c r="F32" s="160">
        <v>80</v>
      </c>
    </row>
    <row r="33" spans="1:10" ht="37.5" customHeight="1" x14ac:dyDescent="0.2">
      <c r="A33"/>
      <c r="B33"/>
      <c r="C33" s="116"/>
      <c r="D33" s="232">
        <v>4</v>
      </c>
      <c r="E33" s="161" t="s">
        <v>18</v>
      </c>
      <c r="F33" s="160">
        <v>200</v>
      </c>
    </row>
    <row r="34" spans="1:10" ht="37.5" customHeight="1" x14ac:dyDescent="0.2">
      <c r="A34"/>
      <c r="B34"/>
      <c r="C34" s="116"/>
      <c r="D34" s="235"/>
      <c r="E34" s="161" t="s">
        <v>19</v>
      </c>
      <c r="F34" s="160">
        <v>300</v>
      </c>
    </row>
    <row r="35" spans="1:10" ht="35.25" customHeight="1" thickBot="1" x14ac:dyDescent="0.4">
      <c r="C35" s="99"/>
      <c r="D35" s="224" t="s">
        <v>102</v>
      </c>
      <c r="E35" s="225"/>
      <c r="F35" s="199">
        <f>+SUM(F22:F34)</f>
        <v>3290</v>
      </c>
      <c r="I35" t="s">
        <v>111</v>
      </c>
      <c r="J35" t="s">
        <v>55</v>
      </c>
    </row>
    <row r="36" spans="1:10" ht="24.95" customHeight="1" x14ac:dyDescent="0.35">
      <c r="C36" s="99"/>
      <c r="D36" s="111"/>
      <c r="E36" s="157"/>
      <c r="F36" s="149"/>
    </row>
    <row r="37" spans="1:10" ht="24.95" customHeight="1" x14ac:dyDescent="0.35">
      <c r="C37" s="99"/>
      <c r="D37" s="111"/>
      <c r="E37" s="157"/>
      <c r="F37" s="149"/>
    </row>
    <row r="38" spans="1:10" ht="24.95" customHeight="1" x14ac:dyDescent="0.35">
      <c r="C38" s="99"/>
      <c r="D38" s="32" t="s">
        <v>15</v>
      </c>
      <c r="E38" s="110"/>
      <c r="F38" s="149"/>
      <c r="I38" t="s">
        <v>113</v>
      </c>
      <c r="J38">
        <v>400</v>
      </c>
    </row>
    <row r="39" spans="1:10" ht="24.95" customHeight="1" x14ac:dyDescent="0.35">
      <c r="C39" s="99"/>
      <c r="D39" s="32" t="s">
        <v>33</v>
      </c>
      <c r="E39" s="110"/>
      <c r="F39" s="149"/>
      <c r="I39" t="s">
        <v>114</v>
      </c>
      <c r="J39">
        <v>350</v>
      </c>
    </row>
    <row r="40" spans="1:10" ht="24.95" customHeight="1" x14ac:dyDescent="0.35">
      <c r="C40" s="99"/>
      <c r="D40" s="32" t="str">
        <f>+'FN230114'!C56</f>
        <v>* Poids net   :</v>
      </c>
      <c r="E40" s="181">
        <v>5125</v>
      </c>
      <c r="F40" s="149"/>
    </row>
    <row r="41" spans="1:10" ht="24.95" customHeight="1" x14ac:dyDescent="0.35">
      <c r="C41" s="99"/>
      <c r="D41" s="32" t="str">
        <f>+'FN230114'!C57</f>
        <v xml:space="preserve">* Poids Brut : </v>
      </c>
      <c r="E41" s="182">
        <v>5225</v>
      </c>
      <c r="F41" s="149"/>
    </row>
    <row r="42" spans="1:10" ht="24.95" customHeight="1" x14ac:dyDescent="0.35">
      <c r="C42" s="99"/>
      <c r="D42" s="111"/>
      <c r="E42" s="110"/>
      <c r="F42" s="149"/>
    </row>
    <row r="43" spans="1:10" ht="24.95" customHeight="1" x14ac:dyDescent="0.35">
      <c r="C43" s="99"/>
      <c r="D43" s="111"/>
      <c r="E43" s="110"/>
      <c r="F43" s="149"/>
    </row>
    <row r="44" spans="1:10" ht="24.95" customHeight="1" x14ac:dyDescent="0.35">
      <c r="C44" s="99"/>
      <c r="D44" s="111"/>
      <c r="E44" s="110"/>
      <c r="F44" s="149"/>
    </row>
    <row r="45" spans="1:10" ht="24.95" customHeight="1" thickBot="1" x14ac:dyDescent="0.4">
      <c r="C45" s="99"/>
      <c r="D45" s="112"/>
      <c r="E45" s="113"/>
      <c r="F45" s="150"/>
    </row>
    <row r="46" spans="1:10" x14ac:dyDescent="0.35">
      <c r="A46" s="100"/>
      <c r="B46" s="101"/>
      <c r="C46" s="151"/>
      <c r="D46" s="152"/>
      <c r="E46" s="153"/>
      <c r="F46" s="154"/>
    </row>
    <row r="47" spans="1:10" s="90" customFormat="1" x14ac:dyDescent="0.35">
      <c r="A47" s="102"/>
      <c r="B47" s="103"/>
      <c r="C47" s="103"/>
      <c r="D47" s="88"/>
      <c r="E47" s="88"/>
      <c r="F47" s="88"/>
    </row>
    <row r="48" spans="1:10" s="90" customFormat="1" x14ac:dyDescent="0.35">
      <c r="A48" s="87"/>
      <c r="B48" s="88"/>
      <c r="C48" s="88"/>
      <c r="D48" s="88"/>
      <c r="E48" s="88"/>
      <c r="F48" s="88"/>
    </row>
    <row r="49" spans="1:6" s="90" customFormat="1" x14ac:dyDescent="0.35">
      <c r="A49" s="87"/>
      <c r="B49" s="88"/>
      <c r="C49" s="88"/>
      <c r="D49" s="88"/>
      <c r="E49" s="88"/>
      <c r="F49" s="88"/>
    </row>
    <row r="50" spans="1:6" s="90" customFormat="1" x14ac:dyDescent="0.35">
      <c r="A50" s="87"/>
      <c r="B50" s="88"/>
      <c r="C50" s="88"/>
      <c r="D50" s="88"/>
      <c r="E50" s="88"/>
      <c r="F50" s="88"/>
    </row>
    <row r="51" spans="1:6" s="90" customFormat="1" x14ac:dyDescent="0.35">
      <c r="A51" s="87"/>
      <c r="B51" s="88"/>
      <c r="C51" s="88"/>
      <c r="D51" s="88"/>
      <c r="E51" s="88"/>
      <c r="F51" s="88"/>
    </row>
    <row r="52" spans="1:6" s="90" customFormat="1" x14ac:dyDescent="0.35">
      <c r="A52" s="87"/>
      <c r="B52" s="88"/>
      <c r="C52" s="88"/>
      <c r="D52" s="88"/>
      <c r="E52" s="88"/>
      <c r="F52" s="88"/>
    </row>
    <row r="53" spans="1:6" s="90" customFormat="1" x14ac:dyDescent="0.35">
      <c r="A53" s="87"/>
      <c r="B53" s="88"/>
      <c r="C53" s="88"/>
      <c r="D53" s="88"/>
      <c r="E53" s="88"/>
      <c r="F53" s="88"/>
    </row>
    <row r="54" spans="1:6" s="90" customFormat="1" x14ac:dyDescent="0.35">
      <c r="A54" s="87"/>
      <c r="B54" s="88"/>
      <c r="C54" s="88"/>
      <c r="D54" s="88"/>
      <c r="E54" s="88"/>
      <c r="F54" s="88"/>
    </row>
    <row r="55" spans="1:6" s="90" customFormat="1" x14ac:dyDescent="0.35">
      <c r="A55" s="87"/>
      <c r="B55" s="88"/>
      <c r="C55" s="88"/>
      <c r="D55" s="88"/>
      <c r="E55" s="88"/>
      <c r="F55" s="88"/>
    </row>
    <row r="56" spans="1:6" s="90" customFormat="1" x14ac:dyDescent="0.35">
      <c r="A56" s="87"/>
      <c r="B56" s="88"/>
      <c r="C56" s="88"/>
      <c r="D56" s="88"/>
      <c r="E56" s="88"/>
      <c r="F56" s="88"/>
    </row>
    <row r="57" spans="1:6" s="90" customFormat="1" x14ac:dyDescent="0.35">
      <c r="A57" s="87"/>
      <c r="B57" s="88"/>
      <c r="C57" s="88"/>
      <c r="D57" s="88"/>
      <c r="E57" s="88"/>
      <c r="F57" s="88"/>
    </row>
    <row r="58" spans="1:6" s="90" customFormat="1" x14ac:dyDescent="0.35">
      <c r="A58" s="87"/>
      <c r="B58" s="88"/>
      <c r="C58" s="88"/>
      <c r="D58" s="88"/>
      <c r="E58" s="88"/>
      <c r="F58" s="88"/>
    </row>
  </sheetData>
  <mergeCells count="12">
    <mergeCell ref="D18:F18"/>
    <mergeCell ref="E2:F2"/>
    <mergeCell ref="E3:F3"/>
    <mergeCell ref="E4:F4"/>
    <mergeCell ref="A7:F7"/>
    <mergeCell ref="D17:E17"/>
    <mergeCell ref="D35:E35"/>
    <mergeCell ref="D19:F19"/>
    <mergeCell ref="D20:F20"/>
    <mergeCell ref="D22:D27"/>
    <mergeCell ref="D29:D32"/>
    <mergeCell ref="D33:D34"/>
  </mergeCells>
  <printOptions horizontalCentered="1"/>
  <pageMargins left="0.19685039370078741" right="0.19685039370078741" top="0.19685039370078741" bottom="1.1811023622047245" header="0.31496062992125984" footer="0.31496062992125984"/>
  <pageSetup paperSize="9" scale="59" orientation="portrait" horizontalDpi="4294967293" verticalDpi="18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1B0F5-2386-4475-87F0-DB59CD76DB1D}">
  <dimension ref="A2:P84"/>
  <sheetViews>
    <sheetView topLeftCell="A19" zoomScale="115" zoomScaleNormal="115" workbookViewId="0">
      <selection activeCell="H23" sqref="H23:H30"/>
    </sheetView>
  </sheetViews>
  <sheetFormatPr baseColWidth="10" defaultColWidth="11.5703125" defaultRowHeight="12.75" x14ac:dyDescent="0.2"/>
  <cols>
    <col min="1" max="1" width="1.85546875" style="1" customWidth="1"/>
    <col min="2" max="2" width="2.140625" style="1" customWidth="1"/>
    <col min="3" max="3" width="4.28515625" style="1" customWidth="1"/>
    <col min="4" max="4" width="13" style="1" customWidth="1"/>
    <col min="5" max="5" width="24.28515625" style="1" customWidth="1"/>
    <col min="6" max="6" width="12" style="1" bestFit="1" customWidth="1"/>
    <col min="7" max="7" width="12.85546875" style="1" customWidth="1"/>
    <col min="8" max="8" width="12.28515625" style="7" bestFit="1" customWidth="1"/>
    <col min="9" max="9" width="13" style="1" customWidth="1"/>
    <col min="10" max="10" width="13" style="66" hidden="1" customWidth="1"/>
    <col min="11" max="11" width="12.28515625" style="1" hidden="1" customWidth="1"/>
    <col min="12" max="12" width="11.5703125" style="7" hidden="1" customWidth="1"/>
    <col min="13" max="13" width="12.28515625" style="1" bestFit="1" customWidth="1"/>
    <col min="14" max="16384" width="11.5703125" style="1"/>
  </cols>
  <sheetData>
    <row r="2" spans="1:12" ht="33.75" x14ac:dyDescent="0.5">
      <c r="E2" s="9" t="s">
        <v>0</v>
      </c>
    </row>
    <row r="3" spans="1:12" ht="6" customHeight="1" x14ac:dyDescent="0.2">
      <c r="I3" s="10"/>
      <c r="J3" s="67"/>
    </row>
    <row r="4" spans="1:12" x14ac:dyDescent="0.2">
      <c r="E4" s="10" t="s">
        <v>1</v>
      </c>
      <c r="F4" s="10"/>
      <c r="G4" s="10"/>
      <c r="H4" s="10"/>
    </row>
    <row r="5" spans="1:12" x14ac:dyDescent="0.2">
      <c r="E5" s="10" t="s">
        <v>2</v>
      </c>
      <c r="F5" s="10"/>
      <c r="G5" s="10"/>
      <c r="H5" s="11"/>
    </row>
    <row r="6" spans="1:12" x14ac:dyDescent="0.2">
      <c r="E6" s="211" t="s">
        <v>3</v>
      </c>
      <c r="F6" s="211"/>
      <c r="G6" s="211"/>
      <c r="H6" s="211"/>
    </row>
    <row r="7" spans="1:12" x14ac:dyDescent="0.2">
      <c r="E7" s="217" t="s">
        <v>16</v>
      </c>
      <c r="F7" s="217"/>
      <c r="G7" s="217"/>
      <c r="H7" s="217"/>
      <c r="I7" s="217"/>
      <c r="J7" s="68"/>
    </row>
    <row r="8" spans="1:12" x14ac:dyDescent="0.2">
      <c r="E8" s="12"/>
      <c r="F8" s="12"/>
      <c r="G8" s="12"/>
      <c r="H8" s="13"/>
    </row>
    <row r="9" spans="1:12" ht="13.5" thickBot="1" x14ac:dyDescent="0.25"/>
    <row r="10" spans="1:12" ht="5.45" customHeight="1" thickTop="1" x14ac:dyDescent="0.2">
      <c r="A10" s="4"/>
      <c r="B10" s="14"/>
      <c r="C10" s="15"/>
      <c r="D10" s="15"/>
      <c r="E10" s="15"/>
      <c r="F10" s="15"/>
      <c r="G10" s="15"/>
      <c r="H10" s="16"/>
      <c r="I10" s="15"/>
    </row>
    <row r="11" spans="1:12" s="2" customFormat="1" ht="25.9" customHeight="1" thickBot="1" x14ac:dyDescent="0.3">
      <c r="A11" s="17"/>
      <c r="B11" s="18"/>
      <c r="C11" s="245" t="s">
        <v>101</v>
      </c>
      <c r="D11" s="245"/>
      <c r="E11" s="137">
        <v>44810</v>
      </c>
      <c r="F11" s="21"/>
      <c r="G11" s="21"/>
      <c r="H11" s="22"/>
      <c r="I11" s="21"/>
      <c r="J11" s="69"/>
      <c r="L11" s="77"/>
    </row>
    <row r="12" spans="1:12" ht="18" customHeight="1" x14ac:dyDescent="0.25">
      <c r="A12" s="4"/>
      <c r="B12" s="23"/>
      <c r="C12" s="24" t="s">
        <v>21</v>
      </c>
      <c r="D12" s="25"/>
      <c r="E12" s="25"/>
      <c r="F12" s="26"/>
      <c r="G12" s="26"/>
      <c r="H12" s="27"/>
      <c r="I12" s="28"/>
      <c r="J12" s="69"/>
    </row>
    <row r="13" spans="1:12" ht="18" x14ac:dyDescent="0.25">
      <c r="A13" s="4"/>
      <c r="B13" s="23"/>
      <c r="C13" s="29" t="s">
        <v>4</v>
      </c>
      <c r="D13" s="30"/>
      <c r="E13" s="30"/>
      <c r="F13" s="21"/>
      <c r="G13" s="21"/>
      <c r="H13" s="22"/>
      <c r="I13" s="31"/>
      <c r="J13" s="69"/>
    </row>
    <row r="14" spans="1:12" ht="18" x14ac:dyDescent="0.25">
      <c r="A14" s="4"/>
      <c r="B14" s="23"/>
      <c r="C14" s="32" t="s">
        <v>22</v>
      </c>
      <c r="D14" s="30"/>
      <c r="E14" s="30"/>
      <c r="F14" s="21"/>
      <c r="G14" s="21"/>
      <c r="H14" s="22"/>
      <c r="I14" s="31"/>
      <c r="J14" s="69"/>
    </row>
    <row r="15" spans="1:12" ht="18" x14ac:dyDescent="0.25">
      <c r="A15" s="4"/>
      <c r="B15" s="23"/>
      <c r="C15" s="32" t="s">
        <v>23</v>
      </c>
      <c r="D15" s="30"/>
      <c r="E15" s="30"/>
      <c r="F15" s="21"/>
      <c r="G15" s="21"/>
      <c r="H15" s="22"/>
      <c r="I15" s="31"/>
      <c r="J15" s="69"/>
    </row>
    <row r="16" spans="1:12" ht="18" x14ac:dyDescent="0.25">
      <c r="A16" s="4"/>
      <c r="B16" s="23"/>
      <c r="C16" s="33" t="s">
        <v>24</v>
      </c>
      <c r="D16" s="30"/>
      <c r="E16" s="30"/>
      <c r="F16" s="34"/>
      <c r="G16" s="34"/>
      <c r="H16" s="22"/>
      <c r="I16" s="31"/>
      <c r="J16" s="69"/>
    </row>
    <row r="17" spans="1:16" ht="18.75" customHeight="1" thickBot="1" x14ac:dyDescent="0.3">
      <c r="A17" s="4"/>
      <c r="B17" s="23"/>
      <c r="C17" s="212" t="s">
        <v>5</v>
      </c>
      <c r="D17" s="213"/>
      <c r="E17" s="213"/>
      <c r="F17" s="213"/>
      <c r="G17" s="35"/>
      <c r="H17" s="36"/>
      <c r="I17" s="37"/>
      <c r="J17" s="69"/>
    </row>
    <row r="18" spans="1:16" ht="16.5" thickBot="1" x14ac:dyDescent="0.3">
      <c r="A18" s="4"/>
      <c r="B18" s="23"/>
      <c r="C18" s="38"/>
      <c r="D18" s="39"/>
      <c r="E18" s="39"/>
      <c r="F18" s="21"/>
      <c r="G18" s="21"/>
      <c r="H18" s="22"/>
      <c r="I18" s="21"/>
      <c r="J18" s="69"/>
    </row>
    <row r="19" spans="1:16" ht="16.5" thickBot="1" x14ac:dyDescent="0.3">
      <c r="A19" s="4"/>
      <c r="B19" s="23"/>
      <c r="C19" s="214" t="s">
        <v>100</v>
      </c>
      <c r="D19" s="215"/>
      <c r="E19" s="215"/>
      <c r="F19" s="215"/>
      <c r="G19" s="215"/>
      <c r="H19" s="215"/>
      <c r="I19" s="216"/>
      <c r="J19" s="70"/>
    </row>
    <row r="20" spans="1:16" ht="13.5" thickBot="1" x14ac:dyDescent="0.25">
      <c r="A20" s="4"/>
      <c r="B20" s="23"/>
      <c r="C20" s="21"/>
      <c r="D20" s="21"/>
      <c r="E20" s="21"/>
      <c r="F20" s="21"/>
      <c r="G20" s="21"/>
      <c r="H20" s="22"/>
      <c r="I20" s="21"/>
      <c r="J20" s="69"/>
    </row>
    <row r="21" spans="1:16" x14ac:dyDescent="0.2">
      <c r="A21" s="4"/>
      <c r="B21" s="23"/>
      <c r="C21" s="209" t="s">
        <v>6</v>
      </c>
      <c r="D21" s="218" t="s">
        <v>7</v>
      </c>
      <c r="E21" s="219"/>
      <c r="F21" s="209" t="s">
        <v>8</v>
      </c>
      <c r="G21" s="209" t="s">
        <v>9</v>
      </c>
      <c r="H21" s="40" t="s">
        <v>10</v>
      </c>
      <c r="I21" s="41" t="s">
        <v>11</v>
      </c>
      <c r="J21" s="71" t="s">
        <v>36</v>
      </c>
      <c r="K21" s="85">
        <v>0.3</v>
      </c>
      <c r="L21" s="7" t="s">
        <v>46</v>
      </c>
    </row>
    <row r="22" spans="1:16" ht="13.5" thickBot="1" x14ac:dyDescent="0.25">
      <c r="A22" s="4"/>
      <c r="B22" s="23"/>
      <c r="C22" s="210"/>
      <c r="D22" s="206"/>
      <c r="E22" s="220"/>
      <c r="F22" s="210"/>
      <c r="G22" s="210"/>
      <c r="H22" s="42" t="s">
        <v>12</v>
      </c>
      <c r="I22" s="42" t="s">
        <v>12</v>
      </c>
      <c r="J22" s="71" t="s">
        <v>37</v>
      </c>
      <c r="K22" s="85">
        <v>1600</v>
      </c>
      <c r="L22" s="7" t="s">
        <v>45</v>
      </c>
      <c r="N22" s="1">
        <f>'FP230130 Auto'!I51/'FP230130 Auto'!F51</f>
        <v>4.6048693009118544</v>
      </c>
      <c r="O22" s="1" t="e">
        <f>'FP230130 Auto'!#REF!</f>
        <v>#REF!</v>
      </c>
      <c r="P22" s="1" t="e">
        <f>'FP230130 Auto'!#REF!</f>
        <v>#REF!</v>
      </c>
    </row>
    <row r="23" spans="1:16" s="3" customFormat="1" x14ac:dyDescent="0.2">
      <c r="A23" s="21"/>
      <c r="B23" s="43"/>
      <c r="C23" s="44">
        <v>1</v>
      </c>
      <c r="D23" s="204" t="s">
        <v>18</v>
      </c>
      <c r="E23" s="205"/>
      <c r="F23" s="44">
        <f>'FP230130 Auto'!F23</f>
        <v>0</v>
      </c>
      <c r="G23" s="64">
        <f>+F23*2.23/1000</f>
        <v>0</v>
      </c>
      <c r="H23" s="65">
        <f>'FP230130 Auto'!H23+0.4</f>
        <v>4.3239999999999998</v>
      </c>
      <c r="I23" s="62">
        <f t="shared" ref="I23:I30" si="0">F23*H23</f>
        <v>0</v>
      </c>
      <c r="J23" s="83" t="s">
        <v>38</v>
      </c>
      <c r="K23" s="86">
        <f>K21/K22*1000</f>
        <v>0.1875</v>
      </c>
      <c r="L23" s="78" t="s">
        <v>47</v>
      </c>
      <c r="O23" s="3" t="e">
        <f>N22-P22</f>
        <v>#REF!</v>
      </c>
    </row>
    <row r="24" spans="1:16" s="3" customFormat="1" x14ac:dyDescent="0.2">
      <c r="A24" s="21"/>
      <c r="B24" s="43"/>
      <c r="C24" s="44">
        <f t="shared" ref="C24:C29" si="1">+C23+1</f>
        <v>2</v>
      </c>
      <c r="D24" s="204" t="s">
        <v>19</v>
      </c>
      <c r="E24" s="205"/>
      <c r="F24" s="44">
        <f>'FP230130 Auto'!F24</f>
        <v>0</v>
      </c>
      <c r="G24" s="64">
        <f>+F24*1.81/1000</f>
        <v>0</v>
      </c>
      <c r="H24" s="65">
        <f>'FP230130 Auto'!H24+0.4</f>
        <v>3.3069999999999999</v>
      </c>
      <c r="I24" s="62">
        <f t="shared" si="0"/>
        <v>0</v>
      </c>
      <c r="J24" s="72" t="s">
        <v>39</v>
      </c>
      <c r="K24" s="76">
        <f>VLOOKUP(C33,'FP230130 Auto'!C23:I54,7,FALSE)</f>
        <v>15150.02</v>
      </c>
      <c r="L24" s="78" t="s">
        <v>44</v>
      </c>
      <c r="M24" s="84"/>
    </row>
    <row r="25" spans="1:16" s="3" customFormat="1" x14ac:dyDescent="0.2">
      <c r="A25" s="21"/>
      <c r="B25" s="43"/>
      <c r="C25" s="44">
        <f t="shared" si="1"/>
        <v>3</v>
      </c>
      <c r="D25" s="204" t="s">
        <v>20</v>
      </c>
      <c r="E25" s="205"/>
      <c r="F25" s="44">
        <f>'FP230130 Auto'!F25</f>
        <v>500</v>
      </c>
      <c r="G25" s="64">
        <f>+F25*1.2/1000</f>
        <v>0.6</v>
      </c>
      <c r="H25" s="65">
        <f>'FP230130 Auto'!H25+0.4</f>
        <v>1.8090000000000002</v>
      </c>
      <c r="I25" s="62">
        <f t="shared" si="0"/>
        <v>904.50000000000011</v>
      </c>
      <c r="J25" s="72" t="s">
        <v>40</v>
      </c>
      <c r="K25" s="76">
        <f>'FP230130 Auto'!I30+'FP230130 Auto'!I29</f>
        <v>121.30000000000001</v>
      </c>
      <c r="L25" s="78" t="s">
        <v>43</v>
      </c>
      <c r="M25" s="84"/>
    </row>
    <row r="26" spans="1:16" s="3" customFormat="1" x14ac:dyDescent="0.2">
      <c r="A26" s="21"/>
      <c r="B26" s="43"/>
      <c r="C26" s="44">
        <f t="shared" si="1"/>
        <v>4</v>
      </c>
      <c r="D26" s="204" t="s">
        <v>26</v>
      </c>
      <c r="E26" s="205"/>
      <c r="F26" s="44">
        <f>'FP230130 Auto'!F26</f>
        <v>800</v>
      </c>
      <c r="G26" s="64">
        <f>+F26*2.72/1000</f>
        <v>2.1760000000000002</v>
      </c>
      <c r="H26" s="65">
        <f>'FP230130 Auto'!H26+0.4</f>
        <v>1.8090000000000002</v>
      </c>
      <c r="I26" s="62">
        <f t="shared" si="0"/>
        <v>1447.2</v>
      </c>
      <c r="J26" s="72" t="s">
        <v>41</v>
      </c>
      <c r="K26" s="76">
        <f>'FP230130 Auto'!I50-(SUM(I23:I28)-SUM('FP230130 Auto'!I23:I28))</f>
        <v>632.99999999999955</v>
      </c>
      <c r="L26" s="78" t="s">
        <v>58</v>
      </c>
    </row>
    <row r="27" spans="1:16" s="3" customFormat="1" x14ac:dyDescent="0.2">
      <c r="A27" s="21"/>
      <c r="B27" s="43"/>
      <c r="C27" s="44">
        <f t="shared" si="1"/>
        <v>5</v>
      </c>
      <c r="D27" s="204" t="s">
        <v>27</v>
      </c>
      <c r="E27" s="205"/>
      <c r="F27" s="44">
        <f>'FP230130 Auto'!F27</f>
        <v>100</v>
      </c>
      <c r="G27" s="64">
        <f>+F27*2.43/1000</f>
        <v>0.24300000000000002</v>
      </c>
      <c r="H27" s="65">
        <f>'FP230130 Auto'!H27+0.4</f>
        <v>5.4190000000000005</v>
      </c>
      <c r="I27" s="62">
        <f t="shared" si="0"/>
        <v>541.90000000000009</v>
      </c>
      <c r="J27" s="72" t="s">
        <v>42</v>
      </c>
      <c r="K27" s="76">
        <f>K26/K22</f>
        <v>0.39562499999999973</v>
      </c>
      <c r="L27" s="78" t="s">
        <v>48</v>
      </c>
    </row>
    <row r="28" spans="1:16" s="3" customFormat="1" x14ac:dyDescent="0.2">
      <c r="A28" s="21"/>
      <c r="B28" s="43"/>
      <c r="C28" s="44">
        <f t="shared" si="1"/>
        <v>6</v>
      </c>
      <c r="D28" s="204" t="s">
        <v>28</v>
      </c>
      <c r="E28" s="205"/>
      <c r="F28" s="44">
        <f>'FP230130 Auto'!F28</f>
        <v>80</v>
      </c>
      <c r="G28" s="64">
        <f>+F28*1.61/1000</f>
        <v>0.1288</v>
      </c>
      <c r="H28" s="65">
        <f>'FP230130 Auto'!H28+0.4</f>
        <v>4.1669999999999998</v>
      </c>
      <c r="I28" s="62">
        <f t="shared" si="0"/>
        <v>333.36</v>
      </c>
      <c r="J28" s="72"/>
      <c r="K28" s="76"/>
      <c r="L28" s="78"/>
    </row>
    <row r="29" spans="1:16" s="3" customFormat="1" x14ac:dyDescent="0.2">
      <c r="A29" s="21"/>
      <c r="B29" s="43"/>
      <c r="C29" s="44">
        <f t="shared" si="1"/>
        <v>7</v>
      </c>
      <c r="D29" s="79" t="s">
        <v>29</v>
      </c>
      <c r="E29" s="80"/>
      <c r="F29" s="44">
        <f>'FP230130 Auto'!F29</f>
        <v>50</v>
      </c>
      <c r="G29" s="64">
        <f>+F29*(0.484+K23)/1000</f>
        <v>3.3575000000000001E-2</v>
      </c>
      <c r="H29" s="65">
        <f>'FP230130 Auto'!H29+0.4</f>
        <v>2.8260000000000001</v>
      </c>
      <c r="I29" s="62">
        <f t="shared" si="0"/>
        <v>141.30000000000001</v>
      </c>
      <c r="J29" s="72"/>
      <c r="K29" s="84"/>
      <c r="L29" s="78"/>
    </row>
    <row r="30" spans="1:16" s="3" customFormat="1" x14ac:dyDescent="0.2">
      <c r="A30" s="21"/>
      <c r="B30" s="43"/>
      <c r="C30" s="44">
        <v>8</v>
      </c>
      <c r="D30" s="204" t="s">
        <v>31</v>
      </c>
      <c r="E30" s="205"/>
      <c r="F30" s="44">
        <f>'FP230130 Auto'!F30</f>
        <v>0</v>
      </c>
      <c r="G30" s="64">
        <f>+F30*(0.49+K23)/1000</f>
        <v>0</v>
      </c>
      <c r="H30" s="65">
        <f>'FP230130 Auto'!H30+0.4</f>
        <v>5.8110000000000008</v>
      </c>
      <c r="I30" s="62">
        <f t="shared" si="0"/>
        <v>0</v>
      </c>
      <c r="J30" s="72"/>
      <c r="K30" s="84"/>
      <c r="L30" s="78"/>
    </row>
    <row r="31" spans="1:16" x14ac:dyDescent="0.2">
      <c r="A31" s="4"/>
      <c r="B31" s="23"/>
      <c r="C31" s="44"/>
      <c r="D31" s="204"/>
      <c r="E31" s="205"/>
      <c r="F31" s="63"/>
      <c r="G31" s="64"/>
      <c r="H31" s="65"/>
      <c r="I31" s="62"/>
      <c r="J31" s="72"/>
    </row>
    <row r="32" spans="1:16" ht="13.5" thickBot="1" x14ac:dyDescent="0.25">
      <c r="A32" s="4"/>
      <c r="B32" s="23"/>
      <c r="C32" s="47"/>
      <c r="D32" s="45"/>
      <c r="E32" s="46"/>
      <c r="F32" s="42"/>
      <c r="G32" s="48"/>
      <c r="H32" s="49"/>
      <c r="I32" s="50"/>
      <c r="J32" s="72"/>
    </row>
    <row r="33" spans="1:10" ht="13.5" thickBot="1" x14ac:dyDescent="0.25">
      <c r="A33" s="4"/>
      <c r="B33" s="23"/>
      <c r="C33" s="221" t="s">
        <v>13</v>
      </c>
      <c r="D33" s="207"/>
      <c r="E33" s="222"/>
      <c r="F33" s="51">
        <f>SUM(F23:F32)</f>
        <v>1530</v>
      </c>
      <c r="G33" s="52">
        <f>SUM(G23:G32)</f>
        <v>3.1813750000000001</v>
      </c>
      <c r="H33" s="53"/>
      <c r="I33" s="82">
        <f>SUM(I23:I32)</f>
        <v>3368.2600000000007</v>
      </c>
      <c r="J33" s="73"/>
    </row>
    <row r="34" spans="1:10" x14ac:dyDescent="0.2">
      <c r="A34" s="4"/>
      <c r="B34" s="23"/>
      <c r="C34" s="54" t="s">
        <v>14</v>
      </c>
      <c r="D34" s="55"/>
      <c r="E34" s="55"/>
      <c r="F34" s="55"/>
      <c r="G34" s="55"/>
      <c r="H34" s="27"/>
      <c r="I34" s="56"/>
      <c r="J34" s="74"/>
    </row>
    <row r="35" spans="1:10" ht="15.75" x14ac:dyDescent="0.2">
      <c r="A35" s="4"/>
      <c r="B35" s="23"/>
      <c r="C35" s="202" t="s">
        <v>32</v>
      </c>
      <c r="D35" s="203"/>
      <c r="E35" s="203"/>
      <c r="F35" s="203"/>
      <c r="G35" s="203"/>
      <c r="H35" s="203"/>
      <c r="I35" s="57"/>
      <c r="J35" s="74"/>
    </row>
    <row r="36" spans="1:10" x14ac:dyDescent="0.2">
      <c r="A36" s="4"/>
      <c r="B36" s="23"/>
      <c r="C36" s="58" t="s">
        <v>15</v>
      </c>
      <c r="D36" s="21"/>
      <c r="E36" s="21"/>
      <c r="F36" s="21"/>
      <c r="G36" s="21"/>
      <c r="H36" s="22"/>
      <c r="I36" s="31"/>
      <c r="J36" s="69"/>
    </row>
    <row r="37" spans="1:10" x14ac:dyDescent="0.2">
      <c r="A37" s="4"/>
      <c r="B37" s="23"/>
      <c r="C37" s="58" t="s">
        <v>17</v>
      </c>
      <c r="D37" s="21"/>
      <c r="E37" s="21"/>
      <c r="F37" s="21"/>
      <c r="G37" s="21"/>
      <c r="H37" s="22"/>
      <c r="I37" s="31"/>
      <c r="J37" s="69"/>
    </row>
    <row r="38" spans="1:10" x14ac:dyDescent="0.2">
      <c r="A38" s="4"/>
      <c r="B38" s="23"/>
      <c r="C38" s="58" t="s">
        <v>33</v>
      </c>
      <c r="D38" s="21"/>
      <c r="E38" s="21"/>
      <c r="F38" s="21"/>
      <c r="G38" s="21"/>
      <c r="H38" s="22"/>
      <c r="I38" s="31"/>
      <c r="J38" s="69"/>
    </row>
    <row r="39" spans="1:10" x14ac:dyDescent="0.2">
      <c r="A39" s="4"/>
      <c r="B39" s="59"/>
      <c r="C39" s="58" t="s">
        <v>34</v>
      </c>
      <c r="D39" s="21"/>
      <c r="E39" s="21"/>
      <c r="F39" s="21"/>
      <c r="G39" s="21"/>
      <c r="H39" s="22"/>
      <c r="I39" s="31"/>
      <c r="J39" s="69"/>
    </row>
    <row r="40" spans="1:10" x14ac:dyDescent="0.2">
      <c r="A40" s="4"/>
      <c r="B40" s="59"/>
      <c r="C40" s="58" t="s">
        <v>35</v>
      </c>
      <c r="D40" s="21"/>
      <c r="E40" s="21"/>
      <c r="F40" s="21"/>
      <c r="G40" s="21"/>
      <c r="H40" s="22"/>
      <c r="I40" s="31"/>
      <c r="J40" s="69"/>
    </row>
    <row r="41" spans="1:10" x14ac:dyDescent="0.2">
      <c r="A41" s="4"/>
      <c r="B41" s="59"/>
      <c r="C41" s="81" t="s">
        <v>30</v>
      </c>
      <c r="D41" s="21"/>
      <c r="E41" s="21"/>
      <c r="F41" s="21"/>
      <c r="G41" s="21"/>
      <c r="H41" s="22"/>
      <c r="I41" s="31"/>
      <c r="J41" s="69"/>
    </row>
    <row r="42" spans="1:10" x14ac:dyDescent="0.2">
      <c r="A42" s="4"/>
      <c r="B42" s="59"/>
      <c r="C42" s="58"/>
      <c r="D42" s="21"/>
      <c r="E42" s="21"/>
      <c r="F42" s="21"/>
      <c r="G42" s="21"/>
      <c r="H42" s="22"/>
      <c r="I42" s="31"/>
      <c r="J42" s="69"/>
    </row>
    <row r="43" spans="1:10" ht="13.5" thickBot="1" x14ac:dyDescent="0.25">
      <c r="A43" s="4"/>
      <c r="B43" s="59"/>
      <c r="C43" s="60"/>
      <c r="D43" s="61"/>
      <c r="E43" s="61"/>
      <c r="F43" s="61"/>
      <c r="G43" s="61"/>
      <c r="H43" s="36"/>
      <c r="I43" s="37"/>
      <c r="J43" s="69"/>
    </row>
    <row r="44" spans="1:10" x14ac:dyDescent="0.2">
      <c r="A44" s="4"/>
      <c r="B44" s="4"/>
      <c r="C44" s="5"/>
      <c r="D44" s="5"/>
      <c r="E44" s="5"/>
      <c r="F44" s="5"/>
      <c r="G44" s="5"/>
      <c r="H44" s="6"/>
      <c r="I44" s="5"/>
      <c r="J44" s="75"/>
    </row>
    <row r="45" spans="1:10" x14ac:dyDescent="0.2">
      <c r="A45" s="4"/>
      <c r="B45" s="4"/>
      <c r="C45" s="5"/>
      <c r="D45" s="5"/>
      <c r="E45" s="5"/>
      <c r="F45" s="5"/>
      <c r="G45" s="5"/>
      <c r="H45" s="6"/>
      <c r="I45" s="5"/>
      <c r="J45" s="75"/>
    </row>
    <row r="46" spans="1:10" x14ac:dyDescent="0.2">
      <c r="A46" s="4"/>
      <c r="B46" s="4"/>
    </row>
    <row r="47" spans="1:10" x14ac:dyDescent="0.2">
      <c r="A47" s="4"/>
      <c r="B47" s="4"/>
    </row>
    <row r="48" spans="1:10" x14ac:dyDescent="0.2">
      <c r="A48" s="4"/>
      <c r="B48" s="4"/>
    </row>
    <row r="49" spans="1:2" x14ac:dyDescent="0.2">
      <c r="A49" s="4"/>
      <c r="B49" s="4"/>
    </row>
    <row r="50" spans="1:2" x14ac:dyDescent="0.2">
      <c r="A50" s="4"/>
      <c r="B50" s="4"/>
    </row>
    <row r="51" spans="1:2" x14ac:dyDescent="0.2">
      <c r="A51" s="4"/>
      <c r="B51" s="4"/>
    </row>
    <row r="52" spans="1:2" x14ac:dyDescent="0.2">
      <c r="A52" s="4"/>
      <c r="B52" s="4"/>
    </row>
    <row r="53" spans="1:2" x14ac:dyDescent="0.2">
      <c r="A53" s="4"/>
      <c r="B53" s="4"/>
    </row>
    <row r="54" spans="1:2" x14ac:dyDescent="0.2">
      <c r="A54" s="4"/>
      <c r="B54" s="4"/>
    </row>
    <row r="55" spans="1:2" x14ac:dyDescent="0.2">
      <c r="A55" s="4"/>
      <c r="B55" s="4"/>
    </row>
    <row r="56" spans="1:2" x14ac:dyDescent="0.2">
      <c r="A56" s="4"/>
      <c r="B56" s="4"/>
    </row>
    <row r="57" spans="1:2" x14ac:dyDescent="0.2">
      <c r="A57" s="4"/>
      <c r="B57" s="4"/>
    </row>
    <row r="58" spans="1:2" x14ac:dyDescent="0.2">
      <c r="A58" s="4"/>
      <c r="B58" s="4"/>
    </row>
    <row r="59" spans="1:2" x14ac:dyDescent="0.2">
      <c r="A59" s="4"/>
      <c r="B59" s="4"/>
    </row>
    <row r="60" spans="1:2" x14ac:dyDescent="0.2">
      <c r="A60" s="4"/>
      <c r="B60" s="4"/>
    </row>
    <row r="61" spans="1:2" x14ac:dyDescent="0.2">
      <c r="A61" s="4"/>
      <c r="B61" s="4"/>
    </row>
    <row r="62" spans="1:2" x14ac:dyDescent="0.2">
      <c r="A62" s="4"/>
      <c r="B62" s="4"/>
    </row>
    <row r="63" spans="1:2" x14ac:dyDescent="0.2">
      <c r="A63" s="4"/>
      <c r="B63" s="4"/>
    </row>
    <row r="64" spans="1:2" x14ac:dyDescent="0.2">
      <c r="A64" s="4"/>
      <c r="B64" s="4"/>
    </row>
    <row r="65" spans="1:2" x14ac:dyDescent="0.2">
      <c r="A65" s="4"/>
      <c r="B65" s="4"/>
    </row>
    <row r="66" spans="1:2" x14ac:dyDescent="0.2">
      <c r="A66" s="4"/>
      <c r="B66" s="4"/>
    </row>
    <row r="67" spans="1:2" x14ac:dyDescent="0.2">
      <c r="A67" s="4"/>
      <c r="B67" s="4"/>
    </row>
    <row r="68" spans="1:2" x14ac:dyDescent="0.2">
      <c r="A68" s="4"/>
      <c r="B68" s="4"/>
    </row>
    <row r="69" spans="1:2" x14ac:dyDescent="0.2">
      <c r="A69" s="4"/>
      <c r="B69" s="4"/>
    </row>
    <row r="70" spans="1:2" x14ac:dyDescent="0.2">
      <c r="A70" s="4"/>
      <c r="B70" s="4"/>
    </row>
    <row r="71" spans="1:2" x14ac:dyDescent="0.2">
      <c r="A71" s="4"/>
      <c r="B71" s="4"/>
    </row>
    <row r="72" spans="1:2" x14ac:dyDescent="0.2">
      <c r="A72" s="4"/>
      <c r="B72" s="4"/>
    </row>
    <row r="73" spans="1:2" x14ac:dyDescent="0.2">
      <c r="A73" s="4"/>
      <c r="B73" s="4"/>
    </row>
    <row r="74" spans="1:2" x14ac:dyDescent="0.2">
      <c r="A74" s="4"/>
      <c r="B74" s="4"/>
    </row>
    <row r="75" spans="1:2" x14ac:dyDescent="0.2">
      <c r="A75" s="4"/>
      <c r="B75" s="4"/>
    </row>
    <row r="76" spans="1:2" x14ac:dyDescent="0.2">
      <c r="A76" s="4"/>
      <c r="B76" s="4"/>
    </row>
    <row r="77" spans="1:2" x14ac:dyDescent="0.2">
      <c r="A77" s="4"/>
      <c r="B77" s="4"/>
    </row>
    <row r="78" spans="1:2" x14ac:dyDescent="0.2">
      <c r="A78" s="4"/>
      <c r="B78" s="4"/>
    </row>
    <row r="79" spans="1:2" x14ac:dyDescent="0.2">
      <c r="A79" s="4"/>
      <c r="B79" s="4"/>
    </row>
    <row r="80" spans="1:2" x14ac:dyDescent="0.2">
      <c r="A80" s="4"/>
      <c r="B80" s="4"/>
    </row>
    <row r="81" spans="1:9" x14ac:dyDescent="0.2">
      <c r="A81" s="4"/>
      <c r="B81" s="4"/>
      <c r="C81" s="4"/>
      <c r="D81" s="4"/>
      <c r="E81" s="4"/>
      <c r="F81" s="4"/>
      <c r="G81" s="4"/>
      <c r="H81" s="8"/>
      <c r="I81" s="4"/>
    </row>
    <row r="82" spans="1:9" x14ac:dyDescent="0.2">
      <c r="A82" s="4"/>
      <c r="B82" s="4"/>
      <c r="C82" s="4"/>
      <c r="D82" s="4"/>
      <c r="E82" s="4"/>
      <c r="F82" s="4"/>
      <c r="G82" s="4"/>
      <c r="H82" s="8"/>
      <c r="I82" s="4"/>
    </row>
    <row r="83" spans="1:9" x14ac:dyDescent="0.2">
      <c r="A83" s="4"/>
      <c r="B83" s="4"/>
      <c r="C83" s="4"/>
      <c r="D83" s="4"/>
      <c r="E83" s="4"/>
      <c r="F83" s="4"/>
      <c r="G83" s="4"/>
      <c r="H83" s="8"/>
      <c r="I83" s="4"/>
    </row>
    <row r="84" spans="1:9" x14ac:dyDescent="0.2">
      <c r="A84" s="4"/>
      <c r="B84" s="4"/>
      <c r="C84" s="4"/>
      <c r="D84" s="4"/>
      <c r="E84" s="4"/>
      <c r="F84" s="4"/>
      <c r="G84" s="4"/>
      <c r="H84" s="8"/>
      <c r="I84" s="4"/>
    </row>
  </sheetData>
  <mergeCells count="19">
    <mergeCell ref="C21:C22"/>
    <mergeCell ref="D21:E22"/>
    <mergeCell ref="F21:F22"/>
    <mergeCell ref="G21:G22"/>
    <mergeCell ref="E6:H6"/>
    <mergeCell ref="E7:I7"/>
    <mergeCell ref="C11:D11"/>
    <mergeCell ref="C17:F17"/>
    <mergeCell ref="C19:I19"/>
    <mergeCell ref="D30:E30"/>
    <mergeCell ref="D31:E31"/>
    <mergeCell ref="C33:E33"/>
    <mergeCell ref="C35:H35"/>
    <mergeCell ref="D23:E23"/>
    <mergeCell ref="D24:E24"/>
    <mergeCell ref="D25:E25"/>
    <mergeCell ref="D26:E26"/>
    <mergeCell ref="D27:E27"/>
    <mergeCell ref="D28:E28"/>
  </mergeCells>
  <printOptions horizontalCentered="1"/>
  <pageMargins left="0.16" right="0.25" top="0.19685039370078741" bottom="0.19685039370078741" header="0.31496062992125984" footer="0.31496062992125984"/>
  <pageSetup paperSize="9" orientation="portrait" horizontalDpi="180" verticalDpi="180" r:id="rId1"/>
  <drawing r:id="rId2"/>
  <legacyDrawing r:id="rId3"/>
  <oleObjects>
    <mc:AlternateContent xmlns:mc="http://schemas.openxmlformats.org/markup-compatibility/2006">
      <mc:Choice Requires="x14">
        <oleObject progId="Word.Picture.8" shapeId="8193" r:id="rId4">
          <objectPr defaultSize="0" autoPict="0" r:id="rId5">
            <anchor moveWithCells="1" sizeWithCells="1">
              <from>
                <xdr:col>0</xdr:col>
                <xdr:colOff>28575</xdr:colOff>
                <xdr:row>0</xdr:row>
                <xdr:rowOff>9525</xdr:rowOff>
              </from>
              <to>
                <xdr:col>3</xdr:col>
                <xdr:colOff>342900</xdr:colOff>
                <xdr:row>6</xdr:row>
                <xdr:rowOff>85725</xdr:rowOff>
              </to>
            </anchor>
          </objectPr>
        </oleObject>
      </mc:Choice>
      <mc:Fallback>
        <oleObject progId="Word.Picture.8" shapeId="8193" r:id="rId4"/>
      </mc:Fallback>
    </mc:AlternateContent>
  </oleObjec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6017D9B030BE041BB59790DCD8D505E" ma:contentTypeVersion="11" ma:contentTypeDescription="Crée un document." ma:contentTypeScope="" ma:versionID="e7da0e13d76836e7e0fb1b4b0ae24108">
  <xsd:schema xmlns:xsd="http://www.w3.org/2001/XMLSchema" xmlns:xs="http://www.w3.org/2001/XMLSchema" xmlns:p="http://schemas.microsoft.com/office/2006/metadata/properties" xmlns:ns2="a1fb1feb-adb5-45b0-ad67-fc30dc7b4e59" xmlns:ns3="7349cc33-6c47-414d-8977-be0d7d1f4a42" targetNamespace="http://schemas.microsoft.com/office/2006/metadata/properties" ma:root="true" ma:fieldsID="8a1bd4ff39a3d6a15d61963620098c15" ns2:_="" ns3:_="">
    <xsd:import namespace="a1fb1feb-adb5-45b0-ad67-fc30dc7b4e59"/>
    <xsd:import namespace="7349cc33-6c47-414d-8977-be0d7d1f4a42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fb1feb-adb5-45b0-ad67-fc30dc7b4e5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b774dadd-597b-4fcb-bfff-34991ac8a967}" ma:internalName="TaxCatchAll" ma:showField="CatchAllData" ma:web="a1fb1feb-adb5-45b0-ad67-fc30dc7b4e5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49cc33-6c47-414d-8977-be0d7d1f4a4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Balises d’images" ma:readOnly="false" ma:fieldId="{5cf76f15-5ced-4ddc-b409-7134ff3c332f}" ma:taxonomyMulti="true" ma:sspId="e40ac8f8-1c7d-4378-b5cd-bd1059619f8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349cc33-6c47-414d-8977-be0d7d1f4a42">
      <Terms xmlns="http://schemas.microsoft.com/office/infopath/2007/PartnerControls"/>
    </lcf76f155ced4ddcb4097134ff3c332f>
    <TaxCatchAll xmlns="a1fb1feb-adb5-45b0-ad67-fc30dc7b4e59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B7494EA-AC8F-4D61-8DDE-09951BC88D3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1fb1feb-adb5-45b0-ad67-fc30dc7b4e59"/>
    <ds:schemaRef ds:uri="7349cc33-6c47-414d-8977-be0d7d1f4a4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C563BA9-9CC8-4B73-952D-E3286782E22D}">
  <ds:schemaRefs>
    <ds:schemaRef ds:uri="http://schemas.microsoft.com/office/2006/documentManagement/types"/>
    <ds:schemaRef ds:uri="http://purl.org/dc/dcmitype/"/>
    <ds:schemaRef ds:uri="http://www.w3.org/XML/1998/namespace"/>
    <ds:schemaRef ds:uri="http://schemas.microsoft.com/office/2006/metadata/properties"/>
    <ds:schemaRef ds:uri="a1fb1feb-adb5-45b0-ad67-fc30dc7b4e59"/>
    <ds:schemaRef ds:uri="http://schemas.microsoft.com/office/infopath/2007/PartnerControls"/>
    <ds:schemaRef ds:uri="http://purl.org/dc/elements/1.1/"/>
    <ds:schemaRef ds:uri="7349cc33-6c47-414d-8977-be0d7d1f4a42"/>
    <ds:schemaRef ds:uri="http://schemas.openxmlformats.org/package/2006/metadata/core-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4681164A-0829-4338-9913-C96FDB18868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5</vt:i4>
      </vt:variant>
    </vt:vector>
  </HeadingPairs>
  <TitlesOfParts>
    <vt:vector size="13" baseType="lpstr">
      <vt:lpstr>Tarif (2)</vt:lpstr>
      <vt:lpstr>Tarif</vt:lpstr>
      <vt:lpstr>FP230130 Auto</vt:lpstr>
      <vt:lpstr>FN230071</vt:lpstr>
      <vt:lpstr>FN230114</vt:lpstr>
      <vt:lpstr>FN230114 Auto</vt:lpstr>
      <vt:lpstr>PLD</vt:lpstr>
      <vt:lpstr>Calcul D</vt:lpstr>
      <vt:lpstr>'FN230071'!Zone_d_impression</vt:lpstr>
      <vt:lpstr>'FN230114'!Zone_d_impression</vt:lpstr>
      <vt:lpstr>'FN230114 Auto'!Zone_d_impression</vt:lpstr>
      <vt:lpstr>'FP230130 Auto'!Zone_d_impression</vt:lpstr>
      <vt:lpstr>PLD!Zone_d_impression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SAID TARCHOUN</dc:creator>
  <cp:lastModifiedBy>Khaled Haouachi</cp:lastModifiedBy>
  <cp:lastPrinted>2023-12-01T18:12:37Z</cp:lastPrinted>
  <dcterms:created xsi:type="dcterms:W3CDTF">2020-11-17T13:15:24Z</dcterms:created>
  <dcterms:modified xsi:type="dcterms:W3CDTF">2023-12-01T18:12:41Z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0x01010026017D9B030BE041BB59790DCD8D505E</vt:lpwstr>
  </property>
  <property fmtid="{D5CDD505-2E9C-101B-9397-08002B2CF9AE}" pid="3" name="MediaServiceImageTags">
    <vt:lpwstr/>
  </property>
</Properties>
</file>