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Suivi Achats CHTOUROU 2016" sheetId="1" r:id="rId1"/>
    <sheet name="Suivi Reliquat CHTOUROU 2015" sheetId="2" r:id="rId2"/>
    <sheet name="Feuil1" sheetId="3" r:id="rId3"/>
    <sheet name="Feuil2" sheetId="4" r:id="rId4"/>
  </sheets>
  <definedNames>
    <definedName name="_xlnm.Print_Area" localSheetId="2">Feuil1!$A$1:$J$16</definedName>
    <definedName name="_xlnm.Print_Area" localSheetId="3">Feuil2!$A$1:$E$5</definedName>
    <definedName name="_xlnm.Print_Area" localSheetId="0">'Suivi Achats CHTOUROU 2016'!$B$115:$E$138</definedName>
    <definedName name="_xlnm.Print_Area" localSheetId="1">'Suivi Reliquat CHTOUROU 2015'!$B$3:$U$16</definedName>
  </definedNames>
  <calcPr calcId="125725"/>
</workbook>
</file>

<file path=xl/calcChain.xml><?xml version="1.0" encoding="utf-8"?>
<calcChain xmlns="http://schemas.openxmlformats.org/spreadsheetml/2006/main">
  <c r="C122" i="1"/>
  <c r="U106"/>
  <c r="E118"/>
  <c r="E117"/>
  <c r="E116"/>
  <c r="C116"/>
  <c r="C117"/>
  <c r="C118"/>
  <c r="E5" i="4"/>
  <c r="E2"/>
  <c r="E3"/>
  <c r="E4"/>
  <c r="E1"/>
  <c r="A5"/>
  <c r="U102" i="1"/>
  <c r="U100"/>
  <c r="U110"/>
  <c r="U105"/>
  <c r="H3" i="3"/>
  <c r="H2"/>
  <c r="D25"/>
  <c r="J3"/>
  <c r="J4"/>
  <c r="J5"/>
  <c r="J6"/>
  <c r="J7"/>
  <c r="J10"/>
  <c r="J11"/>
  <c r="J12"/>
  <c r="J13"/>
  <c r="J14"/>
  <c r="J2"/>
  <c r="H5"/>
  <c r="H6"/>
  <c r="H7"/>
  <c r="H4"/>
  <c r="J16"/>
  <c r="K16" l="1"/>
  <c r="L16" s="1"/>
  <c r="K14"/>
  <c r="L14" s="1"/>
  <c r="K13"/>
  <c r="L13" s="1"/>
  <c r="K12"/>
  <c r="L12" s="1"/>
  <c r="K11"/>
  <c r="L11" s="1"/>
  <c r="K10"/>
  <c r="L10" s="1"/>
  <c r="K3"/>
  <c r="L3" s="1"/>
  <c r="K7"/>
  <c r="L7" s="1"/>
  <c r="K6"/>
  <c r="L6" s="1"/>
  <c r="K5"/>
  <c r="L5" s="1"/>
  <c r="K4"/>
  <c r="L4" s="1"/>
  <c r="K2"/>
  <c r="L2" s="1"/>
  <c r="M101" i="1" l="1"/>
  <c r="N101" s="1"/>
  <c r="O101" s="1"/>
  <c r="M104"/>
  <c r="N104" s="1"/>
  <c r="O104" s="1"/>
  <c r="M106"/>
  <c r="N106" s="1"/>
  <c r="O106" s="1"/>
  <c r="M108"/>
  <c r="N108" s="1"/>
  <c r="O108" s="1"/>
  <c r="M109"/>
  <c r="N109" s="1"/>
  <c r="O109" s="1"/>
  <c r="M107"/>
  <c r="N107" s="1"/>
  <c r="O107" s="1"/>
  <c r="M111"/>
  <c r="N111" s="1"/>
  <c r="O111" s="1"/>
  <c r="M110"/>
  <c r="N110" s="1"/>
  <c r="O110" s="1"/>
  <c r="M100"/>
  <c r="N100" s="1"/>
  <c r="O100" s="1"/>
  <c r="I167" l="1"/>
  <c r="M105" l="1"/>
  <c r="N105" s="1"/>
  <c r="O105" s="1"/>
  <c r="I168"/>
  <c r="M102"/>
  <c r="N102" s="1"/>
  <c r="O102" s="1"/>
  <c r="M103"/>
  <c r="N103" s="1"/>
  <c r="O103" s="1"/>
  <c r="J168"/>
  <c r="M94" l="1"/>
  <c r="N94" s="1"/>
  <c r="O94" s="1"/>
  <c r="U94" s="1"/>
  <c r="M95"/>
  <c r="N95" s="1"/>
  <c r="O95" s="1"/>
  <c r="U95" s="1"/>
  <c r="M96"/>
  <c r="N96" s="1"/>
  <c r="O96" s="1"/>
  <c r="U96" s="1"/>
  <c r="M97"/>
  <c r="N97" s="1"/>
  <c r="O97" s="1"/>
  <c r="M98"/>
  <c r="N98" s="1"/>
  <c r="O98" s="1"/>
  <c r="M99"/>
  <c r="N99" s="1"/>
  <c r="O99" s="1"/>
  <c r="U97" l="1"/>
  <c r="I162"/>
  <c r="J163" l="1"/>
  <c r="I163"/>
  <c r="I157"/>
  <c r="I158" s="1"/>
  <c r="M91"/>
  <c r="N91" s="1"/>
  <c r="O91" s="1"/>
  <c r="J90"/>
  <c r="M90" s="1"/>
  <c r="N90" s="1"/>
  <c r="O90" s="1"/>
  <c r="M89"/>
  <c r="N89" s="1"/>
  <c r="O89" s="1"/>
  <c r="M92"/>
  <c r="N92" s="1"/>
  <c r="O92" s="1"/>
  <c r="M93"/>
  <c r="N93" s="1"/>
  <c r="O93" s="1"/>
  <c r="U93" s="1"/>
  <c r="U89" l="1"/>
  <c r="J158"/>
  <c r="M88" l="1"/>
  <c r="N88" s="1"/>
  <c r="O88" s="1"/>
  <c r="U88" s="1"/>
  <c r="M84"/>
  <c r="N84" s="1"/>
  <c r="O84" s="1"/>
  <c r="U84" s="1"/>
  <c r="M85"/>
  <c r="N85" s="1"/>
  <c r="O85" s="1"/>
  <c r="U85" s="1"/>
  <c r="M86"/>
  <c r="N86" s="1"/>
  <c r="O86" s="1"/>
  <c r="U86" s="1"/>
  <c r="M87"/>
  <c r="N87" s="1"/>
  <c r="O87" s="1"/>
  <c r="U87" s="1"/>
  <c r="M82"/>
  <c r="N82" s="1"/>
  <c r="O82" s="1"/>
  <c r="U82" s="1"/>
  <c r="I152"/>
  <c r="I153" s="1"/>
  <c r="J153" l="1"/>
  <c r="J83"/>
  <c r="M83" s="1"/>
  <c r="N83" s="1"/>
  <c r="O83" s="1"/>
  <c r="U83" s="1"/>
  <c r="M81"/>
  <c r="N81" s="1"/>
  <c r="O81" s="1"/>
  <c r="M74"/>
  <c r="N74" s="1"/>
  <c r="O74" s="1"/>
  <c r="S74" s="1"/>
  <c r="M75"/>
  <c r="N75" s="1"/>
  <c r="O75" s="1"/>
  <c r="S75" s="1"/>
  <c r="M76"/>
  <c r="N76" s="1"/>
  <c r="O76" s="1"/>
  <c r="M77"/>
  <c r="N77" s="1"/>
  <c r="O77" s="1"/>
  <c r="S77" s="1"/>
  <c r="M78"/>
  <c r="N78" s="1"/>
  <c r="O78" s="1"/>
  <c r="M79"/>
  <c r="N79" s="1"/>
  <c r="O79" s="1"/>
  <c r="M80"/>
  <c r="N80" s="1"/>
  <c r="O80" s="1"/>
  <c r="M73"/>
  <c r="N73" s="1"/>
  <c r="O73" s="1"/>
  <c r="U79" l="1"/>
  <c r="S76"/>
  <c r="U76" s="1"/>
  <c r="S78"/>
  <c r="U78" s="1"/>
  <c r="U75"/>
  <c r="U77"/>
  <c r="U74"/>
  <c r="S73"/>
  <c r="U73" l="1"/>
  <c r="J68"/>
  <c r="M68" s="1"/>
  <c r="N68" s="1"/>
  <c r="O68" s="1"/>
  <c r="U68" s="1"/>
  <c r="J69"/>
  <c r="M69" s="1"/>
  <c r="N69" s="1"/>
  <c r="O69" s="1"/>
  <c r="U69" s="1"/>
  <c r="J70"/>
  <c r="M70" s="1"/>
  <c r="N70" s="1"/>
  <c r="O70" s="1"/>
  <c r="U70" s="1"/>
  <c r="J72"/>
  <c r="M72" s="1"/>
  <c r="N72" s="1"/>
  <c r="O72" s="1"/>
  <c r="U72" s="1"/>
  <c r="J71"/>
  <c r="M71" s="1"/>
  <c r="N71" s="1"/>
  <c r="O71" s="1"/>
  <c r="U71" s="1"/>
  <c r="I147"/>
  <c r="J148" s="1"/>
  <c r="I148" l="1"/>
  <c r="M66" l="1"/>
  <c r="N66" s="1"/>
  <c r="O66" s="1"/>
  <c r="U66" s="1"/>
  <c r="M65"/>
  <c r="N65" s="1"/>
  <c r="O65" s="1"/>
  <c r="U65" s="1"/>
  <c r="G70"/>
  <c r="G68"/>
  <c r="G66"/>
  <c r="G62"/>
  <c r="M63" l="1"/>
  <c r="N63" s="1"/>
  <c r="O63" s="1"/>
  <c r="U63" s="1"/>
  <c r="M64"/>
  <c r="N64" s="1"/>
  <c r="O64" s="1"/>
  <c r="U64" s="1"/>
  <c r="M67"/>
  <c r="N67" s="1"/>
  <c r="O67" s="1"/>
  <c r="U67" s="1"/>
  <c r="M62"/>
  <c r="N62" s="1"/>
  <c r="O62" s="1"/>
  <c r="U62" s="1"/>
  <c r="I142" l="1"/>
  <c r="J57"/>
  <c r="M57" s="1"/>
  <c r="N57" s="1"/>
  <c r="O57" s="1"/>
  <c r="U57" s="1"/>
  <c r="M58"/>
  <c r="N58" s="1"/>
  <c r="O58" s="1"/>
  <c r="M59"/>
  <c r="N59" s="1"/>
  <c r="O59" s="1"/>
  <c r="M60"/>
  <c r="N60" s="1"/>
  <c r="O60" s="1"/>
  <c r="M61"/>
  <c r="N61" s="1"/>
  <c r="O61" s="1"/>
  <c r="M55"/>
  <c r="N55" s="1"/>
  <c r="O55" s="1"/>
  <c r="U55" s="1"/>
  <c r="M56"/>
  <c r="N56" s="1"/>
  <c r="O56" s="1"/>
  <c r="U56" s="1"/>
  <c r="M54"/>
  <c r="N54" s="1"/>
  <c r="O54" s="1"/>
  <c r="U54" s="1"/>
  <c r="I137"/>
  <c r="I138" s="1"/>
  <c r="U58" l="1"/>
  <c r="I143"/>
  <c r="J143"/>
  <c r="J138"/>
  <c r="O127"/>
  <c r="O128" s="1"/>
  <c r="P128" s="1"/>
  <c r="M53" l="1"/>
  <c r="N53" l="1"/>
  <c r="O53" s="1"/>
  <c r="U53" s="1"/>
  <c r="I132"/>
  <c r="M47"/>
  <c r="N47" s="1"/>
  <c r="O47" s="1"/>
  <c r="U47" s="1"/>
  <c r="M48"/>
  <c r="N48" s="1"/>
  <c r="O48" s="1"/>
  <c r="U48" s="1"/>
  <c r="M49"/>
  <c r="N49" s="1"/>
  <c r="O49" s="1"/>
  <c r="U49" s="1"/>
  <c r="M50"/>
  <c r="N50" s="1"/>
  <c r="O50" s="1"/>
  <c r="U50" s="1"/>
  <c r="M51"/>
  <c r="N51" s="1"/>
  <c r="O51" s="1"/>
  <c r="U51" s="1"/>
  <c r="M52"/>
  <c r="N52" s="1"/>
  <c r="O52" s="1"/>
  <c r="U52" s="1"/>
  <c r="M46"/>
  <c r="N46" s="1"/>
  <c r="O46" s="1"/>
  <c r="U46" s="1"/>
  <c r="G57"/>
  <c r="G56"/>
  <c r="G55"/>
  <c r="G54"/>
  <c r="I133" l="1"/>
  <c r="I122"/>
  <c r="I117"/>
  <c r="I127"/>
  <c r="J118" l="1"/>
  <c r="I118"/>
  <c r="J128"/>
  <c r="I128"/>
  <c r="J123"/>
  <c r="I123"/>
  <c r="C124"/>
  <c r="M32"/>
  <c r="N32" s="1"/>
  <c r="O32" s="1"/>
  <c r="U32" s="1"/>
  <c r="M33"/>
  <c r="N33" s="1"/>
  <c r="O33" s="1"/>
  <c r="U33" s="1"/>
  <c r="M34"/>
  <c r="N34" s="1"/>
  <c r="O34" s="1"/>
  <c r="U34" s="1"/>
  <c r="M35"/>
  <c r="N35" s="1"/>
  <c r="O35" s="1"/>
  <c r="M37"/>
  <c r="N37" s="1"/>
  <c r="O37" s="1"/>
  <c r="M38"/>
  <c r="N38" s="1"/>
  <c r="O38" s="1"/>
  <c r="M39"/>
  <c r="N39" s="1"/>
  <c r="O39" s="1"/>
  <c r="M40"/>
  <c r="N40" s="1"/>
  <c r="O40" s="1"/>
  <c r="M41"/>
  <c r="N41" s="1"/>
  <c r="O41" s="1"/>
  <c r="U41" s="1"/>
  <c r="M42"/>
  <c r="N42" s="1"/>
  <c r="O42" s="1"/>
  <c r="M43"/>
  <c r="N43" s="1"/>
  <c r="O43" s="1"/>
  <c r="M44"/>
  <c r="N44" s="1"/>
  <c r="O44" s="1"/>
  <c r="M45"/>
  <c r="N45" s="1"/>
  <c r="O45" s="1"/>
  <c r="M36"/>
  <c r="N36" s="1"/>
  <c r="O36" s="1"/>
  <c r="U42" l="1"/>
  <c r="S36"/>
  <c r="U36" s="1"/>
  <c r="S38"/>
  <c r="U38" s="1"/>
  <c r="S39"/>
  <c r="U39" s="1"/>
  <c r="S40"/>
  <c r="U40" s="1"/>
  <c r="S35"/>
  <c r="U35" s="1"/>
  <c r="S37"/>
  <c r="U37" s="1"/>
  <c r="G52"/>
  <c r="G49"/>
  <c r="G50"/>
  <c r="G51"/>
  <c r="G46"/>
  <c r="G47"/>
  <c r="G48"/>
  <c r="G39"/>
  <c r="G25"/>
  <c r="G41"/>
  <c r="G37"/>
  <c r="G36" l="1"/>
  <c r="J31"/>
  <c r="M19"/>
  <c r="N19" s="1"/>
  <c r="O19" s="1"/>
  <c r="M20"/>
  <c r="N20" s="1"/>
  <c r="O20" s="1"/>
  <c r="M21"/>
  <c r="N21" s="1"/>
  <c r="O21" s="1"/>
  <c r="M22"/>
  <c r="N22" s="1"/>
  <c r="O22" s="1"/>
  <c r="M23"/>
  <c r="N23" s="1"/>
  <c r="O23" s="1"/>
  <c r="M24"/>
  <c r="N24" s="1"/>
  <c r="O24" s="1"/>
  <c r="M25"/>
  <c r="N25" s="1"/>
  <c r="O25" s="1"/>
  <c r="M26"/>
  <c r="N26" s="1"/>
  <c r="O26" s="1"/>
  <c r="U26" s="1"/>
  <c r="M27"/>
  <c r="N27" s="1"/>
  <c r="O27" s="1"/>
  <c r="U27" s="1"/>
  <c r="M28"/>
  <c r="N28" s="1"/>
  <c r="O28" s="1"/>
  <c r="U28" s="1"/>
  <c r="G28"/>
  <c r="G27"/>
  <c r="G26"/>
  <c r="J30"/>
  <c r="M30" s="1"/>
  <c r="N30" s="1"/>
  <c r="O30" s="1"/>
  <c r="J29"/>
  <c r="M29" s="1"/>
  <c r="N29" s="1"/>
  <c r="O29" s="1"/>
  <c r="G24"/>
  <c r="M31" l="1"/>
  <c r="G23"/>
  <c r="G22"/>
  <c r="G20"/>
  <c r="G21"/>
  <c r="N31" l="1"/>
  <c r="O31" s="1"/>
  <c r="U29" s="1"/>
  <c r="J5" i="2"/>
  <c r="J6"/>
  <c r="M6" s="1"/>
  <c r="N6" s="1"/>
  <c r="O6" s="1"/>
  <c r="U6" s="1"/>
  <c r="J7"/>
  <c r="M7" s="1"/>
  <c r="N7" s="1"/>
  <c r="O7" s="1"/>
  <c r="U7" s="1"/>
  <c r="J8"/>
  <c r="M8" s="1"/>
  <c r="N8" s="1"/>
  <c r="O8" s="1"/>
  <c r="U8" s="1"/>
  <c r="J9"/>
  <c r="J10"/>
  <c r="M10" s="1"/>
  <c r="N10" s="1"/>
  <c r="O10" s="1"/>
  <c r="U10" s="1"/>
  <c r="J11"/>
  <c r="J12"/>
  <c r="M12" s="1"/>
  <c r="N12" s="1"/>
  <c r="O12" s="1"/>
  <c r="U12" s="1"/>
  <c r="J13"/>
  <c r="J14"/>
  <c r="M14" s="1"/>
  <c r="N14" s="1"/>
  <c r="O14" s="1"/>
  <c r="J15"/>
  <c r="M15" s="1"/>
  <c r="N15" s="1"/>
  <c r="O15" s="1"/>
  <c r="J4"/>
  <c r="M4" s="1"/>
  <c r="N4" s="1"/>
  <c r="O4" s="1"/>
  <c r="U4" s="1"/>
  <c r="M13"/>
  <c r="N13" s="1"/>
  <c r="O13" s="1"/>
  <c r="M11"/>
  <c r="N11" s="1"/>
  <c r="O11" s="1"/>
  <c r="U11" s="1"/>
  <c r="M9"/>
  <c r="N9" s="1"/>
  <c r="O9" s="1"/>
  <c r="U9" s="1"/>
  <c r="M5"/>
  <c r="N5" s="1"/>
  <c r="O5" s="1"/>
  <c r="U5" s="1"/>
  <c r="U19" i="1"/>
  <c r="U20"/>
  <c r="U21"/>
  <c r="U22"/>
  <c r="U23"/>
  <c r="U24"/>
  <c r="U25"/>
  <c r="C130" l="1"/>
  <c r="U16" i="2"/>
  <c r="U13"/>
  <c r="J18" i="1"/>
  <c r="M18" s="1"/>
  <c r="N18" s="1"/>
  <c r="O18" s="1"/>
  <c r="U18" s="1"/>
  <c r="J10"/>
  <c r="M10" s="1"/>
  <c r="N10" s="1"/>
  <c r="O10" s="1"/>
  <c r="J9"/>
  <c r="M9" s="1"/>
  <c r="N9" s="1"/>
  <c r="O9" s="1"/>
  <c r="J8"/>
  <c r="J17"/>
  <c r="M17" s="1"/>
  <c r="N17" s="1"/>
  <c r="O17" s="1"/>
  <c r="U17" s="1"/>
  <c r="J16"/>
  <c r="M16" s="1"/>
  <c r="N16" s="1"/>
  <c r="O16" s="1"/>
  <c r="U16" s="1"/>
  <c r="J14"/>
  <c r="M14" s="1"/>
  <c r="N14" s="1"/>
  <c r="O14" s="1"/>
  <c r="U14" s="1"/>
  <c r="J15"/>
  <c r="M15" s="1"/>
  <c r="N15" s="1"/>
  <c r="O15" s="1"/>
  <c r="U15" s="1"/>
  <c r="J5"/>
  <c r="M5" s="1"/>
  <c r="N5" s="1"/>
  <c r="O5" s="1"/>
  <c r="J6"/>
  <c r="M6" s="1"/>
  <c r="N6" s="1"/>
  <c r="O6" s="1"/>
  <c r="J7"/>
  <c r="M7" s="1"/>
  <c r="N7" s="1"/>
  <c r="O7" s="1"/>
  <c r="J4"/>
  <c r="J12"/>
  <c r="M12" s="1"/>
  <c r="N12" s="1"/>
  <c r="O12" s="1"/>
  <c r="J13"/>
  <c r="M13" s="1"/>
  <c r="N13" s="1"/>
  <c r="O13" s="1"/>
  <c r="J11"/>
  <c r="M11" s="1"/>
  <c r="N11" s="1"/>
  <c r="O11" s="1"/>
  <c r="G32"/>
  <c r="G33"/>
  <c r="G34"/>
  <c r="G35"/>
  <c r="G19"/>
  <c r="G5"/>
  <c r="G6"/>
  <c r="G7"/>
  <c r="G11"/>
  <c r="G12"/>
  <c r="G13"/>
  <c r="G14"/>
  <c r="G15"/>
  <c r="G16"/>
  <c r="G17"/>
  <c r="G18"/>
  <c r="G4"/>
  <c r="M8" l="1"/>
  <c r="M4"/>
  <c r="U11"/>
  <c r="N8" l="1"/>
  <c r="O8" s="1"/>
  <c r="U8" s="1"/>
  <c r="N4"/>
  <c r="O4" s="1"/>
  <c r="U4" s="1"/>
  <c r="E119" l="1"/>
</calcChain>
</file>

<file path=xl/comments1.xml><?xml version="1.0" encoding="utf-8"?>
<comments xmlns="http://schemas.openxmlformats.org/spreadsheetml/2006/main">
  <authors>
    <author>Auteur</author>
  </authors>
  <commentList>
    <comment ref="F49" authorId="0">
      <text>
        <r>
          <rPr>
            <b/>
            <sz val="9"/>
            <color indexed="81"/>
            <rFont val="Tahoma"/>
            <family val="2"/>
          </rPr>
          <t xml:space="preserve">32640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7" authorId="0">
      <text>
        <r>
          <rPr>
            <b/>
            <sz val="9"/>
            <color indexed="81"/>
            <rFont val="Tahoma"/>
            <family val="2"/>
          </rPr>
          <t>correction Fact 47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<sst xmlns="http://schemas.openxmlformats.org/spreadsheetml/2006/main" count="864" uniqueCount="162">
  <si>
    <t>Date de Liv</t>
  </si>
  <si>
    <t>UN</t>
  </si>
  <si>
    <t>Qté Liv / STA NOUR</t>
  </si>
  <si>
    <t>Qté Liv / CAPA</t>
  </si>
  <si>
    <t>Diff. Poids</t>
  </si>
  <si>
    <t>Réf Facture</t>
  </si>
  <si>
    <t>Date Fact</t>
  </si>
  <si>
    <t>Px UN / TND</t>
  </si>
  <si>
    <t>Px Tot / TND</t>
  </si>
  <si>
    <t>Montant</t>
  </si>
  <si>
    <t>Échéance</t>
  </si>
  <si>
    <t>Mode de Paiement</t>
  </si>
  <si>
    <t>Réf. Pièce de Règ</t>
  </si>
  <si>
    <t>Société</t>
  </si>
  <si>
    <t>Desc Art</t>
  </si>
  <si>
    <t>PLOMB D'ŒUVRE</t>
  </si>
  <si>
    <t>KG</t>
  </si>
  <si>
    <t>VIEUX PLOMB</t>
  </si>
  <si>
    <t>Qté Fact</t>
  </si>
  <si>
    <t>SNA</t>
  </si>
  <si>
    <t>Fact 003</t>
  </si>
  <si>
    <t>Fact 004</t>
  </si>
  <si>
    <t>Fact 005</t>
  </si>
  <si>
    <t>Fact 002</t>
  </si>
  <si>
    <t>TVA 18%</t>
  </si>
  <si>
    <t>Tot. TTC</t>
  </si>
  <si>
    <t>Fact 006</t>
  </si>
  <si>
    <t>Fact 007</t>
  </si>
  <si>
    <t>Fact 009</t>
  </si>
  <si>
    <t>Fact 008</t>
  </si>
  <si>
    <t>CH</t>
  </si>
  <si>
    <t>STB</t>
  </si>
  <si>
    <t>Reliquat</t>
  </si>
  <si>
    <t>ETAIN</t>
  </si>
  <si>
    <t>STA</t>
  </si>
  <si>
    <t>Fact 126</t>
  </si>
  <si>
    <t>Fact 121</t>
  </si>
  <si>
    <t>Fact 122</t>
  </si>
  <si>
    <t>Fact 123</t>
  </si>
  <si>
    <t>Fact 124</t>
  </si>
  <si>
    <t>Fact 125</t>
  </si>
  <si>
    <t>Fact 128</t>
  </si>
  <si>
    <t>Fact 130</t>
  </si>
  <si>
    <t>Fact 129</t>
  </si>
  <si>
    <t>Fact 127</t>
  </si>
  <si>
    <t>STB M</t>
  </si>
  <si>
    <t>STB T</t>
  </si>
  <si>
    <t>Banque</t>
  </si>
  <si>
    <t>OK</t>
  </si>
  <si>
    <t>Fact 015</t>
  </si>
  <si>
    <t>Fact 016</t>
  </si>
  <si>
    <t>Fact 017</t>
  </si>
  <si>
    <t>Fact 018</t>
  </si>
  <si>
    <t>Fact 019</t>
  </si>
  <si>
    <t>Fact 020</t>
  </si>
  <si>
    <t>Fact 021</t>
  </si>
  <si>
    <t>Fact 022</t>
  </si>
  <si>
    <t>Fact 023</t>
  </si>
  <si>
    <t>Fact 024</t>
  </si>
  <si>
    <t>Fact 025</t>
  </si>
  <si>
    <t>CHEQUE CHEZ HAZEM</t>
  </si>
  <si>
    <t>STA NOUR</t>
  </si>
  <si>
    <t>SNA NOUR</t>
  </si>
  <si>
    <t>TOTAL</t>
  </si>
  <si>
    <t>RELIQUAT NON PAYE</t>
  </si>
  <si>
    <t>QUANTITE NON FACTURE</t>
  </si>
  <si>
    <t>MONTANT A RECEVOIR DE HAZEM</t>
  </si>
  <si>
    <t>LME 03/2016</t>
  </si>
  <si>
    <t>$ 03/2016</t>
  </si>
  <si>
    <t xml:space="preserve">PRIX </t>
  </si>
  <si>
    <t>LME 01/2016</t>
  </si>
  <si>
    <t>$ 01/2016</t>
  </si>
  <si>
    <t>LME 02/2016</t>
  </si>
  <si>
    <t>$ 02/2016</t>
  </si>
  <si>
    <t>Fact 033</t>
  </si>
  <si>
    <t>Fact 034</t>
  </si>
  <si>
    <t>Fact 035</t>
  </si>
  <si>
    <t>Fact 036</t>
  </si>
  <si>
    <t>Fact 037</t>
  </si>
  <si>
    <t>Fact 038</t>
  </si>
  <si>
    <t>Fact 039</t>
  </si>
  <si>
    <t>Fact 040</t>
  </si>
  <si>
    <t>Fact 041</t>
  </si>
  <si>
    <t>Fact 042</t>
  </si>
  <si>
    <t>Fact 044</t>
  </si>
  <si>
    <t>Fact 045</t>
  </si>
  <si>
    <t>Fact 046</t>
  </si>
  <si>
    <t>Fact 047</t>
  </si>
  <si>
    <t>Fact 048</t>
  </si>
  <si>
    <t>Fact 049</t>
  </si>
  <si>
    <t>Fact 050</t>
  </si>
  <si>
    <t>LME 04/2016</t>
  </si>
  <si>
    <t>$ 04/2016</t>
  </si>
  <si>
    <t>Fact 032</t>
  </si>
  <si>
    <t>Fact 052</t>
  </si>
  <si>
    <t xml:space="preserve">ETAIN </t>
  </si>
  <si>
    <t>LME 05/2016</t>
  </si>
  <si>
    <t>$ 05/2016</t>
  </si>
  <si>
    <t>Fact 053</t>
  </si>
  <si>
    <t>Fact 054</t>
  </si>
  <si>
    <t>Fact 055</t>
  </si>
  <si>
    <t>Fact 056</t>
  </si>
  <si>
    <t>Fact 057</t>
  </si>
  <si>
    <t>LME 06/2016</t>
  </si>
  <si>
    <t>$ 06/2016</t>
  </si>
  <si>
    <t>Fact 070</t>
  </si>
  <si>
    <t>Fact 071</t>
  </si>
  <si>
    <t>Fact 072</t>
  </si>
  <si>
    <t>Fact 073</t>
  </si>
  <si>
    <t>Fact 074</t>
  </si>
  <si>
    <t>LME 07/2016</t>
  </si>
  <si>
    <t>$ 07/2016</t>
  </si>
  <si>
    <t>QUANTITE</t>
  </si>
  <si>
    <t>MONTANT HT</t>
  </si>
  <si>
    <t>Fact 075</t>
  </si>
  <si>
    <t>Fact 080</t>
  </si>
  <si>
    <t>Fact 081</t>
  </si>
  <si>
    <t>Fact 082</t>
  </si>
  <si>
    <t>Fact 083</t>
  </si>
  <si>
    <t>Fact 084</t>
  </si>
  <si>
    <t>Fact 086</t>
  </si>
  <si>
    <t>Fact 087</t>
  </si>
  <si>
    <t>Fact 088</t>
  </si>
  <si>
    <t>Fact 089</t>
  </si>
  <si>
    <t>Fact 090</t>
  </si>
  <si>
    <t>Fact 091</t>
  </si>
  <si>
    <t>Fact 092</t>
  </si>
  <si>
    <t>LME 08/2016</t>
  </si>
  <si>
    <t>Fact 100</t>
  </si>
  <si>
    <t>Fact 101</t>
  </si>
  <si>
    <t>Fact 102</t>
  </si>
  <si>
    <t>Fact 103</t>
  </si>
  <si>
    <t>Fact 104</t>
  </si>
  <si>
    <t>Fact 105</t>
  </si>
  <si>
    <t>Fact 106</t>
  </si>
  <si>
    <t>Fact 111</t>
  </si>
  <si>
    <t>Fact 112</t>
  </si>
  <si>
    <t>LME 09/2016</t>
  </si>
  <si>
    <t>$ 08/2016</t>
  </si>
  <si>
    <t>$ 09/2016</t>
  </si>
  <si>
    <t>LME 10/2016</t>
  </si>
  <si>
    <t>$ 10/2016</t>
  </si>
  <si>
    <t>Fact 114</t>
  </si>
  <si>
    <t>Fact 115</t>
  </si>
  <si>
    <t>Fact 116</t>
  </si>
  <si>
    <t>Fact 117</t>
  </si>
  <si>
    <t>STA NOUR 2015</t>
  </si>
  <si>
    <t>STA NOUR 2016</t>
  </si>
  <si>
    <t>LME 11/2016</t>
  </si>
  <si>
    <t>$ 11/2016</t>
  </si>
  <si>
    <t>STUSID</t>
  </si>
  <si>
    <t>PETITE BILLE</t>
  </si>
  <si>
    <t>ALUMINIUM</t>
  </si>
  <si>
    <t>PLOMB KAIS</t>
  </si>
  <si>
    <t>MOYENNE COURS</t>
  </si>
  <si>
    <t>ANALYSE</t>
  </si>
  <si>
    <t>PRIX</t>
  </si>
  <si>
    <t>PRIX CONVENUE</t>
  </si>
  <si>
    <t>ETAIN 60%</t>
  </si>
  <si>
    <t>ETAIN 90%</t>
  </si>
  <si>
    <t>ETAIN 85%</t>
  </si>
  <si>
    <t>TOTAL HT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</si>
</sst>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[$-40C]d\-mmm\-yy;@"/>
    <numFmt numFmtId="165" formatCode="#,##0.000"/>
    <numFmt numFmtId="166" formatCode="#,##0.0000"/>
    <numFmt numFmtId="167" formatCode="0.000"/>
  </numFmts>
  <fonts count="17">
    <font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 tint="-4.9989318521683403E-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9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164" fontId="0" fillId="0" borderId="0" xfId="0" applyNumberFormat="1" applyBorder="1" applyAlignment="1">
      <alignment horizontal="center"/>
    </xf>
    <xf numFmtId="16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65" fontId="1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/>
    <xf numFmtId="164" fontId="0" fillId="3" borderId="2" xfId="0" applyNumberFormat="1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165" fontId="0" fillId="3" borderId="3" xfId="0" applyNumberFormat="1" applyFill="1" applyBorder="1"/>
    <xf numFmtId="164" fontId="0" fillId="3" borderId="3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165" fontId="0" fillId="3" borderId="0" xfId="0" applyNumberFormat="1" applyFill="1" applyBorder="1"/>
    <xf numFmtId="164" fontId="0" fillId="3" borderId="0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0" fillId="3" borderId="8" xfId="0" applyFill="1" applyBorder="1"/>
    <xf numFmtId="0" fontId="0" fillId="3" borderId="8" xfId="0" applyFill="1" applyBorder="1" applyAlignment="1">
      <alignment horizontal="center"/>
    </xf>
    <xf numFmtId="165" fontId="0" fillId="3" borderId="8" xfId="0" applyNumberFormat="1" applyFill="1" applyBorder="1"/>
    <xf numFmtId="164" fontId="0" fillId="3" borderId="8" xfId="0" applyNumberFormat="1" applyFill="1" applyBorder="1" applyAlignment="1">
      <alignment horizontal="center"/>
    </xf>
    <xf numFmtId="0" fontId="4" fillId="3" borderId="0" xfId="0" applyFont="1" applyFill="1" applyBorder="1"/>
    <xf numFmtId="165" fontId="3" fillId="3" borderId="4" xfId="0" applyNumberFormat="1" applyFont="1" applyFill="1" applyBorder="1"/>
    <xf numFmtId="165" fontId="2" fillId="3" borderId="6" xfId="0" applyNumberFormat="1" applyFont="1" applyFill="1" applyBorder="1"/>
    <xf numFmtId="165" fontId="2" fillId="3" borderId="9" xfId="0" applyNumberFormat="1" applyFont="1" applyFill="1" applyBorder="1"/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/>
    </xf>
    <xf numFmtId="165" fontId="7" fillId="3" borderId="3" xfId="0" applyNumberFormat="1" applyFont="1" applyFill="1" applyBorder="1"/>
    <xf numFmtId="164" fontId="7" fillId="3" borderId="3" xfId="0" applyNumberFormat="1" applyFont="1" applyFill="1" applyBorder="1" applyAlignment="1">
      <alignment horizontal="center"/>
    </xf>
    <xf numFmtId="164" fontId="7" fillId="3" borderId="4" xfId="0" applyNumberFormat="1" applyFont="1" applyFill="1" applyBorder="1" applyAlignment="1">
      <alignment horizontal="center"/>
    </xf>
    <xf numFmtId="165" fontId="7" fillId="3" borderId="0" xfId="0" applyNumberFormat="1" applyFont="1" applyFill="1"/>
    <xf numFmtId="0" fontId="8" fillId="3" borderId="0" xfId="0" applyFont="1" applyFill="1"/>
    <xf numFmtId="0" fontId="7" fillId="0" borderId="0" xfId="0" applyFont="1"/>
    <xf numFmtId="164" fontId="7" fillId="3" borderId="5" xfId="0" applyNumberFormat="1" applyFont="1" applyFill="1" applyBorder="1" applyAlignment="1">
      <alignment horizontal="center"/>
    </xf>
    <xf numFmtId="0" fontId="7" fillId="3" borderId="0" xfId="0" applyFont="1" applyFill="1" applyBorder="1"/>
    <xf numFmtId="0" fontId="7" fillId="3" borderId="0" xfId="0" applyFont="1" applyFill="1" applyBorder="1" applyAlignment="1">
      <alignment horizontal="center"/>
    </xf>
    <xf numFmtId="165" fontId="7" fillId="3" borderId="0" xfId="0" applyNumberFormat="1" applyFont="1" applyFill="1" applyBorder="1"/>
    <xf numFmtId="164" fontId="7" fillId="3" borderId="0" xfId="0" applyNumberFormat="1" applyFont="1" applyFill="1" applyBorder="1" applyAlignment="1">
      <alignment horizontal="center"/>
    </xf>
    <xf numFmtId="164" fontId="7" fillId="3" borderId="6" xfId="0" applyNumberFormat="1" applyFont="1" applyFill="1" applyBorder="1" applyAlignment="1">
      <alignment horizontal="center"/>
    </xf>
    <xf numFmtId="0" fontId="7" fillId="3" borderId="0" xfId="0" applyFont="1" applyFill="1"/>
    <xf numFmtId="164" fontId="7" fillId="3" borderId="7" xfId="0" applyNumberFormat="1" applyFont="1" applyFill="1" applyBorder="1" applyAlignment="1">
      <alignment horizontal="center"/>
    </xf>
    <xf numFmtId="0" fontId="7" fillId="3" borderId="8" xfId="0" applyFont="1" applyFill="1" applyBorder="1"/>
    <xf numFmtId="0" fontId="7" fillId="3" borderId="8" xfId="0" applyFont="1" applyFill="1" applyBorder="1" applyAlignment="1">
      <alignment horizontal="center"/>
    </xf>
    <xf numFmtId="165" fontId="7" fillId="3" borderId="8" xfId="0" applyNumberFormat="1" applyFont="1" applyFill="1" applyBorder="1"/>
    <xf numFmtId="164" fontId="7" fillId="3" borderId="8" xfId="0" applyNumberFormat="1" applyFont="1" applyFill="1" applyBorder="1" applyAlignment="1">
      <alignment horizontal="center"/>
    </xf>
    <xf numFmtId="164" fontId="7" fillId="3" borderId="9" xfId="0" applyNumberFormat="1" applyFont="1" applyFill="1" applyBorder="1" applyAlignment="1">
      <alignment horizontal="center"/>
    </xf>
    <xf numFmtId="164" fontId="7" fillId="3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65" fontId="7" fillId="0" borderId="0" xfId="0" applyNumberFormat="1" applyFont="1"/>
    <xf numFmtId="0" fontId="9" fillId="3" borderId="0" xfId="0" applyFont="1" applyFill="1"/>
    <xf numFmtId="164" fontId="9" fillId="3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165" fontId="9" fillId="3" borderId="0" xfId="0" applyNumberFormat="1" applyFont="1" applyFill="1"/>
    <xf numFmtId="0" fontId="9" fillId="3" borderId="0" xfId="0" applyFont="1" applyFill="1" applyBorder="1" applyAlignment="1">
      <alignment horizontal="center"/>
    </xf>
    <xf numFmtId="165" fontId="9" fillId="3" borderId="0" xfId="0" applyNumberFormat="1" applyFont="1" applyFill="1" applyBorder="1"/>
    <xf numFmtId="0" fontId="10" fillId="3" borderId="0" xfId="0" applyFont="1" applyFill="1"/>
    <xf numFmtId="0" fontId="9" fillId="0" borderId="0" xfId="0" applyFont="1" applyFill="1"/>
    <xf numFmtId="165" fontId="9" fillId="0" borderId="0" xfId="0" applyNumberFormat="1" applyFont="1"/>
    <xf numFmtId="0" fontId="7" fillId="0" borderId="0" xfId="0" applyFont="1" applyBorder="1"/>
    <xf numFmtId="0" fontId="7" fillId="0" borderId="0" xfId="0" applyFont="1" applyFill="1" applyBorder="1"/>
    <xf numFmtId="165" fontId="7" fillId="0" borderId="0" xfId="0" applyNumberFormat="1" applyFont="1" applyFill="1" applyBorder="1"/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4" fontId="9" fillId="0" borderId="4" xfId="0" applyNumberFormat="1" applyFont="1" applyFill="1" applyBorder="1"/>
    <xf numFmtId="0" fontId="9" fillId="0" borderId="6" xfId="0" applyFont="1" applyFill="1" applyBorder="1"/>
    <xf numFmtId="165" fontId="9" fillId="0" borderId="6" xfId="0" applyNumberFormat="1" applyFont="1" applyFill="1" applyBorder="1"/>
    <xf numFmtId="165" fontId="10" fillId="0" borderId="9" xfId="0" applyNumberFormat="1" applyFont="1" applyFill="1" applyBorder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/>
    <xf numFmtId="9" fontId="8" fillId="0" borderId="0" xfId="0" applyNumberFormat="1" applyFont="1"/>
    <xf numFmtId="165" fontId="9" fillId="3" borderId="3" xfId="0" applyNumberFormat="1" applyFont="1" applyFill="1" applyBorder="1"/>
    <xf numFmtId="165" fontId="9" fillId="3" borderId="8" xfId="0" applyNumberFormat="1" applyFont="1" applyFill="1" applyBorder="1"/>
    <xf numFmtId="165" fontId="7" fillId="3" borderId="4" xfId="0" applyNumberFormat="1" applyFont="1" applyFill="1" applyBorder="1"/>
    <xf numFmtId="0" fontId="8" fillId="3" borderId="0" xfId="0" applyFont="1" applyFill="1" applyBorder="1"/>
    <xf numFmtId="165" fontId="7" fillId="3" borderId="6" xfId="0" applyNumberFormat="1" applyFont="1" applyFill="1" applyBorder="1"/>
    <xf numFmtId="165" fontId="7" fillId="3" borderId="9" xfId="0" applyNumberFormat="1" applyFont="1" applyFill="1" applyBorder="1"/>
    <xf numFmtId="0" fontId="7" fillId="0" borderId="0" xfId="0" applyFont="1" applyFill="1"/>
    <xf numFmtId="0" fontId="10" fillId="3" borderId="0" xfId="0" applyFont="1" applyFill="1" applyAlignment="1">
      <alignment vertical="center"/>
    </xf>
    <xf numFmtId="0" fontId="9" fillId="3" borderId="0" xfId="0" applyFont="1" applyFill="1" applyBorder="1"/>
    <xf numFmtId="0" fontId="7" fillId="3" borderId="6" xfId="0" applyFont="1" applyFill="1" applyBorder="1"/>
    <xf numFmtId="0" fontId="11" fillId="3" borderId="0" xfId="0" applyFont="1" applyFill="1" applyAlignment="1">
      <alignment vertical="center" textRotation="180"/>
    </xf>
    <xf numFmtId="0" fontId="7" fillId="3" borderId="9" xfId="0" applyFont="1" applyFill="1" applyBorder="1"/>
    <xf numFmtId="164" fontId="8" fillId="0" borderId="0" xfId="0" applyNumberFormat="1" applyFont="1" applyAlignment="1">
      <alignment horizontal="center"/>
    </xf>
    <xf numFmtId="165" fontId="11" fillId="3" borderId="0" xfId="0" applyNumberFormat="1" applyFont="1" applyFill="1"/>
    <xf numFmtId="16" fontId="7" fillId="0" borderId="0" xfId="0" applyNumberFormat="1" applyFont="1"/>
    <xf numFmtId="0" fontId="9" fillId="0" borderId="0" xfId="0" applyFont="1"/>
    <xf numFmtId="0" fontId="9" fillId="0" borderId="0" xfId="0" applyFont="1" applyBorder="1"/>
    <xf numFmtId="14" fontId="9" fillId="3" borderId="0" xfId="0" applyNumberFormat="1" applyFont="1" applyFill="1"/>
    <xf numFmtId="164" fontId="9" fillId="3" borderId="0" xfId="0" applyNumberFormat="1" applyFont="1" applyFill="1" applyBorder="1" applyAlignment="1">
      <alignment horizontal="center"/>
    </xf>
    <xf numFmtId="14" fontId="9" fillId="3" borderId="0" xfId="0" applyNumberFormat="1" applyFont="1" applyFill="1" applyBorder="1"/>
    <xf numFmtId="0" fontId="10" fillId="3" borderId="0" xfId="0" applyFont="1" applyFill="1" applyBorder="1"/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Fill="1" applyBorder="1"/>
    <xf numFmtId="165" fontId="15" fillId="0" borderId="0" xfId="0" applyNumberFormat="1" applyFont="1"/>
    <xf numFmtId="165" fontId="9" fillId="0" borderId="0" xfId="0" applyNumberFormat="1" applyFont="1" applyFill="1" applyBorder="1"/>
    <xf numFmtId="166" fontId="9" fillId="0" borderId="6" xfId="0" applyNumberFormat="1" applyFont="1" applyFill="1" applyBorder="1"/>
    <xf numFmtId="0" fontId="14" fillId="0" borderId="0" xfId="0" applyFont="1"/>
    <xf numFmtId="16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43" fontId="7" fillId="0" borderId="0" xfId="2" applyFont="1" applyAlignment="1">
      <alignment horizontal="center"/>
    </xf>
    <xf numFmtId="164" fontId="9" fillId="3" borderId="2" xfId="0" applyNumberFormat="1" applyFont="1" applyFill="1" applyBorder="1" applyAlignment="1">
      <alignment horizontal="center"/>
    </xf>
    <xf numFmtId="0" fontId="9" fillId="3" borderId="3" xfId="0" applyFont="1" applyFill="1" applyBorder="1"/>
    <xf numFmtId="0" fontId="9" fillId="3" borderId="3" xfId="0" applyFont="1" applyFill="1" applyBorder="1" applyAlignment="1">
      <alignment horizontal="center"/>
    </xf>
    <xf numFmtId="14" fontId="9" fillId="3" borderId="3" xfId="0" applyNumberFormat="1" applyFont="1" applyFill="1" applyBorder="1"/>
    <xf numFmtId="167" fontId="9" fillId="3" borderId="3" xfId="0" applyNumberFormat="1" applyFont="1" applyFill="1" applyBorder="1"/>
    <xf numFmtId="164" fontId="9" fillId="3" borderId="3" xfId="0" applyNumberFormat="1" applyFont="1" applyFill="1" applyBorder="1" applyAlignment="1">
      <alignment horizontal="center"/>
    </xf>
    <xf numFmtId="165" fontId="9" fillId="3" borderId="4" xfId="0" applyNumberFormat="1" applyFont="1" applyFill="1" applyBorder="1"/>
    <xf numFmtId="164" fontId="9" fillId="3" borderId="5" xfId="0" applyNumberFormat="1" applyFont="1" applyFill="1" applyBorder="1" applyAlignment="1">
      <alignment horizontal="center"/>
    </xf>
    <xf numFmtId="0" fontId="9" fillId="3" borderId="6" xfId="0" applyFont="1" applyFill="1" applyBorder="1"/>
    <xf numFmtId="164" fontId="9" fillId="3" borderId="7" xfId="0" applyNumberFormat="1" applyFont="1" applyFill="1" applyBorder="1" applyAlignment="1">
      <alignment horizontal="center"/>
    </xf>
    <xf numFmtId="0" fontId="9" fillId="3" borderId="8" xfId="0" applyFont="1" applyFill="1" applyBorder="1"/>
    <xf numFmtId="0" fontId="9" fillId="3" borderId="8" xfId="0" applyFont="1" applyFill="1" applyBorder="1" applyAlignment="1">
      <alignment horizontal="center"/>
    </xf>
    <xf numFmtId="14" fontId="9" fillId="3" borderId="8" xfId="0" applyNumberFormat="1" applyFont="1" applyFill="1" applyBorder="1"/>
    <xf numFmtId="164" fontId="9" fillId="3" borderId="8" xfId="0" applyNumberFormat="1" applyFont="1" applyFill="1" applyBorder="1" applyAlignment="1">
      <alignment horizontal="center"/>
    </xf>
    <xf numFmtId="0" fontId="9" fillId="3" borderId="9" xfId="0" applyFont="1" applyFill="1" applyBorder="1"/>
    <xf numFmtId="16" fontId="9" fillId="0" borderId="0" xfId="0" applyNumberFormat="1" applyFont="1"/>
    <xf numFmtId="0" fontId="10" fillId="3" borderId="0" xfId="0" applyFon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0" fontId="0" fillId="0" borderId="0" xfId="0" applyFill="1" applyBorder="1"/>
    <xf numFmtId="16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center"/>
    </xf>
    <xf numFmtId="165" fontId="3" fillId="3" borderId="0" xfId="0" applyNumberFormat="1" applyFont="1" applyFill="1" applyBorder="1"/>
    <xf numFmtId="0" fontId="16" fillId="3" borderId="0" xfId="0" applyFont="1" applyFill="1" applyBorder="1"/>
    <xf numFmtId="165" fontId="7" fillId="0" borderId="0" xfId="0" applyNumberFormat="1" applyFont="1" applyFill="1"/>
    <xf numFmtId="9" fontId="7" fillId="0" borderId="0" xfId="1" applyFont="1"/>
    <xf numFmtId="166" fontId="7" fillId="0" borderId="0" xfId="0" applyNumberFormat="1" applyFont="1"/>
    <xf numFmtId="0" fontId="4" fillId="0" borderId="0" xfId="0" applyFont="1"/>
    <xf numFmtId="0" fontId="10" fillId="3" borderId="3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0" fontId="11" fillId="3" borderId="0" xfId="0" applyFont="1" applyFill="1"/>
    <xf numFmtId="0" fontId="14" fillId="3" borderId="8" xfId="0" applyFont="1" applyFill="1" applyBorder="1"/>
    <xf numFmtId="165" fontId="14" fillId="3" borderId="8" xfId="0" applyNumberFormat="1" applyFont="1" applyFill="1" applyBorder="1"/>
    <xf numFmtId="164" fontId="14" fillId="3" borderId="8" xfId="0" applyNumberFormat="1" applyFont="1" applyFill="1" applyBorder="1" applyAlignment="1">
      <alignment horizontal="center"/>
    </xf>
    <xf numFmtId="0" fontId="14" fillId="3" borderId="9" xfId="0" applyFont="1" applyFill="1" applyBorder="1"/>
    <xf numFmtId="0" fontId="10" fillId="3" borderId="0" xfId="0" applyFont="1" applyFill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165" fontId="7" fillId="0" borderId="3" xfId="0" applyNumberFormat="1" applyFont="1" applyBorder="1"/>
    <xf numFmtId="14" fontId="7" fillId="0" borderId="3" xfId="0" applyNumberFormat="1" applyFont="1" applyBorder="1"/>
    <xf numFmtId="164" fontId="7" fillId="0" borderId="3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165" fontId="7" fillId="0" borderId="8" xfId="0" applyNumberFormat="1" applyFont="1" applyBorder="1"/>
    <xf numFmtId="165" fontId="9" fillId="0" borderId="8" xfId="0" applyNumberFormat="1" applyFont="1" applyFill="1" applyBorder="1"/>
    <xf numFmtId="164" fontId="7" fillId="0" borderId="8" xfId="0" applyNumberFormat="1" applyFont="1" applyBorder="1" applyAlignment="1">
      <alignment horizontal="center"/>
    </xf>
    <xf numFmtId="0" fontId="7" fillId="0" borderId="9" xfId="0" applyFont="1" applyBorder="1"/>
    <xf numFmtId="165" fontId="9" fillId="0" borderId="3" xfId="0" applyNumberFormat="1" applyFont="1" applyFill="1" applyBorder="1"/>
    <xf numFmtId="0" fontId="7" fillId="0" borderId="0" xfId="0" applyFont="1" applyBorder="1" applyAlignment="1">
      <alignment horizontal="center"/>
    </xf>
    <xf numFmtId="165" fontId="7" fillId="0" borderId="0" xfId="0" applyNumberFormat="1" applyFont="1" applyBorder="1"/>
    <xf numFmtId="164" fontId="7" fillId="0" borderId="0" xfId="0" applyNumberFormat="1" applyFont="1" applyBorder="1" applyAlignment="1">
      <alignment horizontal="center"/>
    </xf>
    <xf numFmtId="0" fontId="7" fillId="0" borderId="6" xfId="0" applyFont="1" applyBorder="1"/>
    <xf numFmtId="164" fontId="7" fillId="0" borderId="5" xfId="0" applyNumberFormat="1" applyFont="1" applyBorder="1" applyAlignment="1">
      <alignment horizontal="center"/>
    </xf>
    <xf numFmtId="165" fontId="7" fillId="0" borderId="8" xfId="0" applyNumberFormat="1" applyFont="1" applyFill="1" applyBorder="1"/>
    <xf numFmtId="165" fontId="9" fillId="0" borderId="4" xfId="0" applyNumberFormat="1" applyFont="1" applyBorder="1"/>
    <xf numFmtId="14" fontId="7" fillId="3" borderId="3" xfId="0" applyNumberFormat="1" applyFont="1" applyFill="1" applyBorder="1"/>
    <xf numFmtId="14" fontId="7" fillId="3" borderId="0" xfId="0" applyNumberFormat="1" applyFont="1" applyFill="1"/>
    <xf numFmtId="2" fontId="7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2" fontId="0" fillId="0" borderId="0" xfId="0" applyNumberFormat="1"/>
    <xf numFmtId="4" fontId="7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" fontId="0" fillId="0" borderId="0" xfId="0" applyNumberFormat="1"/>
    <xf numFmtId="165" fontId="7" fillId="0" borderId="0" xfId="0" applyNumberFormat="1" applyFont="1" applyAlignment="1">
      <alignment horizontal="center"/>
    </xf>
    <xf numFmtId="165" fontId="0" fillId="0" borderId="0" xfId="0" applyNumberFormat="1"/>
    <xf numFmtId="165" fontId="9" fillId="0" borderId="0" xfId="0" applyNumberFormat="1" applyFont="1" applyAlignment="1">
      <alignment horizontal="center"/>
    </xf>
    <xf numFmtId="9" fontId="10" fillId="0" borderId="7" xfId="1" applyFont="1" applyFill="1" applyBorder="1" applyAlignment="1">
      <alignment horizontal="center"/>
    </xf>
    <xf numFmtId="9" fontId="10" fillId="0" borderId="8" xfId="1" applyFont="1" applyFill="1" applyBorder="1" applyAlignment="1">
      <alignment horizontal="center"/>
    </xf>
    <xf numFmtId="165" fontId="9" fillId="0" borderId="5" xfId="0" applyNumberFormat="1" applyFont="1" applyFill="1" applyBorder="1" applyAlignment="1">
      <alignment horizontal="center"/>
    </xf>
    <xf numFmtId="165" fontId="9" fillId="0" borderId="0" xfId="0" applyNumberFormat="1" applyFont="1" applyFill="1" applyBorder="1" applyAlignment="1">
      <alignment horizontal="center"/>
    </xf>
    <xf numFmtId="165" fontId="9" fillId="0" borderId="2" xfId="0" applyNumberFormat="1" applyFont="1" applyFill="1" applyBorder="1" applyAlignment="1">
      <alignment horizontal="center"/>
    </xf>
    <xf numFmtId="165" fontId="9" fillId="0" borderId="3" xfId="0" applyNumberFormat="1" applyFon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165" fontId="9" fillId="3" borderId="0" xfId="0" applyNumberFormat="1" applyFont="1" applyFill="1" applyAlignment="1">
      <alignment horizontal="right" vertical="center"/>
    </xf>
    <xf numFmtId="165" fontId="7" fillId="3" borderId="0" xfId="0" applyNumberFormat="1" applyFont="1" applyFill="1" applyAlignment="1">
      <alignment horizontal="right" vertical="center"/>
    </xf>
    <xf numFmtId="164" fontId="9" fillId="3" borderId="5" xfId="0" applyNumberFormat="1" applyFont="1" applyFill="1" applyBorder="1" applyAlignment="1">
      <alignment horizontal="center" vertical="center"/>
    </xf>
    <xf numFmtId="165" fontId="9" fillId="3" borderId="0" xfId="0" applyNumberFormat="1" applyFont="1" applyFill="1" applyBorder="1" applyAlignment="1">
      <alignment horizontal="right" vertical="center"/>
    </xf>
    <xf numFmtId="2" fontId="7" fillId="0" borderId="0" xfId="0" applyNumberFormat="1" applyFont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Y204"/>
  <sheetViews>
    <sheetView tabSelected="1" zoomScale="90" zoomScaleNormal="90" workbookViewId="0">
      <pane ySplit="3" topLeftCell="A106" activePane="bottomLeft" state="frozen"/>
      <selection pane="bottomLeft" activeCell="C123" sqref="C123"/>
    </sheetView>
  </sheetViews>
  <sheetFormatPr baseColWidth="10" defaultRowHeight="15"/>
  <cols>
    <col min="1" max="1" width="1.5703125" style="42" customWidth="1"/>
    <col min="2" max="2" width="20.140625" style="71" bestFit="1" customWidth="1"/>
    <col min="3" max="3" width="18.85546875" style="42" bestFit="1" customWidth="1"/>
    <col min="4" max="4" width="4" style="72" bestFit="1" customWidth="1"/>
    <col min="5" max="5" width="16.28515625" style="42" bestFit="1" customWidth="1"/>
    <col min="6" max="6" width="14.5703125" style="42" bestFit="1" customWidth="1"/>
    <col min="7" max="7" width="10.140625" style="42" bestFit="1" customWidth="1"/>
    <col min="8" max="8" width="8.28515625" style="42" bestFit="1" customWidth="1"/>
    <col min="9" max="9" width="10.5703125" style="42" bestFit="1" customWidth="1"/>
    <col min="10" max="10" width="10" style="42" bestFit="1" customWidth="1"/>
    <col min="11" max="11" width="9" style="58" bestFit="1" customWidth="1"/>
    <col min="12" max="12" width="7.42578125" style="72" bestFit="1" customWidth="1"/>
    <col min="13" max="13" width="12.42578125" style="58" bestFit="1" customWidth="1"/>
    <col min="14" max="14" width="10.42578125" style="58" bestFit="1" customWidth="1"/>
    <col min="15" max="15" width="11" style="58" bestFit="1" customWidth="1"/>
    <col min="16" max="16" width="9.7109375" style="42" bestFit="1" customWidth="1"/>
    <col min="17" max="17" width="12.140625" style="42" customWidth="1"/>
    <col min="18" max="18" width="8.42578125" style="42" bestFit="1" customWidth="1"/>
    <col min="19" max="19" width="11" style="58" bestFit="1" customWidth="1"/>
    <col min="20" max="20" width="10.5703125" style="42" bestFit="1" customWidth="1"/>
    <col min="21" max="21" width="11" style="42" bestFit="1" customWidth="1"/>
    <col min="22" max="22" width="7.5703125" style="73" bestFit="1" customWidth="1"/>
    <col min="23" max="23" width="11.42578125" style="42"/>
    <col min="24" max="24" width="12" style="42" bestFit="1" customWidth="1"/>
    <col min="25" max="16384" width="11.42578125" style="42"/>
  </cols>
  <sheetData>
    <row r="3" spans="2:22" s="33" customFormat="1" ht="29.25" thickBot="1">
      <c r="B3" s="29" t="s">
        <v>0</v>
      </c>
      <c r="C3" s="30" t="s">
        <v>14</v>
      </c>
      <c r="D3" s="30" t="s">
        <v>1</v>
      </c>
      <c r="E3" s="30" t="s">
        <v>2</v>
      </c>
      <c r="F3" s="30" t="s">
        <v>3</v>
      </c>
      <c r="G3" s="30" t="s">
        <v>4</v>
      </c>
      <c r="H3" s="30" t="s">
        <v>5</v>
      </c>
      <c r="I3" s="30" t="s">
        <v>6</v>
      </c>
      <c r="J3" s="30" t="s">
        <v>18</v>
      </c>
      <c r="K3" s="31" t="s">
        <v>7</v>
      </c>
      <c r="L3" s="30" t="s">
        <v>13</v>
      </c>
      <c r="M3" s="31" t="s">
        <v>8</v>
      </c>
      <c r="N3" s="31" t="s">
        <v>24</v>
      </c>
      <c r="O3" s="31" t="s">
        <v>25</v>
      </c>
      <c r="P3" s="30" t="s">
        <v>11</v>
      </c>
      <c r="Q3" s="30" t="s">
        <v>12</v>
      </c>
      <c r="R3" s="30"/>
      <c r="S3" s="31" t="s">
        <v>9</v>
      </c>
      <c r="T3" s="30" t="s">
        <v>10</v>
      </c>
      <c r="U3" s="30" t="s">
        <v>32</v>
      </c>
      <c r="V3" s="32" t="s">
        <v>47</v>
      </c>
    </row>
    <row r="4" spans="2:22">
      <c r="B4" s="34">
        <v>42377</v>
      </c>
      <c r="C4" s="35" t="s">
        <v>15</v>
      </c>
      <c r="D4" s="36" t="s">
        <v>16</v>
      </c>
      <c r="E4" s="81">
        <v>26132</v>
      </c>
      <c r="F4" s="37">
        <v>26200</v>
      </c>
      <c r="G4" s="37">
        <f>+E4-F4</f>
        <v>-68</v>
      </c>
      <c r="H4" s="35" t="s">
        <v>23</v>
      </c>
      <c r="I4" s="38">
        <v>42396</v>
      </c>
      <c r="J4" s="37">
        <f>+F4</f>
        <v>26200</v>
      </c>
      <c r="K4" s="37">
        <v>2.8530000000000002</v>
      </c>
      <c r="L4" s="36" t="s">
        <v>19</v>
      </c>
      <c r="M4" s="37">
        <f>+K4*J4</f>
        <v>74748.600000000006</v>
      </c>
      <c r="N4" s="37">
        <f>+M4*0.18</f>
        <v>13454.748000000001</v>
      </c>
      <c r="O4" s="37">
        <f>+N4+M4</f>
        <v>88203.348000000013</v>
      </c>
      <c r="P4" s="35" t="s">
        <v>30</v>
      </c>
      <c r="Q4" s="35">
        <v>7103</v>
      </c>
      <c r="R4" s="35" t="s">
        <v>31</v>
      </c>
      <c r="S4" s="37">
        <v>72750.69</v>
      </c>
      <c r="T4" s="39">
        <v>42403</v>
      </c>
      <c r="U4" s="40">
        <f>O4+O5+O6+O7-S4-S5-S6</f>
        <v>-0.50019999995129183</v>
      </c>
      <c r="V4" s="41" t="s">
        <v>48</v>
      </c>
    </row>
    <row r="5" spans="2:22">
      <c r="B5" s="43">
        <v>42377</v>
      </c>
      <c r="C5" s="44" t="s">
        <v>15</v>
      </c>
      <c r="D5" s="45" t="s">
        <v>16</v>
      </c>
      <c r="E5" s="64">
        <v>9411</v>
      </c>
      <c r="F5" s="46">
        <v>9590</v>
      </c>
      <c r="G5" s="46">
        <f>+E5-F5</f>
        <v>-179</v>
      </c>
      <c r="H5" s="44" t="s">
        <v>23</v>
      </c>
      <c r="I5" s="47">
        <v>42396</v>
      </c>
      <c r="J5" s="46">
        <f t="shared" ref="J5:J7" si="0">+F5</f>
        <v>9590</v>
      </c>
      <c r="K5" s="46">
        <v>2.8530000000000002</v>
      </c>
      <c r="L5" s="45" t="s">
        <v>19</v>
      </c>
      <c r="M5" s="46">
        <f t="shared" ref="M5:M9" si="1">+K5*J5</f>
        <v>27360.27</v>
      </c>
      <c r="N5" s="46">
        <f t="shared" ref="N5:N9" si="2">+M5*0.18</f>
        <v>4924.8486000000003</v>
      </c>
      <c r="O5" s="46">
        <f t="shared" ref="O5:O9" si="3">+N5+M5</f>
        <v>32285.118600000002</v>
      </c>
      <c r="P5" s="44" t="s">
        <v>30</v>
      </c>
      <c r="Q5" s="44">
        <v>7175</v>
      </c>
      <c r="R5" s="44" t="s">
        <v>31</v>
      </c>
      <c r="S5" s="46">
        <v>150000</v>
      </c>
      <c r="T5" s="48">
        <v>42415</v>
      </c>
      <c r="U5" s="49"/>
      <c r="V5" s="41" t="s">
        <v>48</v>
      </c>
    </row>
    <row r="6" spans="2:22">
      <c r="B6" s="43">
        <v>42378</v>
      </c>
      <c r="C6" s="44" t="s">
        <v>15</v>
      </c>
      <c r="D6" s="45" t="s">
        <v>16</v>
      </c>
      <c r="E6" s="64">
        <v>29183</v>
      </c>
      <c r="F6" s="46">
        <v>28880</v>
      </c>
      <c r="G6" s="46">
        <f>+E6-F6</f>
        <v>303</v>
      </c>
      <c r="H6" s="44" t="s">
        <v>23</v>
      </c>
      <c r="I6" s="47">
        <v>42396</v>
      </c>
      <c r="J6" s="46">
        <f t="shared" si="0"/>
        <v>28880</v>
      </c>
      <c r="K6" s="46">
        <v>2.8530000000000002</v>
      </c>
      <c r="L6" s="45" t="s">
        <v>19</v>
      </c>
      <c r="M6" s="46">
        <f t="shared" si="1"/>
        <v>82394.64</v>
      </c>
      <c r="N6" s="46">
        <f t="shared" si="2"/>
        <v>14831.035199999998</v>
      </c>
      <c r="O6" s="46">
        <f t="shared" si="3"/>
        <v>97225.675199999998</v>
      </c>
      <c r="P6" s="44" t="s">
        <v>30</v>
      </c>
      <c r="Q6" s="44">
        <v>7222</v>
      </c>
      <c r="R6" s="44" t="s">
        <v>31</v>
      </c>
      <c r="S6" s="46">
        <v>100000</v>
      </c>
      <c r="T6" s="48">
        <v>42422</v>
      </c>
      <c r="U6" s="49"/>
      <c r="V6" s="41" t="s">
        <v>48</v>
      </c>
    </row>
    <row r="7" spans="2:22" ht="15.75" thickBot="1">
      <c r="B7" s="50">
        <v>42379</v>
      </c>
      <c r="C7" s="51" t="s">
        <v>15</v>
      </c>
      <c r="D7" s="52" t="s">
        <v>16</v>
      </c>
      <c r="E7" s="82">
        <v>31179</v>
      </c>
      <c r="F7" s="53">
        <v>31200</v>
      </c>
      <c r="G7" s="53">
        <f>+E7-F7</f>
        <v>-21</v>
      </c>
      <c r="H7" s="51" t="s">
        <v>23</v>
      </c>
      <c r="I7" s="54">
        <v>42396</v>
      </c>
      <c r="J7" s="53">
        <f t="shared" si="0"/>
        <v>31200</v>
      </c>
      <c r="K7" s="53">
        <v>2.8530000000000002</v>
      </c>
      <c r="L7" s="52" t="s">
        <v>19</v>
      </c>
      <c r="M7" s="53">
        <f t="shared" si="1"/>
        <v>89013.6</v>
      </c>
      <c r="N7" s="53">
        <f t="shared" si="2"/>
        <v>16022.448</v>
      </c>
      <c r="O7" s="53">
        <f t="shared" si="3"/>
        <v>105036.04800000001</v>
      </c>
      <c r="P7" s="51"/>
      <c r="Q7" s="51"/>
      <c r="R7" s="51"/>
      <c r="S7" s="53"/>
      <c r="T7" s="55"/>
      <c r="U7" s="49"/>
      <c r="V7" s="41"/>
    </row>
    <row r="8" spans="2:22">
      <c r="B8" s="34">
        <v>42380</v>
      </c>
      <c r="C8" s="35" t="s">
        <v>17</v>
      </c>
      <c r="D8" s="36" t="s">
        <v>16</v>
      </c>
      <c r="E8" s="81">
        <v>4756</v>
      </c>
      <c r="F8" s="35"/>
      <c r="G8" s="37"/>
      <c r="H8" s="35" t="s">
        <v>28</v>
      </c>
      <c r="I8" s="38">
        <v>42031</v>
      </c>
      <c r="J8" s="37">
        <f>+E8</f>
        <v>4756</v>
      </c>
      <c r="K8" s="37">
        <v>3</v>
      </c>
      <c r="L8" s="36" t="s">
        <v>19</v>
      </c>
      <c r="M8" s="37">
        <f t="shared" si="1"/>
        <v>14268</v>
      </c>
      <c r="N8" s="37">
        <f t="shared" si="2"/>
        <v>2568.2399999999998</v>
      </c>
      <c r="O8" s="37">
        <f t="shared" si="3"/>
        <v>16836.239999999998</v>
      </c>
      <c r="P8" s="35" t="s">
        <v>30</v>
      </c>
      <c r="Q8" s="35">
        <v>7126</v>
      </c>
      <c r="R8" s="35" t="s">
        <v>31</v>
      </c>
      <c r="S8" s="37">
        <v>51103.94</v>
      </c>
      <c r="T8" s="39">
        <v>42408</v>
      </c>
      <c r="U8" s="40">
        <f>+O10+O9+O8-S8</f>
        <v>-0.50000000000727596</v>
      </c>
      <c r="V8" s="41" t="s">
        <v>48</v>
      </c>
    </row>
    <row r="9" spans="2:22">
      <c r="B9" s="43">
        <v>42380</v>
      </c>
      <c r="C9" s="44" t="s">
        <v>17</v>
      </c>
      <c r="D9" s="45" t="s">
        <v>16</v>
      </c>
      <c r="E9" s="64">
        <v>4656</v>
      </c>
      <c r="F9" s="44"/>
      <c r="G9" s="46"/>
      <c r="H9" s="44" t="s">
        <v>28</v>
      </c>
      <c r="I9" s="47">
        <v>42031</v>
      </c>
      <c r="J9" s="46">
        <f>+E9</f>
        <v>4656</v>
      </c>
      <c r="K9" s="46">
        <v>3</v>
      </c>
      <c r="L9" s="45" t="s">
        <v>19</v>
      </c>
      <c r="M9" s="46">
        <f t="shared" si="1"/>
        <v>13968</v>
      </c>
      <c r="N9" s="46">
        <f t="shared" si="2"/>
        <v>2514.2399999999998</v>
      </c>
      <c r="O9" s="46">
        <f t="shared" si="3"/>
        <v>16482.239999999998</v>
      </c>
      <c r="P9" s="44"/>
      <c r="Q9" s="44"/>
      <c r="R9" s="44"/>
      <c r="S9" s="46"/>
      <c r="T9" s="48"/>
      <c r="U9" s="49"/>
      <c r="V9" s="41"/>
    </row>
    <row r="10" spans="2:22" ht="15.75" thickBot="1">
      <c r="B10" s="50">
        <v>42394</v>
      </c>
      <c r="C10" s="51" t="s">
        <v>17</v>
      </c>
      <c r="D10" s="52" t="s">
        <v>16</v>
      </c>
      <c r="E10" s="82">
        <v>5024</v>
      </c>
      <c r="F10" s="51"/>
      <c r="G10" s="53"/>
      <c r="H10" s="51" t="s">
        <v>28</v>
      </c>
      <c r="I10" s="54">
        <v>42031</v>
      </c>
      <c r="J10" s="53">
        <f>+E10</f>
        <v>5024</v>
      </c>
      <c r="K10" s="53">
        <v>3</v>
      </c>
      <c r="L10" s="52" t="s">
        <v>19</v>
      </c>
      <c r="M10" s="53">
        <f t="shared" ref="M10" si="4">+K10*J10</f>
        <v>15072</v>
      </c>
      <c r="N10" s="53">
        <f t="shared" ref="N10" si="5">+M10*0.18</f>
        <v>2712.96</v>
      </c>
      <c r="O10" s="53">
        <f t="shared" ref="O10" si="6">+N10+M10</f>
        <v>17784.96</v>
      </c>
      <c r="P10" s="51"/>
      <c r="Q10" s="51"/>
      <c r="R10" s="51"/>
      <c r="S10" s="53"/>
      <c r="T10" s="55"/>
      <c r="U10" s="49"/>
      <c r="V10" s="41"/>
    </row>
    <row r="11" spans="2:22">
      <c r="B11" s="34">
        <v>42381</v>
      </c>
      <c r="C11" s="35" t="s">
        <v>15</v>
      </c>
      <c r="D11" s="36" t="s">
        <v>16</v>
      </c>
      <c r="E11" s="81">
        <v>31738</v>
      </c>
      <c r="F11" s="37">
        <v>31540</v>
      </c>
      <c r="G11" s="37">
        <f t="shared" ref="G11:G18" si="7">+E11-F11</f>
        <v>198</v>
      </c>
      <c r="H11" s="35" t="s">
        <v>20</v>
      </c>
      <c r="I11" s="38">
        <v>42396</v>
      </c>
      <c r="J11" s="37">
        <f>+F11</f>
        <v>31540</v>
      </c>
      <c r="K11" s="37">
        <v>2.8530000000000002</v>
      </c>
      <c r="L11" s="36" t="s">
        <v>19</v>
      </c>
      <c r="M11" s="37">
        <f>+K11*J11</f>
        <v>89983.62000000001</v>
      </c>
      <c r="N11" s="37">
        <f t="shared" ref="N11:N18" si="8">+M11*0.18</f>
        <v>16197.051600000001</v>
      </c>
      <c r="O11" s="37">
        <f t="shared" ref="O11:O13" si="9">+N11+M11</f>
        <v>106180.67160000002</v>
      </c>
      <c r="P11" s="35" t="s">
        <v>30</v>
      </c>
      <c r="Q11" s="35">
        <v>7104</v>
      </c>
      <c r="R11" s="35" t="s">
        <v>31</v>
      </c>
      <c r="S11" s="37">
        <v>59016.582999999999</v>
      </c>
      <c r="T11" s="39">
        <v>42403</v>
      </c>
      <c r="U11" s="40">
        <f>+O13+O12+O11-S13-S12-S11</f>
        <v>-0.50019999996584374</v>
      </c>
      <c r="V11" s="41" t="s">
        <v>48</v>
      </c>
    </row>
    <row r="12" spans="2:22">
      <c r="B12" s="43">
        <v>42382</v>
      </c>
      <c r="C12" s="44" t="s">
        <v>15</v>
      </c>
      <c r="D12" s="45" t="s">
        <v>16</v>
      </c>
      <c r="E12" s="64">
        <v>27935</v>
      </c>
      <c r="F12" s="46">
        <v>27680</v>
      </c>
      <c r="G12" s="46">
        <f t="shared" si="7"/>
        <v>255</v>
      </c>
      <c r="H12" s="44" t="s">
        <v>20</v>
      </c>
      <c r="I12" s="47">
        <v>42396</v>
      </c>
      <c r="J12" s="46">
        <f t="shared" ref="J12:J13" si="10">+F12</f>
        <v>27680</v>
      </c>
      <c r="K12" s="46">
        <v>2.8530000000000002</v>
      </c>
      <c r="L12" s="45" t="s">
        <v>19</v>
      </c>
      <c r="M12" s="46">
        <f t="shared" ref="M12:M13" si="11">+K12*J12</f>
        <v>78971.040000000008</v>
      </c>
      <c r="N12" s="46">
        <f t="shared" si="8"/>
        <v>14214.787200000001</v>
      </c>
      <c r="O12" s="46">
        <f t="shared" si="9"/>
        <v>93185.827200000014</v>
      </c>
      <c r="P12" s="44" t="s">
        <v>30</v>
      </c>
      <c r="Q12" s="44">
        <v>7091</v>
      </c>
      <c r="R12" s="44" t="s">
        <v>31</v>
      </c>
      <c r="S12" s="46">
        <v>120000</v>
      </c>
      <c r="T12" s="48">
        <v>42402</v>
      </c>
      <c r="U12" s="49"/>
      <c r="V12" s="41" t="s">
        <v>48</v>
      </c>
    </row>
    <row r="13" spans="2:22" ht="15.75" thickBot="1">
      <c r="B13" s="50">
        <v>42382</v>
      </c>
      <c r="C13" s="51" t="s">
        <v>15</v>
      </c>
      <c r="D13" s="52" t="s">
        <v>16</v>
      </c>
      <c r="E13" s="82">
        <v>29976</v>
      </c>
      <c r="F13" s="53">
        <v>29600</v>
      </c>
      <c r="G13" s="53">
        <f t="shared" si="7"/>
        <v>376</v>
      </c>
      <c r="H13" s="51" t="s">
        <v>20</v>
      </c>
      <c r="I13" s="54">
        <v>42396</v>
      </c>
      <c r="J13" s="53">
        <f t="shared" si="10"/>
        <v>29600</v>
      </c>
      <c r="K13" s="53">
        <v>2.8530000000000002</v>
      </c>
      <c r="L13" s="52" t="s">
        <v>19</v>
      </c>
      <c r="M13" s="53">
        <f t="shared" si="11"/>
        <v>84448.8</v>
      </c>
      <c r="N13" s="53">
        <f t="shared" si="8"/>
        <v>15200.784</v>
      </c>
      <c r="O13" s="53">
        <f t="shared" si="9"/>
        <v>99649.584000000003</v>
      </c>
      <c r="P13" s="51" t="s">
        <v>30</v>
      </c>
      <c r="Q13" s="51">
        <v>7090</v>
      </c>
      <c r="R13" s="51" t="s">
        <v>31</v>
      </c>
      <c r="S13" s="53">
        <v>120000</v>
      </c>
      <c r="T13" s="55">
        <v>42401</v>
      </c>
      <c r="U13" s="49"/>
      <c r="V13" s="41" t="s">
        <v>48</v>
      </c>
    </row>
    <row r="14" spans="2:22">
      <c r="B14" s="56">
        <v>42384</v>
      </c>
      <c r="C14" s="49" t="s">
        <v>15</v>
      </c>
      <c r="D14" s="57" t="s">
        <v>16</v>
      </c>
      <c r="E14" s="62">
        <v>34952</v>
      </c>
      <c r="F14" s="40">
        <v>34920</v>
      </c>
      <c r="G14" s="40">
        <f t="shared" si="7"/>
        <v>32</v>
      </c>
      <c r="H14" s="49" t="s">
        <v>21</v>
      </c>
      <c r="I14" s="56">
        <v>42396</v>
      </c>
      <c r="J14" s="40">
        <f>+F14</f>
        <v>34920</v>
      </c>
      <c r="K14" s="40">
        <v>2.8530000000000002</v>
      </c>
      <c r="L14" s="57" t="s">
        <v>19</v>
      </c>
      <c r="M14" s="40">
        <f t="shared" ref="M14" si="12">+K14*J14</f>
        <v>99626.760000000009</v>
      </c>
      <c r="N14" s="40">
        <f t="shared" si="8"/>
        <v>17932.816800000001</v>
      </c>
      <c r="O14" s="40">
        <f t="shared" ref="O14" si="13">+N14+M14</f>
        <v>117559.57680000001</v>
      </c>
      <c r="P14" s="44" t="s">
        <v>30</v>
      </c>
      <c r="Q14" s="44">
        <v>7102</v>
      </c>
      <c r="R14" s="44" t="s">
        <v>31</v>
      </c>
      <c r="S14" s="40">
        <v>117560.077</v>
      </c>
      <c r="T14" s="56">
        <v>42403</v>
      </c>
      <c r="U14" s="40">
        <f>+O14-S14</f>
        <v>-0.50019999999494758</v>
      </c>
      <c r="V14" s="41" t="s">
        <v>48</v>
      </c>
    </row>
    <row r="15" spans="2:22">
      <c r="B15" s="56">
        <v>42386</v>
      </c>
      <c r="C15" s="49" t="s">
        <v>15</v>
      </c>
      <c r="D15" s="57" t="s">
        <v>16</v>
      </c>
      <c r="E15" s="62">
        <v>29985</v>
      </c>
      <c r="F15" s="40">
        <v>29860</v>
      </c>
      <c r="G15" s="40">
        <f t="shared" si="7"/>
        <v>125</v>
      </c>
      <c r="H15" s="49" t="s">
        <v>22</v>
      </c>
      <c r="I15" s="56">
        <v>42396</v>
      </c>
      <c r="J15" s="40">
        <f>+F15</f>
        <v>29860</v>
      </c>
      <c r="K15" s="40">
        <v>2.8530000000000002</v>
      </c>
      <c r="L15" s="57" t="s">
        <v>19</v>
      </c>
      <c r="M15" s="40">
        <f t="shared" ref="M15:M18" si="14">+K15*J15</f>
        <v>85190.58</v>
      </c>
      <c r="N15" s="40">
        <f t="shared" si="8"/>
        <v>15334.304399999999</v>
      </c>
      <c r="O15" s="40">
        <f>+N15+M15</f>
        <v>100524.8844</v>
      </c>
      <c r="P15" s="44" t="s">
        <v>30</v>
      </c>
      <c r="Q15" s="44">
        <v>7119</v>
      </c>
      <c r="R15" s="44" t="s">
        <v>31</v>
      </c>
      <c r="S15" s="40">
        <v>100525.38400000001</v>
      </c>
      <c r="T15" s="56">
        <v>42410</v>
      </c>
      <c r="U15" s="40">
        <f t="shared" ref="U15:U25" si="15">+O15-S15</f>
        <v>-0.49960000001010485</v>
      </c>
      <c r="V15" s="41" t="s">
        <v>48</v>
      </c>
    </row>
    <row r="16" spans="2:22">
      <c r="B16" s="56">
        <v>42387</v>
      </c>
      <c r="C16" s="49" t="s">
        <v>15</v>
      </c>
      <c r="D16" s="57" t="s">
        <v>16</v>
      </c>
      <c r="E16" s="62">
        <v>30116</v>
      </c>
      <c r="F16" s="40">
        <v>29900</v>
      </c>
      <c r="G16" s="40">
        <f t="shared" si="7"/>
        <v>216</v>
      </c>
      <c r="H16" s="49" t="s">
        <v>26</v>
      </c>
      <c r="I16" s="56">
        <v>42031</v>
      </c>
      <c r="J16" s="40">
        <f>+F16</f>
        <v>29900</v>
      </c>
      <c r="K16" s="40">
        <v>2.8530000000000002</v>
      </c>
      <c r="L16" s="57" t="s">
        <v>19</v>
      </c>
      <c r="M16" s="40">
        <f t="shared" si="14"/>
        <v>85304.700000000012</v>
      </c>
      <c r="N16" s="40">
        <f t="shared" si="8"/>
        <v>15354.846000000001</v>
      </c>
      <c r="O16" s="40">
        <f t="shared" ref="O16:O18" si="16">+N16+M16</f>
        <v>100659.54600000002</v>
      </c>
      <c r="P16" s="44" t="s">
        <v>30</v>
      </c>
      <c r="Q16" s="44">
        <v>7120</v>
      </c>
      <c r="R16" s="44" t="s">
        <v>31</v>
      </c>
      <c r="S16" s="40">
        <v>100660.046</v>
      </c>
      <c r="T16" s="56">
        <v>42411</v>
      </c>
      <c r="U16" s="40">
        <f t="shared" si="15"/>
        <v>-0.49999999998544808</v>
      </c>
      <c r="V16" s="41" t="s">
        <v>48</v>
      </c>
    </row>
    <row r="17" spans="2:24">
      <c r="B17" s="56">
        <v>42389</v>
      </c>
      <c r="C17" s="49" t="s">
        <v>15</v>
      </c>
      <c r="D17" s="57" t="s">
        <v>16</v>
      </c>
      <c r="E17" s="62">
        <v>28857</v>
      </c>
      <c r="F17" s="40">
        <v>28780</v>
      </c>
      <c r="G17" s="40">
        <f t="shared" si="7"/>
        <v>77</v>
      </c>
      <c r="H17" s="49" t="s">
        <v>27</v>
      </c>
      <c r="I17" s="56">
        <v>42031</v>
      </c>
      <c r="J17" s="40">
        <f>+F17</f>
        <v>28780</v>
      </c>
      <c r="K17" s="40">
        <v>2.8530000000000002</v>
      </c>
      <c r="L17" s="57" t="s">
        <v>19</v>
      </c>
      <c r="M17" s="40">
        <f t="shared" si="14"/>
        <v>82109.340000000011</v>
      </c>
      <c r="N17" s="40">
        <f t="shared" si="8"/>
        <v>14779.681200000001</v>
      </c>
      <c r="O17" s="40">
        <f t="shared" si="16"/>
        <v>96889.021200000017</v>
      </c>
      <c r="P17" s="49" t="s">
        <v>30</v>
      </c>
      <c r="Q17" s="49">
        <v>7121</v>
      </c>
      <c r="R17" s="49" t="s">
        <v>31</v>
      </c>
      <c r="S17" s="40">
        <v>96889.520999999993</v>
      </c>
      <c r="T17" s="56">
        <v>42408</v>
      </c>
      <c r="U17" s="40">
        <f t="shared" si="15"/>
        <v>-0.49979999997594859</v>
      </c>
      <c r="V17" s="41" t="s">
        <v>48</v>
      </c>
    </row>
    <row r="18" spans="2:24">
      <c r="B18" s="56">
        <v>42389</v>
      </c>
      <c r="C18" s="49" t="s">
        <v>15</v>
      </c>
      <c r="D18" s="57" t="s">
        <v>16</v>
      </c>
      <c r="E18" s="62">
        <v>28088</v>
      </c>
      <c r="F18" s="40">
        <v>27960</v>
      </c>
      <c r="G18" s="40">
        <f t="shared" si="7"/>
        <v>128</v>
      </c>
      <c r="H18" s="49" t="s">
        <v>29</v>
      </c>
      <c r="I18" s="56">
        <v>42396</v>
      </c>
      <c r="J18" s="40">
        <f>+F18</f>
        <v>27960</v>
      </c>
      <c r="K18" s="40">
        <v>2.8530000000000002</v>
      </c>
      <c r="L18" s="57" t="s">
        <v>19</v>
      </c>
      <c r="M18" s="40">
        <f t="shared" si="14"/>
        <v>79769.88</v>
      </c>
      <c r="N18" s="40">
        <f t="shared" si="8"/>
        <v>14358.5784</v>
      </c>
      <c r="O18" s="40">
        <f t="shared" si="16"/>
        <v>94128.458400000003</v>
      </c>
      <c r="P18" s="49" t="s">
        <v>30</v>
      </c>
      <c r="Q18" s="49">
        <v>7168</v>
      </c>
      <c r="R18" s="49" t="s">
        <v>31</v>
      </c>
      <c r="S18" s="40">
        <v>94128.957999999999</v>
      </c>
      <c r="T18" s="56">
        <v>42415</v>
      </c>
      <c r="U18" s="40">
        <f t="shared" si="15"/>
        <v>-0.49959999999555293</v>
      </c>
      <c r="V18" s="41" t="s">
        <v>48</v>
      </c>
    </row>
    <row r="19" spans="2:24">
      <c r="B19" s="56">
        <v>42401</v>
      </c>
      <c r="C19" s="49" t="s">
        <v>15</v>
      </c>
      <c r="D19" s="57" t="s">
        <v>16</v>
      </c>
      <c r="E19" s="62">
        <v>33999</v>
      </c>
      <c r="F19" s="40">
        <v>33720</v>
      </c>
      <c r="G19" s="40">
        <f t="shared" ref="G19:G27" si="17">+E19-F19</f>
        <v>279</v>
      </c>
      <c r="H19" s="49" t="s">
        <v>49</v>
      </c>
      <c r="I19" s="56">
        <v>42425</v>
      </c>
      <c r="J19" s="40">
        <v>33720</v>
      </c>
      <c r="K19" s="40">
        <v>3.0350000000000001</v>
      </c>
      <c r="L19" s="45" t="s">
        <v>19</v>
      </c>
      <c r="M19" s="46">
        <f t="shared" ref="M19:M28" si="18">+K19*J19</f>
        <v>102340.20000000001</v>
      </c>
      <c r="N19" s="46">
        <f t="shared" ref="N19:N28" si="19">+M19*0.18</f>
        <v>18421.236000000001</v>
      </c>
      <c r="O19" s="46">
        <f t="shared" ref="O19:O28" si="20">+N19+M19</f>
        <v>120761.43600000002</v>
      </c>
      <c r="P19" s="49" t="s">
        <v>30</v>
      </c>
      <c r="Q19" s="49">
        <v>7257</v>
      </c>
      <c r="R19" s="49" t="s">
        <v>31</v>
      </c>
      <c r="S19" s="40">
        <v>120761.936</v>
      </c>
      <c r="T19" s="56">
        <v>42431</v>
      </c>
      <c r="U19" s="40">
        <f t="shared" si="15"/>
        <v>-0.49999999998544808</v>
      </c>
      <c r="V19" s="41" t="s">
        <v>48</v>
      </c>
      <c r="X19" s="58"/>
    </row>
    <row r="20" spans="2:24">
      <c r="B20" s="56">
        <v>42410</v>
      </c>
      <c r="C20" s="49" t="s">
        <v>15</v>
      </c>
      <c r="D20" s="57" t="s">
        <v>16</v>
      </c>
      <c r="E20" s="62">
        <v>32016</v>
      </c>
      <c r="F20" s="40">
        <v>31800</v>
      </c>
      <c r="G20" s="40">
        <f t="shared" si="17"/>
        <v>216</v>
      </c>
      <c r="H20" s="49" t="s">
        <v>50</v>
      </c>
      <c r="I20" s="56">
        <v>42425</v>
      </c>
      <c r="J20" s="40">
        <v>31800</v>
      </c>
      <c r="K20" s="40">
        <v>3.0350000000000001</v>
      </c>
      <c r="L20" s="45" t="s">
        <v>19</v>
      </c>
      <c r="M20" s="46">
        <f t="shared" si="18"/>
        <v>96513</v>
      </c>
      <c r="N20" s="46">
        <f t="shared" si="19"/>
        <v>17372.34</v>
      </c>
      <c r="O20" s="46">
        <f t="shared" si="20"/>
        <v>113885.34</v>
      </c>
      <c r="P20" s="49" t="s">
        <v>30</v>
      </c>
      <c r="Q20" s="49">
        <v>7256</v>
      </c>
      <c r="R20" s="49" t="s">
        <v>31</v>
      </c>
      <c r="S20" s="40">
        <v>113885.84</v>
      </c>
      <c r="T20" s="56">
        <v>42431</v>
      </c>
      <c r="U20" s="40">
        <f t="shared" si="15"/>
        <v>-0.5</v>
      </c>
      <c r="V20" s="41" t="s">
        <v>48</v>
      </c>
      <c r="X20" s="58"/>
    </row>
    <row r="21" spans="2:24">
      <c r="B21" s="56">
        <v>42415</v>
      </c>
      <c r="C21" s="49" t="s">
        <v>15</v>
      </c>
      <c r="D21" s="57" t="s">
        <v>16</v>
      </c>
      <c r="E21" s="62">
        <v>30872</v>
      </c>
      <c r="F21" s="40">
        <v>30580</v>
      </c>
      <c r="G21" s="40">
        <f t="shared" si="17"/>
        <v>292</v>
      </c>
      <c r="H21" s="49" t="s">
        <v>51</v>
      </c>
      <c r="I21" s="56">
        <v>42425</v>
      </c>
      <c r="J21" s="40">
        <v>30580</v>
      </c>
      <c r="K21" s="40">
        <v>3.0350000000000001</v>
      </c>
      <c r="L21" s="45" t="s">
        <v>19</v>
      </c>
      <c r="M21" s="46">
        <f t="shared" si="18"/>
        <v>92810.3</v>
      </c>
      <c r="N21" s="46">
        <f t="shared" si="19"/>
        <v>16705.853999999999</v>
      </c>
      <c r="O21" s="46">
        <f t="shared" si="20"/>
        <v>109516.15400000001</v>
      </c>
      <c r="P21" s="49" t="s">
        <v>30</v>
      </c>
      <c r="Q21" s="49">
        <v>7255</v>
      </c>
      <c r="R21" s="49" t="s">
        <v>31</v>
      </c>
      <c r="S21" s="40">
        <v>109516.65399999999</v>
      </c>
      <c r="T21" s="56">
        <v>42431</v>
      </c>
      <c r="U21" s="40">
        <f t="shared" si="15"/>
        <v>-0.49999999998544808</v>
      </c>
      <c r="V21" s="41" t="s">
        <v>48</v>
      </c>
      <c r="X21" s="58"/>
    </row>
    <row r="22" spans="2:24">
      <c r="B22" s="56">
        <v>42415</v>
      </c>
      <c r="C22" s="49" t="s">
        <v>15</v>
      </c>
      <c r="D22" s="57" t="s">
        <v>16</v>
      </c>
      <c r="E22" s="62">
        <v>23466</v>
      </c>
      <c r="F22" s="40">
        <v>23260</v>
      </c>
      <c r="G22" s="40">
        <f t="shared" si="17"/>
        <v>206</v>
      </c>
      <c r="H22" s="49" t="s">
        <v>52</v>
      </c>
      <c r="I22" s="56">
        <v>42425</v>
      </c>
      <c r="J22" s="40">
        <v>23260</v>
      </c>
      <c r="K22" s="40">
        <v>3.0350000000000001</v>
      </c>
      <c r="L22" s="45" t="s">
        <v>19</v>
      </c>
      <c r="M22" s="46">
        <f t="shared" si="18"/>
        <v>70594.100000000006</v>
      </c>
      <c r="N22" s="46">
        <f t="shared" si="19"/>
        <v>12706.938</v>
      </c>
      <c r="O22" s="46">
        <f t="shared" si="20"/>
        <v>83301.038</v>
      </c>
      <c r="P22" s="49" t="s">
        <v>30</v>
      </c>
      <c r="Q22" s="49">
        <v>7258</v>
      </c>
      <c r="R22" s="49" t="s">
        <v>31</v>
      </c>
      <c r="S22" s="40">
        <v>83301.538</v>
      </c>
      <c r="T22" s="56">
        <v>42431</v>
      </c>
      <c r="U22" s="40">
        <f t="shared" si="15"/>
        <v>-0.5</v>
      </c>
      <c r="V22" s="41" t="s">
        <v>48</v>
      </c>
      <c r="X22" s="58"/>
    </row>
    <row r="23" spans="2:24">
      <c r="B23" s="56">
        <v>42415</v>
      </c>
      <c r="C23" s="49" t="s">
        <v>15</v>
      </c>
      <c r="D23" s="57" t="s">
        <v>16</v>
      </c>
      <c r="E23" s="62">
        <v>34545</v>
      </c>
      <c r="F23" s="40">
        <v>34780</v>
      </c>
      <c r="G23" s="40">
        <f t="shared" si="17"/>
        <v>-235</v>
      </c>
      <c r="H23" s="49" t="s">
        <v>53</v>
      </c>
      <c r="I23" s="56">
        <v>42425</v>
      </c>
      <c r="J23" s="40">
        <v>34780</v>
      </c>
      <c r="K23" s="40">
        <v>3.0350000000000001</v>
      </c>
      <c r="L23" s="45" t="s">
        <v>19</v>
      </c>
      <c r="M23" s="46">
        <f t="shared" si="18"/>
        <v>105557.3</v>
      </c>
      <c r="N23" s="46">
        <f t="shared" si="19"/>
        <v>19000.313999999998</v>
      </c>
      <c r="O23" s="46">
        <f t="shared" si="20"/>
        <v>124557.614</v>
      </c>
      <c r="P23" s="59" t="s">
        <v>30</v>
      </c>
      <c r="Q23" s="49">
        <v>7282</v>
      </c>
      <c r="R23" s="49" t="s">
        <v>31</v>
      </c>
      <c r="S23" s="40">
        <v>124558.114</v>
      </c>
      <c r="T23" s="56">
        <v>42440</v>
      </c>
      <c r="U23" s="40">
        <f t="shared" si="15"/>
        <v>-0.5</v>
      </c>
      <c r="V23" s="41" t="s">
        <v>48</v>
      </c>
      <c r="X23" s="58"/>
    </row>
    <row r="24" spans="2:24">
      <c r="B24" s="56">
        <v>42422</v>
      </c>
      <c r="C24" s="49" t="s">
        <v>15</v>
      </c>
      <c r="D24" s="57" t="s">
        <v>16</v>
      </c>
      <c r="E24" s="62">
        <v>27032</v>
      </c>
      <c r="F24" s="40">
        <v>26820</v>
      </c>
      <c r="G24" s="40">
        <f t="shared" si="17"/>
        <v>212</v>
      </c>
      <c r="H24" s="49" t="s">
        <v>54</v>
      </c>
      <c r="I24" s="56">
        <v>42425</v>
      </c>
      <c r="J24" s="40">
        <v>26820</v>
      </c>
      <c r="K24" s="40">
        <v>3.0350000000000001</v>
      </c>
      <c r="L24" s="45" t="s">
        <v>19</v>
      </c>
      <c r="M24" s="46">
        <f t="shared" si="18"/>
        <v>81398.7</v>
      </c>
      <c r="N24" s="46">
        <f t="shared" si="19"/>
        <v>14651.766</v>
      </c>
      <c r="O24" s="46">
        <f t="shared" si="20"/>
        <v>96050.466</v>
      </c>
      <c r="P24" s="59" t="s">
        <v>30</v>
      </c>
      <c r="Q24" s="49">
        <v>7283</v>
      </c>
      <c r="R24" s="49" t="s">
        <v>31</v>
      </c>
      <c r="S24" s="40">
        <v>96050.966</v>
      </c>
      <c r="T24" s="56">
        <v>42440</v>
      </c>
      <c r="U24" s="40">
        <f t="shared" si="15"/>
        <v>-0.5</v>
      </c>
      <c r="V24" s="41" t="s">
        <v>48</v>
      </c>
      <c r="X24" s="58"/>
    </row>
    <row r="25" spans="2:24">
      <c r="B25" s="56">
        <v>42428</v>
      </c>
      <c r="C25" s="49" t="s">
        <v>15</v>
      </c>
      <c r="D25" s="57" t="s">
        <v>16</v>
      </c>
      <c r="E25" s="62">
        <v>32944</v>
      </c>
      <c r="F25" s="40">
        <v>33640</v>
      </c>
      <c r="G25" s="40">
        <f t="shared" si="17"/>
        <v>-696</v>
      </c>
      <c r="H25" s="49" t="s">
        <v>55</v>
      </c>
      <c r="I25" s="56">
        <v>42425</v>
      </c>
      <c r="J25" s="40">
        <v>32944</v>
      </c>
      <c r="K25" s="40">
        <v>3.0350000000000001</v>
      </c>
      <c r="L25" s="45" t="s">
        <v>19</v>
      </c>
      <c r="M25" s="46">
        <f t="shared" si="18"/>
        <v>99985.040000000008</v>
      </c>
      <c r="N25" s="46">
        <f t="shared" si="19"/>
        <v>17997.307199999999</v>
      </c>
      <c r="O25" s="46">
        <f t="shared" si="20"/>
        <v>117982.3472</v>
      </c>
      <c r="P25" s="59" t="s">
        <v>30</v>
      </c>
      <c r="Q25" s="49">
        <v>7284</v>
      </c>
      <c r="R25" s="49" t="s">
        <v>31</v>
      </c>
      <c r="S25" s="40">
        <v>117982.84699999999</v>
      </c>
      <c r="T25" s="56">
        <v>42440</v>
      </c>
      <c r="U25" s="40">
        <f t="shared" si="15"/>
        <v>-0.49979999999050051</v>
      </c>
      <c r="V25" s="41" t="s">
        <v>48</v>
      </c>
      <c r="X25" s="58"/>
    </row>
    <row r="26" spans="2:24" s="66" customFormat="1">
      <c r="B26" s="60">
        <v>42391</v>
      </c>
      <c r="C26" s="59" t="s">
        <v>15</v>
      </c>
      <c r="D26" s="61" t="s">
        <v>16</v>
      </c>
      <c r="E26" s="62">
        <v>37287</v>
      </c>
      <c r="F26" s="62">
        <v>37300</v>
      </c>
      <c r="G26" s="62">
        <f t="shared" si="17"/>
        <v>-13</v>
      </c>
      <c r="H26" s="59" t="s">
        <v>56</v>
      </c>
      <c r="I26" s="60">
        <v>42425</v>
      </c>
      <c r="J26" s="62">
        <v>37300</v>
      </c>
      <c r="K26" s="62">
        <v>3.0350000000000001</v>
      </c>
      <c r="L26" s="63" t="s">
        <v>19</v>
      </c>
      <c r="M26" s="64">
        <f t="shared" si="18"/>
        <v>113205.5</v>
      </c>
      <c r="N26" s="64">
        <f t="shared" si="19"/>
        <v>20376.989999999998</v>
      </c>
      <c r="O26" s="64">
        <f t="shared" si="20"/>
        <v>133582.49</v>
      </c>
      <c r="P26" s="59" t="s">
        <v>30</v>
      </c>
      <c r="Q26" s="59">
        <v>7297</v>
      </c>
      <c r="R26" s="59" t="s">
        <v>31</v>
      </c>
      <c r="S26" s="62">
        <v>133582.99</v>
      </c>
      <c r="T26" s="60">
        <v>42448</v>
      </c>
      <c r="U26" s="62">
        <f t="shared" ref="U26:U28" si="21">+O26-S26</f>
        <v>-0.5</v>
      </c>
      <c r="V26" s="65" t="s">
        <v>48</v>
      </c>
      <c r="X26" s="67"/>
    </row>
    <row r="27" spans="2:24" s="66" customFormat="1">
      <c r="B27" s="60">
        <v>42391</v>
      </c>
      <c r="C27" s="59" t="s">
        <v>15</v>
      </c>
      <c r="D27" s="61" t="s">
        <v>16</v>
      </c>
      <c r="E27" s="62">
        <v>42114</v>
      </c>
      <c r="F27" s="62">
        <v>41740</v>
      </c>
      <c r="G27" s="62">
        <f t="shared" si="17"/>
        <v>374</v>
      </c>
      <c r="H27" s="59" t="s">
        <v>57</v>
      </c>
      <c r="I27" s="60">
        <v>42425</v>
      </c>
      <c r="J27" s="62">
        <v>41740</v>
      </c>
      <c r="K27" s="62">
        <v>3.0350000000000001</v>
      </c>
      <c r="L27" s="63" t="s">
        <v>19</v>
      </c>
      <c r="M27" s="64">
        <f t="shared" si="18"/>
        <v>126680.90000000001</v>
      </c>
      <c r="N27" s="64">
        <f t="shared" si="19"/>
        <v>22802.562000000002</v>
      </c>
      <c r="O27" s="64">
        <f t="shared" si="20"/>
        <v>149483.462</v>
      </c>
      <c r="P27" s="59" t="s">
        <v>30</v>
      </c>
      <c r="Q27" s="59">
        <v>7296</v>
      </c>
      <c r="R27" s="59" t="s">
        <v>31</v>
      </c>
      <c r="S27" s="62">
        <v>149483.962</v>
      </c>
      <c r="T27" s="60">
        <v>42448</v>
      </c>
      <c r="U27" s="62">
        <f t="shared" si="21"/>
        <v>-0.5</v>
      </c>
      <c r="V27" s="65" t="s">
        <v>48</v>
      </c>
      <c r="X27" s="67"/>
    </row>
    <row r="28" spans="2:24" s="66" customFormat="1" ht="15.75" thickBot="1">
      <c r="B28" s="60">
        <v>42394</v>
      </c>
      <c r="C28" s="59" t="s">
        <v>15</v>
      </c>
      <c r="D28" s="61" t="s">
        <v>16</v>
      </c>
      <c r="E28" s="62">
        <v>24856</v>
      </c>
      <c r="F28" s="62">
        <v>24800</v>
      </c>
      <c r="G28" s="62">
        <f t="shared" ref="G28" si="22">+E28-F28</f>
        <v>56</v>
      </c>
      <c r="H28" s="59" t="s">
        <v>58</v>
      </c>
      <c r="I28" s="60">
        <v>42425</v>
      </c>
      <c r="J28" s="62">
        <v>24800</v>
      </c>
      <c r="K28" s="62">
        <v>3.0350000000000001</v>
      </c>
      <c r="L28" s="63" t="s">
        <v>19</v>
      </c>
      <c r="M28" s="64">
        <f t="shared" si="18"/>
        <v>75268</v>
      </c>
      <c r="N28" s="64">
        <f t="shared" si="19"/>
        <v>13548.24</v>
      </c>
      <c r="O28" s="64">
        <f t="shared" si="20"/>
        <v>88816.24</v>
      </c>
      <c r="P28" s="59" t="s">
        <v>30</v>
      </c>
      <c r="Q28" s="59">
        <v>7298</v>
      </c>
      <c r="R28" s="59" t="s">
        <v>31</v>
      </c>
      <c r="S28" s="62">
        <v>88816.74</v>
      </c>
      <c r="T28" s="60">
        <v>42448</v>
      </c>
      <c r="U28" s="62">
        <f t="shared" si="21"/>
        <v>-0.5</v>
      </c>
      <c r="V28" s="65" t="s">
        <v>48</v>
      </c>
      <c r="X28" s="67"/>
    </row>
    <row r="29" spans="2:24" s="68" customFormat="1">
      <c r="B29" s="34">
        <v>42410</v>
      </c>
      <c r="C29" s="35" t="s">
        <v>17</v>
      </c>
      <c r="D29" s="36" t="s">
        <v>16</v>
      </c>
      <c r="E29" s="81">
        <v>4710</v>
      </c>
      <c r="F29" s="35"/>
      <c r="G29" s="37"/>
      <c r="H29" s="35" t="s">
        <v>59</v>
      </c>
      <c r="I29" s="38">
        <v>42425</v>
      </c>
      <c r="J29" s="37">
        <f>+E29</f>
        <v>4710</v>
      </c>
      <c r="K29" s="37">
        <v>3.25</v>
      </c>
      <c r="L29" s="36" t="s">
        <v>19</v>
      </c>
      <c r="M29" s="37">
        <f t="shared" ref="M29:M41" si="23">+K29*J29</f>
        <v>15307.5</v>
      </c>
      <c r="N29" s="37">
        <f t="shared" ref="N29:N36" si="24">+M29*0.18</f>
        <v>2755.35</v>
      </c>
      <c r="O29" s="37">
        <f t="shared" ref="O29:O36" si="25">+N29+M29</f>
        <v>18062.849999999999</v>
      </c>
      <c r="P29" s="35" t="s">
        <v>30</v>
      </c>
      <c r="Q29" s="35">
        <v>7299</v>
      </c>
      <c r="R29" s="35" t="s">
        <v>31</v>
      </c>
      <c r="S29" s="37">
        <v>123376.875</v>
      </c>
      <c r="T29" s="38">
        <v>42448</v>
      </c>
      <c r="U29" s="83">
        <f>O29+O30+O31-S29</f>
        <v>-0.5</v>
      </c>
      <c r="V29" s="84" t="s">
        <v>48</v>
      </c>
    </row>
    <row r="30" spans="2:24" s="68" customFormat="1">
      <c r="B30" s="43">
        <v>42426</v>
      </c>
      <c r="C30" s="44" t="s">
        <v>17</v>
      </c>
      <c r="D30" s="45" t="s">
        <v>16</v>
      </c>
      <c r="E30" s="64">
        <v>5263</v>
      </c>
      <c r="F30" s="44"/>
      <c r="G30" s="46"/>
      <c r="H30" s="44" t="s">
        <v>59</v>
      </c>
      <c r="I30" s="47">
        <v>42425</v>
      </c>
      <c r="J30" s="46">
        <f>+E30</f>
        <v>5263</v>
      </c>
      <c r="K30" s="46">
        <v>3.25</v>
      </c>
      <c r="L30" s="45" t="s">
        <v>19</v>
      </c>
      <c r="M30" s="46">
        <f t="shared" si="23"/>
        <v>17104.75</v>
      </c>
      <c r="N30" s="46">
        <f t="shared" si="24"/>
        <v>3078.855</v>
      </c>
      <c r="O30" s="46">
        <f t="shared" si="25"/>
        <v>20183.605</v>
      </c>
      <c r="P30" s="44"/>
      <c r="Q30" s="44"/>
      <c r="R30" s="44"/>
      <c r="S30" s="46"/>
      <c r="T30" s="47"/>
      <c r="U30" s="85"/>
      <c r="V30" s="84"/>
    </row>
    <row r="31" spans="2:24" s="69" customFormat="1" ht="15.75" thickBot="1">
      <c r="B31" s="50">
        <v>42349</v>
      </c>
      <c r="C31" s="51" t="s">
        <v>33</v>
      </c>
      <c r="D31" s="52" t="s">
        <v>16</v>
      </c>
      <c r="E31" s="82">
        <v>3006</v>
      </c>
      <c r="F31" s="53"/>
      <c r="G31" s="53"/>
      <c r="H31" s="51" t="s">
        <v>59</v>
      </c>
      <c r="I31" s="54">
        <v>42425</v>
      </c>
      <c r="J31" s="53">
        <f>E31</f>
        <v>3006</v>
      </c>
      <c r="K31" s="53">
        <v>24</v>
      </c>
      <c r="L31" s="52" t="s">
        <v>19</v>
      </c>
      <c r="M31" s="53">
        <f>+K31*J31</f>
        <v>72144</v>
      </c>
      <c r="N31" s="53">
        <f>+M31*0.18</f>
        <v>12985.92</v>
      </c>
      <c r="O31" s="53">
        <f>+N31+M31</f>
        <v>85129.919999999998</v>
      </c>
      <c r="P31" s="51"/>
      <c r="Q31" s="51"/>
      <c r="R31" s="51"/>
      <c r="S31" s="53"/>
      <c r="T31" s="54"/>
      <c r="U31" s="86"/>
      <c r="V31" s="84"/>
      <c r="X31" s="70"/>
    </row>
    <row r="32" spans="2:24">
      <c r="B32" s="60">
        <v>42395</v>
      </c>
      <c r="C32" s="59" t="s">
        <v>15</v>
      </c>
      <c r="D32" s="61" t="s">
        <v>16</v>
      </c>
      <c r="E32" s="62">
        <v>35862</v>
      </c>
      <c r="F32" s="62">
        <v>35960</v>
      </c>
      <c r="G32" s="62">
        <f>+E32-F32</f>
        <v>-98</v>
      </c>
      <c r="H32" s="59" t="s">
        <v>93</v>
      </c>
      <c r="I32" s="60">
        <v>42457</v>
      </c>
      <c r="J32" s="62">
        <v>35960</v>
      </c>
      <c r="K32" s="62">
        <v>3.105</v>
      </c>
      <c r="L32" s="61" t="s">
        <v>19</v>
      </c>
      <c r="M32" s="64">
        <f t="shared" ref="M32:M35" si="26">+K32*J32</f>
        <v>111655.8</v>
      </c>
      <c r="N32" s="64">
        <f t="shared" ref="N32:N35" si="27">+M32*0.18</f>
        <v>20098.043999999998</v>
      </c>
      <c r="O32" s="64">
        <f t="shared" ref="O32:O35" si="28">+N32+M32</f>
        <v>131753.84400000001</v>
      </c>
      <c r="P32" s="59" t="s">
        <v>30</v>
      </c>
      <c r="Q32" s="59">
        <v>7378</v>
      </c>
      <c r="R32" s="59" t="s">
        <v>31</v>
      </c>
      <c r="S32" s="62">
        <v>131754.34400000001</v>
      </c>
      <c r="T32" s="60">
        <v>42471</v>
      </c>
      <c r="U32" s="62">
        <f t="shared" ref="U32:U40" si="29">+O32-S32</f>
        <v>-0.5</v>
      </c>
      <c r="V32" s="88" t="s">
        <v>48</v>
      </c>
    </row>
    <row r="33" spans="2:24">
      <c r="B33" s="60">
        <v>42397</v>
      </c>
      <c r="C33" s="59" t="s">
        <v>15</v>
      </c>
      <c r="D33" s="61" t="s">
        <v>16</v>
      </c>
      <c r="E33" s="62">
        <v>31024</v>
      </c>
      <c r="F33" s="62">
        <v>30800</v>
      </c>
      <c r="G33" s="62">
        <f>+E33-F33</f>
        <v>224</v>
      </c>
      <c r="H33" s="59" t="s">
        <v>74</v>
      </c>
      <c r="I33" s="60">
        <v>42457</v>
      </c>
      <c r="J33" s="62">
        <v>30800</v>
      </c>
      <c r="K33" s="62">
        <v>3.105</v>
      </c>
      <c r="L33" s="61" t="s">
        <v>19</v>
      </c>
      <c r="M33" s="64">
        <f t="shared" si="26"/>
        <v>95634</v>
      </c>
      <c r="N33" s="64">
        <f t="shared" si="27"/>
        <v>17214.12</v>
      </c>
      <c r="O33" s="64">
        <f t="shared" si="28"/>
        <v>112848.12</v>
      </c>
      <c r="P33" s="59" t="s">
        <v>30</v>
      </c>
      <c r="Q33" s="59">
        <v>7379</v>
      </c>
      <c r="R33" s="59" t="s">
        <v>31</v>
      </c>
      <c r="S33" s="62">
        <v>112848.62</v>
      </c>
      <c r="T33" s="60">
        <v>42471</v>
      </c>
      <c r="U33" s="62">
        <f t="shared" si="29"/>
        <v>-0.5</v>
      </c>
      <c r="V33" s="88" t="s">
        <v>48</v>
      </c>
    </row>
    <row r="34" spans="2:24">
      <c r="B34" s="60">
        <v>42398</v>
      </c>
      <c r="C34" s="59" t="s">
        <v>15</v>
      </c>
      <c r="D34" s="61" t="s">
        <v>16</v>
      </c>
      <c r="E34" s="62">
        <v>29168</v>
      </c>
      <c r="F34" s="62">
        <v>28900</v>
      </c>
      <c r="G34" s="62">
        <f>+E34-F34</f>
        <v>268</v>
      </c>
      <c r="H34" s="59" t="s">
        <v>75</v>
      </c>
      <c r="I34" s="60">
        <v>42457</v>
      </c>
      <c r="J34" s="62">
        <v>28900</v>
      </c>
      <c r="K34" s="62">
        <v>3.105</v>
      </c>
      <c r="L34" s="61" t="s">
        <v>19</v>
      </c>
      <c r="M34" s="64">
        <f t="shared" si="26"/>
        <v>89734.5</v>
      </c>
      <c r="N34" s="64">
        <f t="shared" si="27"/>
        <v>16152.21</v>
      </c>
      <c r="O34" s="64">
        <f t="shared" si="28"/>
        <v>105886.70999999999</v>
      </c>
      <c r="P34" s="59" t="s">
        <v>30</v>
      </c>
      <c r="Q34" s="59">
        <v>7380</v>
      </c>
      <c r="R34" s="59" t="s">
        <v>31</v>
      </c>
      <c r="S34" s="62">
        <v>105887.21</v>
      </c>
      <c r="T34" s="60">
        <v>42471</v>
      </c>
      <c r="U34" s="62">
        <f t="shared" si="29"/>
        <v>-0.50000000001455192</v>
      </c>
      <c r="V34" s="88" t="s">
        <v>48</v>
      </c>
    </row>
    <row r="35" spans="2:24">
      <c r="B35" s="56">
        <v>42399</v>
      </c>
      <c r="C35" s="49" t="s">
        <v>15</v>
      </c>
      <c r="D35" s="57" t="s">
        <v>16</v>
      </c>
      <c r="E35" s="62">
        <v>29469</v>
      </c>
      <c r="F35" s="40">
        <v>29200</v>
      </c>
      <c r="G35" s="40">
        <f>+E35-F35</f>
        <v>269</v>
      </c>
      <c r="H35" s="49" t="s">
        <v>76</v>
      </c>
      <c r="I35" s="56">
        <v>42457</v>
      </c>
      <c r="J35" s="40">
        <v>29200</v>
      </c>
      <c r="K35" s="40">
        <v>3.105</v>
      </c>
      <c r="L35" s="57" t="s">
        <v>19</v>
      </c>
      <c r="M35" s="46">
        <f t="shared" si="26"/>
        <v>90666</v>
      </c>
      <c r="N35" s="46">
        <f t="shared" si="27"/>
        <v>16319.88</v>
      </c>
      <c r="O35" s="46">
        <f t="shared" si="28"/>
        <v>106985.88</v>
      </c>
      <c r="P35" s="49" t="s">
        <v>30</v>
      </c>
      <c r="Q35" s="49">
        <v>7404</v>
      </c>
      <c r="R35" s="49" t="s">
        <v>31</v>
      </c>
      <c r="S35" s="40">
        <f>O35+0.5</f>
        <v>106986.38</v>
      </c>
      <c r="T35" s="56">
        <v>42480</v>
      </c>
      <c r="U35" s="62">
        <f t="shared" si="29"/>
        <v>-0.5</v>
      </c>
      <c r="V35" s="88" t="s">
        <v>48</v>
      </c>
      <c r="X35" s="58"/>
    </row>
    <row r="36" spans="2:24">
      <c r="B36" s="56">
        <v>42431</v>
      </c>
      <c r="C36" s="44" t="s">
        <v>15</v>
      </c>
      <c r="D36" s="57" t="s">
        <v>16</v>
      </c>
      <c r="E36" s="62">
        <v>29750</v>
      </c>
      <c r="F36" s="40">
        <v>29540</v>
      </c>
      <c r="G36" s="40">
        <f t="shared" ref="G36" si="30">+E36-F36</f>
        <v>210</v>
      </c>
      <c r="H36" s="49" t="s">
        <v>77</v>
      </c>
      <c r="I36" s="56">
        <v>42457</v>
      </c>
      <c r="J36" s="40">
        <v>29540</v>
      </c>
      <c r="K36" s="40">
        <v>3.105</v>
      </c>
      <c r="L36" s="57" t="s">
        <v>19</v>
      </c>
      <c r="M36" s="46">
        <f t="shared" si="23"/>
        <v>91721.7</v>
      </c>
      <c r="N36" s="46">
        <f t="shared" si="24"/>
        <v>16509.905999999999</v>
      </c>
      <c r="O36" s="46">
        <f t="shared" si="25"/>
        <v>108231.606</v>
      </c>
      <c r="P36" s="49" t="s">
        <v>30</v>
      </c>
      <c r="Q36" s="49">
        <v>7405</v>
      </c>
      <c r="R36" s="49" t="s">
        <v>31</v>
      </c>
      <c r="S36" s="40">
        <f t="shared" ref="S36:S37" si="31">O36+0.5</f>
        <v>108232.106</v>
      </c>
      <c r="T36" s="56">
        <v>42480</v>
      </c>
      <c r="U36" s="62">
        <f t="shared" si="29"/>
        <v>-0.5</v>
      </c>
      <c r="V36" s="88" t="s">
        <v>48</v>
      </c>
      <c r="X36" s="58"/>
    </row>
    <row r="37" spans="2:24">
      <c r="B37" s="60">
        <v>42433</v>
      </c>
      <c r="C37" s="89" t="s">
        <v>15</v>
      </c>
      <c r="D37" s="61" t="s">
        <v>16</v>
      </c>
      <c r="E37" s="187">
        <v>61545</v>
      </c>
      <c r="F37" s="62">
        <v>26760</v>
      </c>
      <c r="G37" s="187">
        <f>+E37-F37-F38</f>
        <v>65</v>
      </c>
      <c r="H37" s="49" t="s">
        <v>78</v>
      </c>
      <c r="I37" s="56">
        <v>42457</v>
      </c>
      <c r="J37" s="62">
        <v>26760</v>
      </c>
      <c r="K37" s="40">
        <v>3.105</v>
      </c>
      <c r="L37" s="57" t="s">
        <v>19</v>
      </c>
      <c r="M37" s="46">
        <f t="shared" si="23"/>
        <v>83089.8</v>
      </c>
      <c r="N37" s="46">
        <f t="shared" ref="N37:N41" si="32">+M37*0.18</f>
        <v>14956.164000000001</v>
      </c>
      <c r="O37" s="46">
        <f t="shared" ref="O37:O41" si="33">+N37+M37</f>
        <v>98045.964000000007</v>
      </c>
      <c r="P37" s="49" t="s">
        <v>30</v>
      </c>
      <c r="Q37" s="49">
        <v>7406</v>
      </c>
      <c r="R37" s="49" t="s">
        <v>31</v>
      </c>
      <c r="S37" s="40">
        <f t="shared" si="31"/>
        <v>98046.464000000007</v>
      </c>
      <c r="T37" s="56">
        <v>42480</v>
      </c>
      <c r="U37" s="62">
        <f t="shared" si="29"/>
        <v>-0.5</v>
      </c>
      <c r="V37" s="88" t="s">
        <v>48</v>
      </c>
      <c r="X37" s="58"/>
    </row>
    <row r="38" spans="2:24">
      <c r="B38" s="60">
        <v>42433</v>
      </c>
      <c r="C38" s="89" t="s">
        <v>15</v>
      </c>
      <c r="D38" s="61" t="s">
        <v>16</v>
      </c>
      <c r="E38" s="187"/>
      <c r="F38" s="62">
        <v>34720</v>
      </c>
      <c r="G38" s="187"/>
      <c r="H38" s="49" t="s">
        <v>79</v>
      </c>
      <c r="I38" s="56">
        <v>42457</v>
      </c>
      <c r="J38" s="62">
        <v>34720</v>
      </c>
      <c r="K38" s="40">
        <v>3.105</v>
      </c>
      <c r="L38" s="57" t="s">
        <v>19</v>
      </c>
      <c r="M38" s="46">
        <f t="shared" si="23"/>
        <v>107805.6</v>
      </c>
      <c r="N38" s="46">
        <f t="shared" si="32"/>
        <v>19405.008000000002</v>
      </c>
      <c r="O38" s="46">
        <f t="shared" si="33"/>
        <v>127210.60800000001</v>
      </c>
      <c r="P38" s="49" t="s">
        <v>30</v>
      </c>
      <c r="Q38" s="49">
        <v>7419</v>
      </c>
      <c r="R38" s="49" t="s">
        <v>31</v>
      </c>
      <c r="S38" s="40">
        <f>O38+0.5</f>
        <v>127211.10800000001</v>
      </c>
      <c r="T38" s="56">
        <v>42487</v>
      </c>
      <c r="U38" s="62">
        <f t="shared" si="29"/>
        <v>-0.5</v>
      </c>
      <c r="V38" s="88" t="s">
        <v>48</v>
      </c>
    </row>
    <row r="39" spans="2:24">
      <c r="B39" s="56">
        <v>42434</v>
      </c>
      <c r="C39" s="44" t="s">
        <v>15</v>
      </c>
      <c r="D39" s="57" t="s">
        <v>16</v>
      </c>
      <c r="E39" s="188">
        <v>61070</v>
      </c>
      <c r="F39" s="40">
        <v>29740</v>
      </c>
      <c r="G39" s="187">
        <f>+E39-F39-F40</f>
        <v>330</v>
      </c>
      <c r="H39" s="49" t="s">
        <v>80</v>
      </c>
      <c r="I39" s="56">
        <v>42457</v>
      </c>
      <c r="J39" s="40">
        <v>29740</v>
      </c>
      <c r="K39" s="40">
        <v>3.105</v>
      </c>
      <c r="L39" s="57" t="s">
        <v>19</v>
      </c>
      <c r="M39" s="46">
        <f t="shared" si="23"/>
        <v>92342.7</v>
      </c>
      <c r="N39" s="46">
        <f t="shared" si="32"/>
        <v>16621.685999999998</v>
      </c>
      <c r="O39" s="46">
        <f t="shared" si="33"/>
        <v>108964.386</v>
      </c>
      <c r="P39" s="49" t="s">
        <v>30</v>
      </c>
      <c r="Q39" s="49">
        <v>7418</v>
      </c>
      <c r="R39" s="49" t="s">
        <v>31</v>
      </c>
      <c r="S39" s="40">
        <f t="shared" ref="S39:S40" si="34">O39+0.5</f>
        <v>108964.886</v>
      </c>
      <c r="T39" s="56">
        <v>42487</v>
      </c>
      <c r="U39" s="62">
        <f t="shared" si="29"/>
        <v>-0.5</v>
      </c>
      <c r="V39" s="88" t="s">
        <v>48</v>
      </c>
    </row>
    <row r="40" spans="2:24">
      <c r="B40" s="56">
        <v>42434</v>
      </c>
      <c r="C40" s="44" t="s">
        <v>15</v>
      </c>
      <c r="D40" s="57" t="s">
        <v>16</v>
      </c>
      <c r="E40" s="188"/>
      <c r="F40" s="40">
        <v>31000</v>
      </c>
      <c r="G40" s="187"/>
      <c r="H40" s="49" t="s">
        <v>81</v>
      </c>
      <c r="I40" s="56">
        <v>42457</v>
      </c>
      <c r="J40" s="40">
        <v>31000</v>
      </c>
      <c r="K40" s="40">
        <v>3.105</v>
      </c>
      <c r="L40" s="57" t="s">
        <v>19</v>
      </c>
      <c r="M40" s="46">
        <f t="shared" si="23"/>
        <v>96255</v>
      </c>
      <c r="N40" s="46">
        <f t="shared" si="32"/>
        <v>17325.899999999998</v>
      </c>
      <c r="O40" s="46">
        <f t="shared" si="33"/>
        <v>113580.9</v>
      </c>
      <c r="P40" s="49" t="s">
        <v>30</v>
      </c>
      <c r="Q40" s="49">
        <v>7416</v>
      </c>
      <c r="R40" s="49" t="s">
        <v>31</v>
      </c>
      <c r="S40" s="40">
        <f t="shared" si="34"/>
        <v>113581.4</v>
      </c>
      <c r="T40" s="56">
        <v>42487</v>
      </c>
      <c r="U40" s="62">
        <f t="shared" si="29"/>
        <v>-0.5</v>
      </c>
      <c r="V40" s="88" t="s">
        <v>48</v>
      </c>
    </row>
    <row r="41" spans="2:24" ht="15.75" thickBot="1">
      <c r="B41" s="56">
        <v>42436</v>
      </c>
      <c r="C41" s="44" t="s">
        <v>15</v>
      </c>
      <c r="D41" s="57" t="s">
        <v>16</v>
      </c>
      <c r="E41" s="40">
        <v>36030</v>
      </c>
      <c r="F41" s="40">
        <v>36120</v>
      </c>
      <c r="G41" s="40">
        <f t="shared" ref="G41:G52" si="35">+E41-F41</f>
        <v>-90</v>
      </c>
      <c r="H41" s="49" t="s">
        <v>82</v>
      </c>
      <c r="I41" s="56">
        <v>42457</v>
      </c>
      <c r="J41" s="40">
        <v>36120</v>
      </c>
      <c r="K41" s="40">
        <v>3.105</v>
      </c>
      <c r="L41" s="57" t="s">
        <v>19</v>
      </c>
      <c r="M41" s="46">
        <f t="shared" si="23"/>
        <v>112152.6</v>
      </c>
      <c r="N41" s="46">
        <f t="shared" si="32"/>
        <v>20187.468000000001</v>
      </c>
      <c r="O41" s="46">
        <f t="shared" si="33"/>
        <v>132340.068</v>
      </c>
      <c r="P41" s="49" t="s">
        <v>30</v>
      </c>
      <c r="Q41" s="49">
        <v>7417</v>
      </c>
      <c r="R41" s="49" t="s">
        <v>31</v>
      </c>
      <c r="S41" s="40">
        <v>132340.568</v>
      </c>
      <c r="T41" s="56">
        <v>42510</v>
      </c>
      <c r="U41" s="40">
        <f>+O41-S41</f>
        <v>-0.5</v>
      </c>
      <c r="V41" s="88" t="s">
        <v>48</v>
      </c>
    </row>
    <row r="42" spans="2:24">
      <c r="B42" s="34">
        <v>42431</v>
      </c>
      <c r="C42" s="35" t="s">
        <v>17</v>
      </c>
      <c r="D42" s="36" t="s">
        <v>16</v>
      </c>
      <c r="E42" s="37">
        <v>4523</v>
      </c>
      <c r="F42" s="37"/>
      <c r="G42" s="37"/>
      <c r="H42" s="35" t="s">
        <v>83</v>
      </c>
      <c r="I42" s="38">
        <v>42457</v>
      </c>
      <c r="J42" s="37">
        <v>4523</v>
      </c>
      <c r="K42" s="37">
        <v>3.35</v>
      </c>
      <c r="L42" s="36" t="s">
        <v>19</v>
      </c>
      <c r="M42" s="37">
        <f>+K42*J42</f>
        <v>15152.050000000001</v>
      </c>
      <c r="N42" s="37">
        <f>+M42*0.18</f>
        <v>2727.3690000000001</v>
      </c>
      <c r="O42" s="37">
        <f>+N42+M42</f>
        <v>17879.419000000002</v>
      </c>
      <c r="P42" s="35" t="s">
        <v>30</v>
      </c>
      <c r="Q42" s="35">
        <v>7420</v>
      </c>
      <c r="R42" s="35" t="s">
        <v>31</v>
      </c>
      <c r="S42" s="37">
        <v>80946.081000000006</v>
      </c>
      <c r="T42" s="38">
        <v>42510</v>
      </c>
      <c r="U42" s="83">
        <f>+O42+O43+O44+O45-S42</f>
        <v>-0.50000000001455192</v>
      </c>
      <c r="V42" s="88" t="s">
        <v>48</v>
      </c>
    </row>
    <row r="43" spans="2:24">
      <c r="B43" s="43">
        <v>42436</v>
      </c>
      <c r="C43" s="44" t="s">
        <v>17</v>
      </c>
      <c r="D43" s="45" t="s">
        <v>16</v>
      </c>
      <c r="E43" s="46">
        <v>4730</v>
      </c>
      <c r="F43" s="46"/>
      <c r="G43" s="46"/>
      <c r="H43" s="44" t="s">
        <v>83</v>
      </c>
      <c r="I43" s="47">
        <v>42457</v>
      </c>
      <c r="J43" s="46">
        <v>4730</v>
      </c>
      <c r="K43" s="46">
        <v>3.35</v>
      </c>
      <c r="L43" s="45" t="s">
        <v>19</v>
      </c>
      <c r="M43" s="46">
        <f>+K43*J43</f>
        <v>15845.5</v>
      </c>
      <c r="N43" s="46">
        <f>+M43*0.18</f>
        <v>2852.19</v>
      </c>
      <c r="O43" s="46">
        <f>+N43+M43</f>
        <v>18697.689999999999</v>
      </c>
      <c r="P43" s="44"/>
      <c r="Q43" s="44"/>
      <c r="R43" s="44"/>
      <c r="S43" s="46"/>
      <c r="T43" s="47"/>
      <c r="U43" s="90"/>
      <c r="V43" s="91"/>
    </row>
    <row r="44" spans="2:24">
      <c r="B44" s="43">
        <v>42438</v>
      </c>
      <c r="C44" s="89" t="s">
        <v>17</v>
      </c>
      <c r="D44" s="45" t="s">
        <v>16</v>
      </c>
      <c r="E44" s="46">
        <v>4224</v>
      </c>
      <c r="F44" s="46"/>
      <c r="G44" s="46"/>
      <c r="H44" s="44" t="s">
        <v>83</v>
      </c>
      <c r="I44" s="47">
        <v>42457</v>
      </c>
      <c r="J44" s="46">
        <v>4224</v>
      </c>
      <c r="K44" s="46">
        <v>3.35</v>
      </c>
      <c r="L44" s="45" t="s">
        <v>19</v>
      </c>
      <c r="M44" s="46">
        <f>+K44*J44</f>
        <v>14150.4</v>
      </c>
      <c r="N44" s="46">
        <f>+M44*0.18</f>
        <v>2547.0719999999997</v>
      </c>
      <c r="O44" s="46">
        <f>+N44+M44</f>
        <v>16697.471999999998</v>
      </c>
      <c r="P44" s="44"/>
      <c r="Q44" s="44"/>
      <c r="R44" s="44"/>
      <c r="S44" s="46"/>
      <c r="T44" s="47"/>
      <c r="U44" s="90"/>
      <c r="V44" s="91"/>
    </row>
    <row r="45" spans="2:24" ht="15.75" thickBot="1">
      <c r="B45" s="50">
        <v>42452</v>
      </c>
      <c r="C45" s="51" t="s">
        <v>17</v>
      </c>
      <c r="D45" s="52" t="s">
        <v>16</v>
      </c>
      <c r="E45" s="53">
        <v>7000</v>
      </c>
      <c r="F45" s="53"/>
      <c r="G45" s="53"/>
      <c r="H45" s="51" t="s">
        <v>83</v>
      </c>
      <c r="I45" s="54">
        <v>42457</v>
      </c>
      <c r="J45" s="53">
        <v>7000</v>
      </c>
      <c r="K45" s="53">
        <v>3.35</v>
      </c>
      <c r="L45" s="52" t="s">
        <v>19</v>
      </c>
      <c r="M45" s="53">
        <f>+K45*J45</f>
        <v>23450</v>
      </c>
      <c r="N45" s="53">
        <f>+M45*0.18</f>
        <v>4221</v>
      </c>
      <c r="O45" s="53">
        <f>+N45+M45</f>
        <v>27671</v>
      </c>
      <c r="P45" s="51"/>
      <c r="Q45" s="51"/>
      <c r="R45" s="51"/>
      <c r="S45" s="53"/>
      <c r="T45" s="54"/>
      <c r="U45" s="92"/>
      <c r="V45" s="91"/>
    </row>
    <row r="46" spans="2:24">
      <c r="B46" s="56">
        <v>42437</v>
      </c>
      <c r="C46" s="44" t="s">
        <v>15</v>
      </c>
      <c r="D46" s="57" t="s">
        <v>16</v>
      </c>
      <c r="E46" s="40">
        <v>30220</v>
      </c>
      <c r="F46" s="40">
        <v>30160</v>
      </c>
      <c r="G46" s="40">
        <f t="shared" si="35"/>
        <v>60</v>
      </c>
      <c r="H46" s="49" t="s">
        <v>84</v>
      </c>
      <c r="I46" s="56">
        <v>42489</v>
      </c>
      <c r="J46" s="40">
        <v>30160</v>
      </c>
      <c r="K46" s="40">
        <v>2.95</v>
      </c>
      <c r="L46" s="57" t="s">
        <v>19</v>
      </c>
      <c r="M46" s="46">
        <f>+K46*J46</f>
        <v>88972</v>
      </c>
      <c r="N46" s="46">
        <f>+M46*0.18</f>
        <v>16014.96</v>
      </c>
      <c r="O46" s="46">
        <f>+N46+M46</f>
        <v>104986.95999999999</v>
      </c>
      <c r="P46" s="49" t="s">
        <v>30</v>
      </c>
      <c r="Q46" s="49">
        <v>7512</v>
      </c>
      <c r="R46" s="49" t="s">
        <v>31</v>
      </c>
      <c r="S46" s="40">
        <v>104987.46</v>
      </c>
      <c r="T46" s="56">
        <v>42510</v>
      </c>
      <c r="U46" s="40">
        <f>+O46-S46</f>
        <v>-0.50000000001455192</v>
      </c>
      <c r="V46" s="41" t="s">
        <v>48</v>
      </c>
    </row>
    <row r="47" spans="2:24">
      <c r="B47" s="56">
        <v>42440</v>
      </c>
      <c r="C47" s="44" t="s">
        <v>15</v>
      </c>
      <c r="D47" s="57" t="s">
        <v>16</v>
      </c>
      <c r="E47" s="40">
        <v>31173</v>
      </c>
      <c r="F47" s="40">
        <v>31120</v>
      </c>
      <c r="G47" s="40">
        <f t="shared" si="35"/>
        <v>53</v>
      </c>
      <c r="H47" s="49" t="s">
        <v>85</v>
      </c>
      <c r="I47" s="56">
        <v>42489</v>
      </c>
      <c r="J47" s="40">
        <v>31120</v>
      </c>
      <c r="K47" s="40">
        <v>2.95</v>
      </c>
      <c r="L47" s="57" t="s">
        <v>19</v>
      </c>
      <c r="M47" s="46">
        <f t="shared" ref="M47:M52" si="36">+K47*J47</f>
        <v>91804</v>
      </c>
      <c r="N47" s="46">
        <f t="shared" ref="N47:N52" si="37">+M47*0.18</f>
        <v>16524.72</v>
      </c>
      <c r="O47" s="46">
        <f t="shared" ref="O47:O52" si="38">+N47+M47</f>
        <v>108328.72</v>
      </c>
      <c r="P47" s="49" t="s">
        <v>30</v>
      </c>
      <c r="Q47" s="49">
        <v>7517</v>
      </c>
      <c r="R47" s="49" t="s">
        <v>31</v>
      </c>
      <c r="S47" s="40">
        <v>108329.22</v>
      </c>
      <c r="T47" s="56">
        <v>42510</v>
      </c>
      <c r="U47" s="40">
        <f t="shared" ref="U47:U57" si="39">+O47-S47</f>
        <v>-0.5</v>
      </c>
      <c r="V47" s="41" t="s">
        <v>48</v>
      </c>
    </row>
    <row r="48" spans="2:24">
      <c r="B48" s="56">
        <v>42440</v>
      </c>
      <c r="C48" s="44" t="s">
        <v>15</v>
      </c>
      <c r="D48" s="57" t="s">
        <v>16</v>
      </c>
      <c r="E48" s="40">
        <v>24190</v>
      </c>
      <c r="F48" s="40">
        <v>24260</v>
      </c>
      <c r="G48" s="40">
        <f t="shared" si="35"/>
        <v>-70</v>
      </c>
      <c r="H48" s="49" t="s">
        <v>86</v>
      </c>
      <c r="I48" s="56">
        <v>42489</v>
      </c>
      <c r="J48" s="40">
        <v>24260</v>
      </c>
      <c r="K48" s="40">
        <v>2.95</v>
      </c>
      <c r="L48" s="57" t="s">
        <v>19</v>
      </c>
      <c r="M48" s="46">
        <f t="shared" si="36"/>
        <v>71567</v>
      </c>
      <c r="N48" s="46">
        <f t="shared" si="37"/>
        <v>12882.06</v>
      </c>
      <c r="O48" s="46">
        <f t="shared" si="38"/>
        <v>84449.06</v>
      </c>
      <c r="P48" s="49" t="s">
        <v>30</v>
      </c>
      <c r="Q48" s="49">
        <v>7514</v>
      </c>
      <c r="R48" s="49" t="s">
        <v>31</v>
      </c>
      <c r="S48" s="40">
        <v>84449.56</v>
      </c>
      <c r="T48" s="56">
        <v>42510</v>
      </c>
      <c r="U48" s="40">
        <f t="shared" si="39"/>
        <v>-0.5</v>
      </c>
      <c r="V48" s="41" t="s">
        <v>48</v>
      </c>
    </row>
    <row r="49" spans="1:25">
      <c r="B49" s="56">
        <v>42444</v>
      </c>
      <c r="C49" s="89" t="s">
        <v>15</v>
      </c>
      <c r="D49" s="57" t="s">
        <v>16</v>
      </c>
      <c r="E49" s="40">
        <v>32829</v>
      </c>
      <c r="F49" s="94">
        <v>32829</v>
      </c>
      <c r="G49" s="40">
        <f t="shared" si="35"/>
        <v>0</v>
      </c>
      <c r="H49" s="49" t="s">
        <v>87</v>
      </c>
      <c r="I49" s="56">
        <v>42489</v>
      </c>
      <c r="J49" s="40">
        <v>32829</v>
      </c>
      <c r="K49" s="40">
        <v>2.95</v>
      </c>
      <c r="L49" s="57" t="s">
        <v>19</v>
      </c>
      <c r="M49" s="46">
        <f t="shared" si="36"/>
        <v>96845.55</v>
      </c>
      <c r="N49" s="46">
        <f t="shared" si="37"/>
        <v>17432.199000000001</v>
      </c>
      <c r="O49" s="46">
        <f t="shared" si="38"/>
        <v>114277.74900000001</v>
      </c>
      <c r="P49" s="49" t="s">
        <v>30</v>
      </c>
      <c r="Q49" s="49">
        <v>7513</v>
      </c>
      <c r="R49" s="49" t="s">
        <v>31</v>
      </c>
      <c r="S49" s="40">
        <v>114278.249</v>
      </c>
      <c r="T49" s="56">
        <v>42510</v>
      </c>
      <c r="U49" s="40">
        <f t="shared" si="39"/>
        <v>-0.49999999998544808</v>
      </c>
      <c r="V49" s="41" t="s">
        <v>48</v>
      </c>
    </row>
    <row r="50" spans="1:25">
      <c r="B50" s="56">
        <v>42445</v>
      </c>
      <c r="C50" s="44" t="s">
        <v>15</v>
      </c>
      <c r="D50" s="57" t="s">
        <v>16</v>
      </c>
      <c r="E50" s="40">
        <v>33914</v>
      </c>
      <c r="F50" s="40">
        <v>33940</v>
      </c>
      <c r="G50" s="40">
        <f t="shared" si="35"/>
        <v>-26</v>
      </c>
      <c r="H50" s="49" t="s">
        <v>88</v>
      </c>
      <c r="I50" s="56">
        <v>42489</v>
      </c>
      <c r="J50" s="40">
        <v>33940</v>
      </c>
      <c r="K50" s="40">
        <v>2.95</v>
      </c>
      <c r="L50" s="57" t="s">
        <v>19</v>
      </c>
      <c r="M50" s="46">
        <f t="shared" si="36"/>
        <v>100123</v>
      </c>
      <c r="N50" s="46">
        <f t="shared" si="37"/>
        <v>18022.14</v>
      </c>
      <c r="O50" s="46">
        <f t="shared" si="38"/>
        <v>118145.14</v>
      </c>
      <c r="P50" s="49" t="s">
        <v>30</v>
      </c>
      <c r="Q50" s="49">
        <v>7511</v>
      </c>
      <c r="R50" s="49" t="s">
        <v>31</v>
      </c>
      <c r="S50" s="40">
        <v>118145.64</v>
      </c>
      <c r="T50" s="56">
        <v>42510</v>
      </c>
      <c r="U50" s="40">
        <f t="shared" si="39"/>
        <v>-0.5</v>
      </c>
      <c r="V50" s="41" t="s">
        <v>48</v>
      </c>
    </row>
    <row r="51" spans="1:25">
      <c r="B51" s="56">
        <v>42446</v>
      </c>
      <c r="C51" s="44" t="s">
        <v>15</v>
      </c>
      <c r="D51" s="57" t="s">
        <v>16</v>
      </c>
      <c r="E51" s="40">
        <v>32400</v>
      </c>
      <c r="F51" s="40">
        <v>32440</v>
      </c>
      <c r="G51" s="40">
        <f t="shared" si="35"/>
        <v>-40</v>
      </c>
      <c r="H51" s="49" t="s">
        <v>89</v>
      </c>
      <c r="I51" s="56">
        <v>42489</v>
      </c>
      <c r="J51" s="40">
        <v>32440</v>
      </c>
      <c r="K51" s="40">
        <v>2.95</v>
      </c>
      <c r="L51" s="57" t="s">
        <v>19</v>
      </c>
      <c r="M51" s="46">
        <f t="shared" si="36"/>
        <v>95698</v>
      </c>
      <c r="N51" s="46">
        <f t="shared" si="37"/>
        <v>17225.64</v>
      </c>
      <c r="O51" s="46">
        <f t="shared" si="38"/>
        <v>112923.64</v>
      </c>
      <c r="P51" s="49" t="s">
        <v>30</v>
      </c>
      <c r="Q51" s="49">
        <v>7516</v>
      </c>
      <c r="R51" s="49" t="s">
        <v>31</v>
      </c>
      <c r="S51" s="40">
        <v>112924.14</v>
      </c>
      <c r="T51" s="56">
        <v>42510</v>
      </c>
      <c r="U51" s="40">
        <f t="shared" si="39"/>
        <v>-0.5</v>
      </c>
      <c r="V51" s="41" t="s">
        <v>48</v>
      </c>
    </row>
    <row r="52" spans="1:25">
      <c r="B52" s="56">
        <v>42457</v>
      </c>
      <c r="C52" s="49" t="s">
        <v>15</v>
      </c>
      <c r="D52" s="57" t="s">
        <v>16</v>
      </c>
      <c r="E52" s="40">
        <v>33612</v>
      </c>
      <c r="F52" s="40">
        <v>33680</v>
      </c>
      <c r="G52" s="40">
        <f t="shared" si="35"/>
        <v>-68</v>
      </c>
      <c r="H52" s="49" t="s">
        <v>90</v>
      </c>
      <c r="I52" s="56">
        <v>42489</v>
      </c>
      <c r="J52" s="40">
        <v>33680</v>
      </c>
      <c r="K52" s="40">
        <v>2.95</v>
      </c>
      <c r="L52" s="57" t="s">
        <v>19</v>
      </c>
      <c r="M52" s="46">
        <f t="shared" si="36"/>
        <v>99356</v>
      </c>
      <c r="N52" s="46">
        <f t="shared" si="37"/>
        <v>17884.079999999998</v>
      </c>
      <c r="O52" s="46">
        <f t="shared" si="38"/>
        <v>117240.08</v>
      </c>
      <c r="P52" s="49" t="s">
        <v>30</v>
      </c>
      <c r="Q52" s="49">
        <v>7515</v>
      </c>
      <c r="R52" s="49" t="s">
        <v>31</v>
      </c>
      <c r="S52" s="40">
        <v>117240.58</v>
      </c>
      <c r="T52" s="56">
        <v>42510</v>
      </c>
      <c r="U52" s="40">
        <f t="shared" si="39"/>
        <v>-0.5</v>
      </c>
      <c r="V52" s="41" t="s">
        <v>48</v>
      </c>
    </row>
    <row r="53" spans="1:25" s="87" customFormat="1">
      <c r="B53" s="60">
        <v>42437</v>
      </c>
      <c r="C53" s="89" t="s">
        <v>33</v>
      </c>
      <c r="D53" s="61" t="s">
        <v>16</v>
      </c>
      <c r="E53" s="62">
        <v>6010</v>
      </c>
      <c r="F53" s="62"/>
      <c r="G53" s="62"/>
      <c r="H53" s="49" t="s">
        <v>94</v>
      </c>
      <c r="I53" s="60">
        <v>42522</v>
      </c>
      <c r="J53" s="62">
        <v>6010</v>
      </c>
      <c r="K53" s="62">
        <v>25</v>
      </c>
      <c r="L53" s="61" t="s">
        <v>19</v>
      </c>
      <c r="M53" s="64">
        <f t="shared" ref="M53" si="40">+K53*J53</f>
        <v>150250</v>
      </c>
      <c r="N53" s="64">
        <f t="shared" ref="N53" si="41">+M53*0.18</f>
        <v>27045</v>
      </c>
      <c r="O53" s="64">
        <f t="shared" ref="O53" si="42">+N53+M53</f>
        <v>177295</v>
      </c>
      <c r="P53" s="59" t="s">
        <v>30</v>
      </c>
      <c r="Q53" s="59">
        <v>7566</v>
      </c>
      <c r="R53" s="59" t="s">
        <v>31</v>
      </c>
      <c r="S53" s="62">
        <v>177295.5</v>
      </c>
      <c r="T53" s="60">
        <v>42524</v>
      </c>
      <c r="U53" s="40">
        <f t="shared" si="39"/>
        <v>-0.5</v>
      </c>
      <c r="V53" s="41" t="s">
        <v>48</v>
      </c>
    </row>
    <row r="54" spans="1:25">
      <c r="B54" s="56">
        <v>42459</v>
      </c>
      <c r="C54" s="49" t="s">
        <v>15</v>
      </c>
      <c r="D54" s="57" t="s">
        <v>16</v>
      </c>
      <c r="E54" s="40">
        <v>34116</v>
      </c>
      <c r="F54" s="40">
        <v>34180</v>
      </c>
      <c r="G54" s="40">
        <f>+E54-F54</f>
        <v>-64</v>
      </c>
      <c r="H54" s="49" t="s">
        <v>98</v>
      </c>
      <c r="I54" s="56">
        <v>42522</v>
      </c>
      <c r="J54" s="40">
        <v>34180</v>
      </c>
      <c r="K54" s="40">
        <v>2.9809999999999999</v>
      </c>
      <c r="L54" s="57" t="s">
        <v>19</v>
      </c>
      <c r="M54" s="46">
        <f>+K54*J54</f>
        <v>101890.58</v>
      </c>
      <c r="N54" s="46">
        <f>+M54*0.18</f>
        <v>18340.304400000001</v>
      </c>
      <c r="O54" s="46">
        <f>+N54+M54</f>
        <v>120230.88440000001</v>
      </c>
      <c r="P54" s="49" t="s">
        <v>30</v>
      </c>
      <c r="Q54" s="49">
        <v>7645</v>
      </c>
      <c r="R54" s="49" t="s">
        <v>31</v>
      </c>
      <c r="S54" s="40">
        <v>120231.38400000001</v>
      </c>
      <c r="T54" s="56">
        <v>42550</v>
      </c>
      <c r="U54" s="40">
        <f t="shared" si="39"/>
        <v>-0.49959999999555293</v>
      </c>
      <c r="V54" s="41" t="s">
        <v>48</v>
      </c>
    </row>
    <row r="55" spans="1:25">
      <c r="B55" s="56">
        <v>42464</v>
      </c>
      <c r="C55" s="49" t="s">
        <v>15</v>
      </c>
      <c r="D55" s="57" t="s">
        <v>16</v>
      </c>
      <c r="E55" s="40">
        <v>39940</v>
      </c>
      <c r="F55" s="40">
        <v>39940</v>
      </c>
      <c r="G55" s="40">
        <f>+E55-F55</f>
        <v>0</v>
      </c>
      <c r="H55" s="49" t="s">
        <v>99</v>
      </c>
      <c r="I55" s="56">
        <v>42522</v>
      </c>
      <c r="J55" s="40">
        <v>39940</v>
      </c>
      <c r="K55" s="40">
        <v>2.9809999999999999</v>
      </c>
      <c r="L55" s="57" t="s">
        <v>19</v>
      </c>
      <c r="M55" s="46">
        <f>+K55*J55</f>
        <v>119061.14</v>
      </c>
      <c r="N55" s="46">
        <f>+M55*0.18</f>
        <v>21431.0052</v>
      </c>
      <c r="O55" s="46">
        <f>+N55+M55</f>
        <v>140492.1452</v>
      </c>
      <c r="P55" s="49" t="s">
        <v>30</v>
      </c>
      <c r="Q55" s="49">
        <v>7643</v>
      </c>
      <c r="R55" s="49" t="s">
        <v>31</v>
      </c>
      <c r="S55" s="40">
        <v>140492.64499999999</v>
      </c>
      <c r="T55" s="56">
        <v>42550</v>
      </c>
      <c r="U55" s="40">
        <f>+O55-S55</f>
        <v>-0.49979999999050051</v>
      </c>
      <c r="V55" s="41" t="s">
        <v>48</v>
      </c>
    </row>
    <row r="56" spans="1:25">
      <c r="B56" s="56">
        <v>42464</v>
      </c>
      <c r="C56" s="49" t="s">
        <v>15</v>
      </c>
      <c r="D56" s="57" t="s">
        <v>16</v>
      </c>
      <c r="E56" s="40">
        <v>39918</v>
      </c>
      <c r="F56" s="40">
        <v>39940</v>
      </c>
      <c r="G56" s="40">
        <f>+E56-F56</f>
        <v>-22</v>
      </c>
      <c r="H56" s="49" t="s">
        <v>100</v>
      </c>
      <c r="I56" s="56">
        <v>42522</v>
      </c>
      <c r="J56" s="40">
        <v>39940</v>
      </c>
      <c r="K56" s="40">
        <v>2.9809999999999999</v>
      </c>
      <c r="L56" s="57" t="s">
        <v>19</v>
      </c>
      <c r="M56" s="46">
        <f>+K56*J56</f>
        <v>119061.14</v>
      </c>
      <c r="N56" s="46">
        <f>+M56*0.18</f>
        <v>21431.0052</v>
      </c>
      <c r="O56" s="46">
        <f>+N56+M56</f>
        <v>140492.1452</v>
      </c>
      <c r="P56" s="49" t="s">
        <v>30</v>
      </c>
      <c r="Q56" s="49">
        <v>7644</v>
      </c>
      <c r="R56" s="49" t="s">
        <v>31</v>
      </c>
      <c r="S56" s="40">
        <v>140492.64499999999</v>
      </c>
      <c r="T56" s="56">
        <v>42550</v>
      </c>
      <c r="U56" s="40">
        <f t="shared" si="39"/>
        <v>-0.49979999999050051</v>
      </c>
      <c r="V56" s="41" t="s">
        <v>48</v>
      </c>
    </row>
    <row r="57" spans="1:25" ht="15.75" thickBot="1">
      <c r="B57" s="56">
        <v>42468</v>
      </c>
      <c r="C57" s="49" t="s">
        <v>15</v>
      </c>
      <c r="D57" s="57" t="s">
        <v>16</v>
      </c>
      <c r="E57" s="40">
        <v>39524</v>
      </c>
      <c r="F57" s="40">
        <v>39720</v>
      </c>
      <c r="G57" s="40">
        <f>+E57-F57</f>
        <v>-196</v>
      </c>
      <c r="H57" s="49" t="s">
        <v>101</v>
      </c>
      <c r="I57" s="56">
        <v>42522</v>
      </c>
      <c r="J57" s="40">
        <f>39720-189</f>
        <v>39531</v>
      </c>
      <c r="K57" s="40">
        <v>2.9809999999999999</v>
      </c>
      <c r="L57" s="57" t="s">
        <v>19</v>
      </c>
      <c r="M57" s="46">
        <f>+K57*J57</f>
        <v>117841.91099999999</v>
      </c>
      <c r="N57" s="46">
        <f>+M57*0.18</f>
        <v>21211.543979999999</v>
      </c>
      <c r="O57" s="46">
        <f>+N57+M57</f>
        <v>139053.45497999998</v>
      </c>
      <c r="P57" s="49" t="s">
        <v>30</v>
      </c>
      <c r="Q57" s="49">
        <v>7642</v>
      </c>
      <c r="R57" s="49" t="s">
        <v>31</v>
      </c>
      <c r="S57" s="40">
        <v>139053.95499999999</v>
      </c>
      <c r="T57" s="56">
        <v>42550</v>
      </c>
      <c r="U57" s="40">
        <f t="shared" si="39"/>
        <v>-0.50002000000677072</v>
      </c>
      <c r="V57" s="41" t="s">
        <v>48</v>
      </c>
    </row>
    <row r="58" spans="1:25">
      <c r="A58" s="95"/>
      <c r="B58" s="34">
        <v>42471</v>
      </c>
      <c r="C58" s="35" t="s">
        <v>17</v>
      </c>
      <c r="D58" s="36" t="s">
        <v>16</v>
      </c>
      <c r="E58" s="37">
        <v>5380</v>
      </c>
      <c r="F58" s="37"/>
      <c r="G58" s="37"/>
      <c r="H58" s="35" t="s">
        <v>102</v>
      </c>
      <c r="I58" s="38">
        <v>42522</v>
      </c>
      <c r="J58" s="37">
        <v>5380</v>
      </c>
      <c r="K58" s="37">
        <v>3.3</v>
      </c>
      <c r="L58" s="36" t="s">
        <v>19</v>
      </c>
      <c r="M58" s="37">
        <f t="shared" ref="M58:M61" si="43">+K58*J58</f>
        <v>17754</v>
      </c>
      <c r="N58" s="37">
        <f t="shared" ref="N58:N61" si="44">+M58*0.18</f>
        <v>3195.72</v>
      </c>
      <c r="O58" s="37">
        <f t="shared" ref="O58:O61" si="45">+N58+M58</f>
        <v>20949.72</v>
      </c>
      <c r="P58" s="35" t="s">
        <v>30</v>
      </c>
      <c r="Q58" s="35">
        <v>7641</v>
      </c>
      <c r="R58" s="35" t="s">
        <v>31</v>
      </c>
      <c r="S58" s="37">
        <v>84893.593999999997</v>
      </c>
      <c r="T58" s="38">
        <v>42550</v>
      </c>
      <c r="U58" s="83">
        <f>O58+O59+O60+O61-S58</f>
        <v>-0.50000000001455192</v>
      </c>
      <c r="V58" s="41" t="s">
        <v>48</v>
      </c>
    </row>
    <row r="59" spans="1:25">
      <c r="A59" s="95"/>
      <c r="B59" s="43">
        <v>42471</v>
      </c>
      <c r="C59" s="44" t="s">
        <v>17</v>
      </c>
      <c r="D59" s="45" t="s">
        <v>16</v>
      </c>
      <c r="E59" s="46">
        <v>5280</v>
      </c>
      <c r="F59" s="46"/>
      <c r="G59" s="46"/>
      <c r="H59" s="44" t="s">
        <v>102</v>
      </c>
      <c r="I59" s="47">
        <v>42522</v>
      </c>
      <c r="J59" s="46">
        <v>5280</v>
      </c>
      <c r="K59" s="46">
        <v>3.3</v>
      </c>
      <c r="L59" s="45" t="s">
        <v>19</v>
      </c>
      <c r="M59" s="46">
        <f t="shared" si="43"/>
        <v>17424</v>
      </c>
      <c r="N59" s="46">
        <f t="shared" si="44"/>
        <v>3136.3199999999997</v>
      </c>
      <c r="O59" s="46">
        <f t="shared" si="45"/>
        <v>20560.32</v>
      </c>
      <c r="P59" s="44"/>
      <c r="Q59" s="44"/>
      <c r="R59" s="44"/>
      <c r="S59" s="46"/>
      <c r="T59" s="47"/>
      <c r="U59" s="90"/>
      <c r="V59" s="41"/>
    </row>
    <row r="60" spans="1:25">
      <c r="B60" s="43">
        <v>42500</v>
      </c>
      <c r="C60" s="44" t="s">
        <v>17</v>
      </c>
      <c r="D60" s="45" t="s">
        <v>16</v>
      </c>
      <c r="E60" s="46">
        <v>6297</v>
      </c>
      <c r="F60" s="46"/>
      <c r="G60" s="44"/>
      <c r="H60" s="44" t="s">
        <v>102</v>
      </c>
      <c r="I60" s="47">
        <v>42522</v>
      </c>
      <c r="J60" s="46">
        <v>6297</v>
      </c>
      <c r="K60" s="46">
        <v>3.3</v>
      </c>
      <c r="L60" s="45" t="s">
        <v>19</v>
      </c>
      <c r="M60" s="46">
        <f t="shared" si="43"/>
        <v>20780.099999999999</v>
      </c>
      <c r="N60" s="46">
        <f t="shared" si="44"/>
        <v>3740.4179999999997</v>
      </c>
      <c r="O60" s="46">
        <f t="shared" si="45"/>
        <v>24520.517999999996</v>
      </c>
      <c r="P60" s="44"/>
      <c r="Q60" s="44"/>
      <c r="R60" s="44"/>
      <c r="S60" s="46"/>
      <c r="T60" s="47"/>
      <c r="U60" s="90"/>
      <c r="V60" s="41"/>
    </row>
    <row r="61" spans="1:25" ht="15.75" thickBot="1">
      <c r="B61" s="50">
        <v>42508</v>
      </c>
      <c r="C61" s="51" t="s">
        <v>17</v>
      </c>
      <c r="D61" s="52" t="s">
        <v>16</v>
      </c>
      <c r="E61" s="53">
        <v>4844</v>
      </c>
      <c r="F61" s="53"/>
      <c r="G61" s="51"/>
      <c r="H61" s="51" t="s">
        <v>102</v>
      </c>
      <c r="I61" s="54">
        <v>42522</v>
      </c>
      <c r="J61" s="53">
        <v>4844</v>
      </c>
      <c r="K61" s="53">
        <v>3.3</v>
      </c>
      <c r="L61" s="52" t="s">
        <v>19</v>
      </c>
      <c r="M61" s="53">
        <f t="shared" si="43"/>
        <v>15985.199999999999</v>
      </c>
      <c r="N61" s="53">
        <f t="shared" si="44"/>
        <v>2877.3359999999998</v>
      </c>
      <c r="O61" s="53">
        <f t="shared" si="45"/>
        <v>18862.536</v>
      </c>
      <c r="P61" s="51"/>
      <c r="Q61" s="51"/>
      <c r="R61" s="51"/>
      <c r="S61" s="53"/>
      <c r="T61" s="54"/>
      <c r="U61" s="92"/>
      <c r="V61" s="41"/>
    </row>
    <row r="62" spans="1:25" s="96" customFormat="1">
      <c r="B62" s="60">
        <v>42539</v>
      </c>
      <c r="C62" s="59" t="s">
        <v>15</v>
      </c>
      <c r="D62" s="61" t="s">
        <v>16</v>
      </c>
      <c r="E62" s="62">
        <v>19857</v>
      </c>
      <c r="F62" s="62">
        <v>19880</v>
      </c>
      <c r="G62" s="62">
        <f>+E62-F62</f>
        <v>-23</v>
      </c>
      <c r="H62" s="59" t="s">
        <v>105</v>
      </c>
      <c r="I62" s="98">
        <v>42576</v>
      </c>
      <c r="J62" s="62">
        <v>19880</v>
      </c>
      <c r="K62" s="62">
        <v>3.1360000000000001</v>
      </c>
      <c r="L62" s="61" t="s">
        <v>19</v>
      </c>
      <c r="M62" s="64">
        <f>+K62*J62</f>
        <v>62343.68</v>
      </c>
      <c r="N62" s="64">
        <f>M62*0.18</f>
        <v>11221.8624</v>
      </c>
      <c r="O62" s="64">
        <f>+N62+M62</f>
        <v>73565.542400000006</v>
      </c>
      <c r="P62" s="59" t="s">
        <v>30</v>
      </c>
      <c r="Q62" s="59">
        <v>7703</v>
      </c>
      <c r="R62" s="59" t="s">
        <v>31</v>
      </c>
      <c r="S62" s="62">
        <v>73566.042000000001</v>
      </c>
      <c r="T62" s="60">
        <v>42577</v>
      </c>
      <c r="U62" s="40">
        <f t="shared" ref="U62:U78" si="46">+O62-S62</f>
        <v>-0.49959999999555293</v>
      </c>
      <c r="V62" s="65" t="s">
        <v>48</v>
      </c>
    </row>
    <row r="63" spans="1:25" s="96" customFormat="1">
      <c r="B63" s="60">
        <v>42541</v>
      </c>
      <c r="C63" s="59" t="s">
        <v>15</v>
      </c>
      <c r="D63" s="61" t="s">
        <v>16</v>
      </c>
      <c r="E63" s="62">
        <v>20076</v>
      </c>
      <c r="F63" s="62"/>
      <c r="G63" s="62"/>
      <c r="H63" s="59" t="s">
        <v>106</v>
      </c>
      <c r="I63" s="98">
        <v>42576</v>
      </c>
      <c r="J63" s="62">
        <v>20076</v>
      </c>
      <c r="K63" s="62">
        <v>3.1360000000000001</v>
      </c>
      <c r="L63" s="61" t="s">
        <v>19</v>
      </c>
      <c r="M63" s="64">
        <f>+K63*J63</f>
        <v>62958.336000000003</v>
      </c>
      <c r="N63" s="64">
        <f>M63*0.18</f>
        <v>11332.500480000001</v>
      </c>
      <c r="O63" s="64">
        <f>+N63+M63</f>
        <v>74290.836479999998</v>
      </c>
      <c r="P63" s="59" t="s">
        <v>30</v>
      </c>
      <c r="Q63" s="59">
        <v>7708</v>
      </c>
      <c r="R63" s="59" t="s">
        <v>31</v>
      </c>
      <c r="S63" s="62">
        <v>74291.035999999993</v>
      </c>
      <c r="T63" s="60">
        <v>42577</v>
      </c>
      <c r="U63" s="40">
        <f t="shared" si="46"/>
        <v>-0.19951999999466352</v>
      </c>
      <c r="V63" s="65" t="s">
        <v>48</v>
      </c>
    </row>
    <row r="64" spans="1:25" s="97" customFormat="1">
      <c r="B64" s="60">
        <v>42544</v>
      </c>
      <c r="C64" s="59" t="s">
        <v>15</v>
      </c>
      <c r="D64" s="61" t="s">
        <v>16</v>
      </c>
      <c r="E64" s="62">
        <v>15504</v>
      </c>
      <c r="F64" s="62"/>
      <c r="G64" s="62"/>
      <c r="H64" s="59" t="s">
        <v>107</v>
      </c>
      <c r="I64" s="98">
        <v>42576</v>
      </c>
      <c r="J64" s="62">
        <v>15504</v>
      </c>
      <c r="K64" s="62">
        <v>3.1360000000000001</v>
      </c>
      <c r="L64" s="61" t="s">
        <v>19</v>
      </c>
      <c r="M64" s="64">
        <f>+K64*J64</f>
        <v>48620.544000000002</v>
      </c>
      <c r="N64" s="64">
        <f>M64*0.18</f>
        <v>8751.6979200000005</v>
      </c>
      <c r="O64" s="64">
        <f>+N64+M64</f>
        <v>57372.24192</v>
      </c>
      <c r="P64" s="59" t="s">
        <v>30</v>
      </c>
      <c r="Q64" s="59">
        <v>7705</v>
      </c>
      <c r="R64" s="59" t="s">
        <v>31</v>
      </c>
      <c r="S64" s="62">
        <v>57372.741999999998</v>
      </c>
      <c r="T64" s="60">
        <v>42577</v>
      </c>
      <c r="U64" s="40">
        <f t="shared" si="46"/>
        <v>-0.50007999999797903</v>
      </c>
      <c r="V64" s="101" t="s">
        <v>48</v>
      </c>
      <c r="X64" s="96"/>
      <c r="Y64" s="96"/>
    </row>
    <row r="65" spans="2:25" s="97" customFormat="1">
      <c r="B65" s="99">
        <v>42548</v>
      </c>
      <c r="C65" s="89" t="s">
        <v>15</v>
      </c>
      <c r="D65" s="63" t="s">
        <v>16</v>
      </c>
      <c r="E65" s="64">
        <v>15896</v>
      </c>
      <c r="F65" s="64"/>
      <c r="G65" s="62"/>
      <c r="H65" s="59" t="s">
        <v>108</v>
      </c>
      <c r="I65" s="100">
        <v>42576</v>
      </c>
      <c r="J65" s="64">
        <v>15896</v>
      </c>
      <c r="K65" s="64">
        <v>3.1360000000000001</v>
      </c>
      <c r="L65" s="61" t="s">
        <v>19</v>
      </c>
      <c r="M65" s="64">
        <f>+K65*J65</f>
        <v>49849.856</v>
      </c>
      <c r="N65" s="64">
        <f>M65*0.18</f>
        <v>8972.97408</v>
      </c>
      <c r="O65" s="64">
        <f>+N65+M65</f>
        <v>58822.83008</v>
      </c>
      <c r="P65" s="89" t="s">
        <v>30</v>
      </c>
      <c r="Q65" s="89">
        <v>7706</v>
      </c>
      <c r="R65" s="89" t="s">
        <v>31</v>
      </c>
      <c r="S65" s="64">
        <v>58823.33</v>
      </c>
      <c r="T65" s="99">
        <v>42577</v>
      </c>
      <c r="U65" s="40">
        <f t="shared" si="46"/>
        <v>-0.49992000000202097</v>
      </c>
      <c r="V65" s="101" t="s">
        <v>48</v>
      </c>
      <c r="X65" s="96"/>
      <c r="Y65" s="96"/>
    </row>
    <row r="66" spans="2:25" s="97" customFormat="1">
      <c r="B66" s="99">
        <v>42551</v>
      </c>
      <c r="C66" s="89" t="s">
        <v>15</v>
      </c>
      <c r="D66" s="63" t="s">
        <v>16</v>
      </c>
      <c r="E66" s="64">
        <v>19590</v>
      </c>
      <c r="F66" s="64">
        <v>20660</v>
      </c>
      <c r="G66" s="62">
        <f>+E66-F66</f>
        <v>-1070</v>
      </c>
      <c r="H66" s="59" t="s">
        <v>109</v>
      </c>
      <c r="I66" s="100">
        <v>42576</v>
      </c>
      <c r="J66" s="64">
        <v>20660</v>
      </c>
      <c r="K66" s="64">
        <v>3.1360000000000001</v>
      </c>
      <c r="L66" s="61" t="s">
        <v>19</v>
      </c>
      <c r="M66" s="64">
        <f t="shared" ref="M66" si="47">+K66*J66</f>
        <v>64789.760000000002</v>
      </c>
      <c r="N66" s="64">
        <f t="shared" ref="N66" si="48">M66*0.18</f>
        <v>11662.156800000001</v>
      </c>
      <c r="O66" s="64">
        <f t="shared" ref="O66" si="49">+N66+M66</f>
        <v>76451.916800000006</v>
      </c>
      <c r="P66" s="89" t="s">
        <v>30</v>
      </c>
      <c r="Q66" s="89">
        <v>7707</v>
      </c>
      <c r="R66" s="89" t="s">
        <v>31</v>
      </c>
      <c r="S66" s="64">
        <v>76452.417000000001</v>
      </c>
      <c r="T66" s="99">
        <v>42577</v>
      </c>
      <c r="U66" s="40">
        <f t="shared" si="46"/>
        <v>-0.50019999999494758</v>
      </c>
      <c r="V66" s="101" t="s">
        <v>48</v>
      </c>
      <c r="X66" s="96"/>
      <c r="Y66" s="96"/>
    </row>
    <row r="67" spans="2:25" s="96" customFormat="1">
      <c r="B67" s="99">
        <v>42531</v>
      </c>
      <c r="C67" s="89" t="s">
        <v>17</v>
      </c>
      <c r="D67" s="63" t="s">
        <v>16</v>
      </c>
      <c r="E67" s="64">
        <v>5498</v>
      </c>
      <c r="F67" s="64"/>
      <c r="G67" s="62"/>
      <c r="H67" s="89" t="s">
        <v>114</v>
      </c>
      <c r="I67" s="100">
        <v>42576</v>
      </c>
      <c r="J67" s="64">
        <v>5498</v>
      </c>
      <c r="K67" s="64">
        <v>3.3</v>
      </c>
      <c r="L67" s="63" t="s">
        <v>19</v>
      </c>
      <c r="M67" s="64">
        <f>+K67*J67</f>
        <v>18143.399999999998</v>
      </c>
      <c r="N67" s="64">
        <f>M67*0.18</f>
        <v>3265.8119999999994</v>
      </c>
      <c r="O67" s="64">
        <f>+N67+M67</f>
        <v>21409.211999999996</v>
      </c>
      <c r="P67" s="89" t="s">
        <v>30</v>
      </c>
      <c r="Q67" s="89">
        <v>7719</v>
      </c>
      <c r="R67" s="89" t="s">
        <v>31</v>
      </c>
      <c r="S67" s="64">
        <v>21409.712</v>
      </c>
      <c r="T67" s="99">
        <v>42586</v>
      </c>
      <c r="U67" s="64">
        <f t="shared" si="46"/>
        <v>-0.50000000000363798</v>
      </c>
      <c r="V67" s="65" t="s">
        <v>48</v>
      </c>
    </row>
    <row r="68" spans="2:25" s="68" customFormat="1">
      <c r="B68" s="99">
        <v>42555</v>
      </c>
      <c r="C68" s="89" t="s">
        <v>15</v>
      </c>
      <c r="D68" s="63" t="s">
        <v>16</v>
      </c>
      <c r="E68" s="64">
        <v>18528</v>
      </c>
      <c r="F68" s="64">
        <v>18528</v>
      </c>
      <c r="G68" s="62">
        <f>+E68-F68</f>
        <v>0</v>
      </c>
      <c r="H68" s="89" t="s">
        <v>115</v>
      </c>
      <c r="I68" s="100">
        <v>42585</v>
      </c>
      <c r="J68" s="64">
        <f t="shared" ref="J68:J70" si="50">F68</f>
        <v>18528</v>
      </c>
      <c r="K68" s="64">
        <v>3.444</v>
      </c>
      <c r="L68" s="63" t="s">
        <v>19</v>
      </c>
      <c r="M68" s="64">
        <f t="shared" ref="M68:M72" si="51">+K68*J68</f>
        <v>63810.432000000001</v>
      </c>
      <c r="N68" s="64">
        <f t="shared" ref="N68:N72" si="52">M68*0.18</f>
        <v>11485.877759999999</v>
      </c>
      <c r="O68" s="64">
        <f t="shared" ref="O68:O72" si="53">+N68+M68</f>
        <v>75296.309760000004</v>
      </c>
      <c r="P68" s="46" t="s">
        <v>30</v>
      </c>
      <c r="Q68" s="44">
        <v>7721</v>
      </c>
      <c r="R68" s="44" t="s">
        <v>31</v>
      </c>
      <c r="S68" s="46">
        <v>75296.31</v>
      </c>
      <c r="T68" s="99">
        <v>42586</v>
      </c>
      <c r="U68" s="64">
        <f t="shared" si="46"/>
        <v>-2.3999999393709004E-4</v>
      </c>
      <c r="V68" s="84" t="s">
        <v>48</v>
      </c>
      <c r="X68" s="42"/>
      <c r="Y68" s="42"/>
    </row>
    <row r="69" spans="2:25" s="68" customFormat="1">
      <c r="B69" s="99">
        <v>42560</v>
      </c>
      <c r="C69" s="89" t="s">
        <v>15</v>
      </c>
      <c r="D69" s="63" t="s">
        <v>16</v>
      </c>
      <c r="E69" s="64">
        <v>17284</v>
      </c>
      <c r="F69" s="64">
        <v>17284</v>
      </c>
      <c r="G69" s="62"/>
      <c r="H69" s="89" t="s">
        <v>116</v>
      </c>
      <c r="I69" s="100">
        <v>42585</v>
      </c>
      <c r="J69" s="64">
        <f t="shared" si="50"/>
        <v>17284</v>
      </c>
      <c r="K69" s="64">
        <v>3.444</v>
      </c>
      <c r="L69" s="63" t="s">
        <v>19</v>
      </c>
      <c r="M69" s="64">
        <f t="shared" si="51"/>
        <v>59526.095999999998</v>
      </c>
      <c r="N69" s="64">
        <f t="shared" si="52"/>
        <v>10714.697279999998</v>
      </c>
      <c r="O69" s="64">
        <f t="shared" si="53"/>
        <v>70240.793279999998</v>
      </c>
      <c r="P69" s="46" t="s">
        <v>30</v>
      </c>
      <c r="Q69" s="44">
        <v>7722</v>
      </c>
      <c r="R69" s="44" t="s">
        <v>31</v>
      </c>
      <c r="S69" s="46">
        <v>70241.293000000005</v>
      </c>
      <c r="T69" s="99">
        <v>42586</v>
      </c>
      <c r="U69" s="64">
        <f t="shared" si="46"/>
        <v>-0.49972000000707339</v>
      </c>
      <c r="V69" s="84" t="s">
        <v>48</v>
      </c>
      <c r="X69" s="42"/>
      <c r="Y69" s="42"/>
    </row>
    <row r="70" spans="2:25" s="68" customFormat="1">
      <c r="B70" s="99">
        <v>42562</v>
      </c>
      <c r="C70" s="89" t="s">
        <v>15</v>
      </c>
      <c r="D70" s="63" t="s">
        <v>16</v>
      </c>
      <c r="E70" s="64">
        <v>16266</v>
      </c>
      <c r="F70" s="64">
        <v>16304</v>
      </c>
      <c r="G70" s="62">
        <f>+E70-F70</f>
        <v>-38</v>
      </c>
      <c r="H70" s="89" t="s">
        <v>117</v>
      </c>
      <c r="I70" s="100">
        <v>42585</v>
      </c>
      <c r="J70" s="64">
        <f t="shared" si="50"/>
        <v>16304</v>
      </c>
      <c r="K70" s="64">
        <v>3.444</v>
      </c>
      <c r="L70" s="63" t="s">
        <v>19</v>
      </c>
      <c r="M70" s="64">
        <f t="shared" si="51"/>
        <v>56150.976000000002</v>
      </c>
      <c r="N70" s="64">
        <f t="shared" si="52"/>
        <v>10107.17568</v>
      </c>
      <c r="O70" s="64">
        <f t="shared" si="53"/>
        <v>66258.15168000001</v>
      </c>
      <c r="P70" s="46" t="s">
        <v>30</v>
      </c>
      <c r="Q70" s="44">
        <v>7720</v>
      </c>
      <c r="R70" s="44" t="s">
        <v>31</v>
      </c>
      <c r="S70" s="46">
        <v>66258.652000000002</v>
      </c>
      <c r="T70" s="99">
        <v>42586</v>
      </c>
      <c r="U70" s="64">
        <f t="shared" si="46"/>
        <v>-0.50031999999191612</v>
      </c>
      <c r="V70" s="84" t="s">
        <v>48</v>
      </c>
      <c r="X70" s="42"/>
      <c r="Y70" s="42"/>
    </row>
    <row r="71" spans="2:25" s="68" customFormat="1">
      <c r="B71" s="99">
        <v>42569</v>
      </c>
      <c r="C71" s="89" t="s">
        <v>15</v>
      </c>
      <c r="D71" s="63" t="s">
        <v>16</v>
      </c>
      <c r="E71" s="64"/>
      <c r="F71" s="64">
        <v>35160</v>
      </c>
      <c r="G71" s="89"/>
      <c r="H71" s="89" t="s">
        <v>118</v>
      </c>
      <c r="I71" s="100">
        <v>42585</v>
      </c>
      <c r="J71" s="64">
        <f>F71</f>
        <v>35160</v>
      </c>
      <c r="K71" s="64">
        <v>3.444</v>
      </c>
      <c r="L71" s="63" t="s">
        <v>19</v>
      </c>
      <c r="M71" s="64">
        <f t="shared" si="51"/>
        <v>121091.04</v>
      </c>
      <c r="N71" s="64">
        <f t="shared" si="52"/>
        <v>21796.387199999997</v>
      </c>
      <c r="O71" s="64">
        <f t="shared" si="53"/>
        <v>142887.42719999998</v>
      </c>
      <c r="P71" s="46" t="s">
        <v>30</v>
      </c>
      <c r="Q71" s="44">
        <v>7723</v>
      </c>
      <c r="R71" s="44" t="s">
        <v>31</v>
      </c>
      <c r="S71" s="46">
        <v>142887.927</v>
      </c>
      <c r="T71" s="99">
        <v>42586</v>
      </c>
      <c r="U71" s="64">
        <f t="shared" si="46"/>
        <v>-0.49980000001960434</v>
      </c>
      <c r="V71" s="84" t="s">
        <v>48</v>
      </c>
    </row>
    <row r="72" spans="2:25" s="68" customFormat="1">
      <c r="B72" s="99">
        <v>42574</v>
      </c>
      <c r="C72" s="89" t="s">
        <v>15</v>
      </c>
      <c r="D72" s="63" t="s">
        <v>16</v>
      </c>
      <c r="E72" s="64"/>
      <c r="F72" s="64">
        <v>30160</v>
      </c>
      <c r="G72" s="89"/>
      <c r="H72" s="89" t="s">
        <v>119</v>
      </c>
      <c r="I72" s="100">
        <v>42585</v>
      </c>
      <c r="J72" s="64">
        <f t="shared" ref="J72" si="54">F72</f>
        <v>30160</v>
      </c>
      <c r="K72" s="64">
        <v>3.444</v>
      </c>
      <c r="L72" s="63" t="s">
        <v>19</v>
      </c>
      <c r="M72" s="64">
        <f t="shared" si="51"/>
        <v>103871.03999999999</v>
      </c>
      <c r="N72" s="64">
        <f t="shared" si="52"/>
        <v>18696.787199999999</v>
      </c>
      <c r="O72" s="64">
        <f t="shared" si="53"/>
        <v>122567.8272</v>
      </c>
      <c r="P72" s="46" t="s">
        <v>30</v>
      </c>
      <c r="Q72" s="44">
        <v>7724</v>
      </c>
      <c r="R72" s="44" t="s">
        <v>31</v>
      </c>
      <c r="S72" s="46">
        <v>122568.327</v>
      </c>
      <c r="T72" s="99">
        <v>42586</v>
      </c>
      <c r="U72" s="64">
        <f t="shared" si="46"/>
        <v>-0.49980000000505242</v>
      </c>
      <c r="V72" s="84" t="s">
        <v>48</v>
      </c>
    </row>
    <row r="73" spans="2:25" s="68" customFormat="1">
      <c r="B73" s="99">
        <v>42577</v>
      </c>
      <c r="C73" s="89" t="s">
        <v>15</v>
      </c>
      <c r="D73" s="63" t="s">
        <v>16</v>
      </c>
      <c r="E73" s="64"/>
      <c r="F73" s="64">
        <v>30360</v>
      </c>
      <c r="G73" s="89"/>
      <c r="H73" s="89" t="s">
        <v>120</v>
      </c>
      <c r="I73" s="100">
        <v>42599</v>
      </c>
      <c r="J73" s="64">
        <v>30360</v>
      </c>
      <c r="K73" s="64">
        <v>3.444</v>
      </c>
      <c r="L73" s="63" t="s">
        <v>19</v>
      </c>
      <c r="M73" s="64">
        <f t="shared" ref="M73" si="55">+K73*J73</f>
        <v>104559.84</v>
      </c>
      <c r="N73" s="64">
        <f t="shared" ref="N73" si="56">M73*0.18</f>
        <v>18820.771199999999</v>
      </c>
      <c r="O73" s="64">
        <f t="shared" ref="O73" si="57">+N73+M73</f>
        <v>123380.6112</v>
      </c>
      <c r="P73" s="89" t="s">
        <v>30</v>
      </c>
      <c r="Q73" s="89">
        <v>7785</v>
      </c>
      <c r="R73" s="89" t="s">
        <v>31</v>
      </c>
      <c r="S73" s="64">
        <f>O73+0.5</f>
        <v>123381.1112</v>
      </c>
      <c r="T73" s="99">
        <v>42604</v>
      </c>
      <c r="U73" s="64">
        <f t="shared" si="46"/>
        <v>-0.5</v>
      </c>
      <c r="V73" s="101" t="s">
        <v>48</v>
      </c>
    </row>
    <row r="74" spans="2:25" s="68" customFormat="1">
      <c r="B74" s="99">
        <v>42578</v>
      </c>
      <c r="C74" s="89" t="s">
        <v>15</v>
      </c>
      <c r="D74" s="63" t="s">
        <v>16</v>
      </c>
      <c r="E74" s="64"/>
      <c r="F74" s="64">
        <v>30980</v>
      </c>
      <c r="G74" s="89"/>
      <c r="H74" s="89" t="s">
        <v>121</v>
      </c>
      <c r="I74" s="100">
        <v>42599</v>
      </c>
      <c r="J74" s="64">
        <v>30980</v>
      </c>
      <c r="K74" s="64">
        <v>3.444</v>
      </c>
      <c r="L74" s="63" t="s">
        <v>19</v>
      </c>
      <c r="M74" s="64">
        <f t="shared" ref="M74:M78" si="58">+K74*J74</f>
        <v>106695.12</v>
      </c>
      <c r="N74" s="64">
        <f t="shared" ref="N74:N78" si="59">M74*0.18</f>
        <v>19205.121599999999</v>
      </c>
      <c r="O74" s="64">
        <f t="shared" ref="O74:O78" si="60">+N74+M74</f>
        <v>125900.24159999999</v>
      </c>
      <c r="P74" s="89" t="s">
        <v>30</v>
      </c>
      <c r="Q74" s="89">
        <v>7786</v>
      </c>
      <c r="R74" s="89" t="s">
        <v>31</v>
      </c>
      <c r="S74" s="64">
        <f t="shared" ref="S74:S78" si="61">O74+0.5</f>
        <v>125900.74159999999</v>
      </c>
      <c r="T74" s="99">
        <v>42604</v>
      </c>
      <c r="U74" s="64">
        <f t="shared" si="46"/>
        <v>-0.5</v>
      </c>
      <c r="V74" s="101" t="s">
        <v>48</v>
      </c>
    </row>
    <row r="75" spans="2:25" s="68" customFormat="1">
      <c r="B75" s="99">
        <v>42579</v>
      </c>
      <c r="C75" s="89" t="s">
        <v>15</v>
      </c>
      <c r="D75" s="63" t="s">
        <v>16</v>
      </c>
      <c r="E75" s="64"/>
      <c r="F75" s="64">
        <v>30900</v>
      </c>
      <c r="G75" s="89"/>
      <c r="H75" s="89" t="s">
        <v>122</v>
      </c>
      <c r="I75" s="100">
        <v>42599</v>
      </c>
      <c r="J75" s="64">
        <v>30900</v>
      </c>
      <c r="K75" s="64">
        <v>3.444</v>
      </c>
      <c r="L75" s="63" t="s">
        <v>19</v>
      </c>
      <c r="M75" s="64">
        <f t="shared" si="58"/>
        <v>106419.59999999999</v>
      </c>
      <c r="N75" s="64">
        <f t="shared" si="59"/>
        <v>19155.527999999998</v>
      </c>
      <c r="O75" s="64">
        <f t="shared" si="60"/>
        <v>125575.128</v>
      </c>
      <c r="P75" s="89" t="s">
        <v>30</v>
      </c>
      <c r="Q75" s="89">
        <v>7787</v>
      </c>
      <c r="R75" s="89" t="s">
        <v>31</v>
      </c>
      <c r="S75" s="64">
        <f t="shared" si="61"/>
        <v>125575.628</v>
      </c>
      <c r="T75" s="99">
        <v>42604</v>
      </c>
      <c r="U75" s="64">
        <f t="shared" si="46"/>
        <v>-0.5</v>
      </c>
      <c r="V75" s="101" t="s">
        <v>48</v>
      </c>
    </row>
    <row r="76" spans="2:25" s="68" customFormat="1">
      <c r="B76" s="99">
        <v>42580</v>
      </c>
      <c r="C76" s="89" t="s">
        <v>15</v>
      </c>
      <c r="D76" s="63" t="s">
        <v>16</v>
      </c>
      <c r="E76" s="64"/>
      <c r="F76" s="64">
        <v>34960</v>
      </c>
      <c r="G76" s="89"/>
      <c r="H76" s="89" t="s">
        <v>123</v>
      </c>
      <c r="I76" s="100">
        <v>42599</v>
      </c>
      <c r="J76" s="64">
        <v>34960</v>
      </c>
      <c r="K76" s="64">
        <v>3.444</v>
      </c>
      <c r="L76" s="63" t="s">
        <v>19</v>
      </c>
      <c r="M76" s="64">
        <f t="shared" si="58"/>
        <v>120402.24000000001</v>
      </c>
      <c r="N76" s="64">
        <f t="shared" si="59"/>
        <v>21672.403200000001</v>
      </c>
      <c r="O76" s="64">
        <f t="shared" si="60"/>
        <v>142074.64319999999</v>
      </c>
      <c r="P76" s="89" t="s">
        <v>30</v>
      </c>
      <c r="Q76" s="89">
        <v>7788</v>
      </c>
      <c r="R76" s="89" t="s">
        <v>31</v>
      </c>
      <c r="S76" s="64">
        <f t="shared" si="61"/>
        <v>142075.14319999999</v>
      </c>
      <c r="T76" s="99">
        <v>42604</v>
      </c>
      <c r="U76" s="64">
        <f t="shared" si="46"/>
        <v>-0.5</v>
      </c>
      <c r="V76" s="101" t="s">
        <v>48</v>
      </c>
    </row>
    <row r="77" spans="2:25" s="68" customFormat="1">
      <c r="B77" s="99">
        <v>42581</v>
      </c>
      <c r="C77" s="89" t="s">
        <v>15</v>
      </c>
      <c r="D77" s="63" t="s">
        <v>16</v>
      </c>
      <c r="E77" s="64"/>
      <c r="F77" s="64">
        <v>17500</v>
      </c>
      <c r="G77" s="89"/>
      <c r="H77" s="89" t="s">
        <v>124</v>
      </c>
      <c r="I77" s="100">
        <v>42599</v>
      </c>
      <c r="J77" s="64">
        <v>17500</v>
      </c>
      <c r="K77" s="64">
        <v>3.444</v>
      </c>
      <c r="L77" s="63" t="s">
        <v>19</v>
      </c>
      <c r="M77" s="64">
        <f t="shared" si="58"/>
        <v>60270</v>
      </c>
      <c r="N77" s="64">
        <f t="shared" si="59"/>
        <v>10848.6</v>
      </c>
      <c r="O77" s="64">
        <f t="shared" si="60"/>
        <v>71118.600000000006</v>
      </c>
      <c r="P77" s="89" t="s">
        <v>30</v>
      </c>
      <c r="Q77" s="89">
        <v>7789</v>
      </c>
      <c r="R77" s="89" t="s">
        <v>31</v>
      </c>
      <c r="S77" s="64">
        <f t="shared" si="61"/>
        <v>71119.100000000006</v>
      </c>
      <c r="T77" s="99">
        <v>42604</v>
      </c>
      <c r="U77" s="64">
        <f t="shared" si="46"/>
        <v>-0.5</v>
      </c>
      <c r="V77" s="101" t="s">
        <v>48</v>
      </c>
    </row>
    <row r="78" spans="2:25" s="68" customFormat="1" ht="15.75" thickBot="1">
      <c r="B78" s="99">
        <v>42581</v>
      </c>
      <c r="C78" s="89" t="s">
        <v>15</v>
      </c>
      <c r="D78" s="63" t="s">
        <v>16</v>
      </c>
      <c r="E78" s="64"/>
      <c r="F78" s="64">
        <v>34940</v>
      </c>
      <c r="G78" s="89"/>
      <c r="H78" s="89" t="s">
        <v>125</v>
      </c>
      <c r="I78" s="100">
        <v>42599</v>
      </c>
      <c r="J78" s="64">
        <v>34940</v>
      </c>
      <c r="K78" s="64">
        <v>3.444</v>
      </c>
      <c r="L78" s="63" t="s">
        <v>19</v>
      </c>
      <c r="M78" s="64">
        <f t="shared" si="58"/>
        <v>120333.36</v>
      </c>
      <c r="N78" s="64">
        <f t="shared" si="59"/>
        <v>21660.004799999999</v>
      </c>
      <c r="O78" s="64">
        <f t="shared" si="60"/>
        <v>141993.36480000001</v>
      </c>
      <c r="P78" s="89" t="s">
        <v>30</v>
      </c>
      <c r="Q78" s="89">
        <v>7790</v>
      </c>
      <c r="R78" s="89" t="s">
        <v>31</v>
      </c>
      <c r="S78" s="64">
        <f t="shared" si="61"/>
        <v>141993.86480000001</v>
      </c>
      <c r="T78" s="99">
        <v>42604</v>
      </c>
      <c r="U78" s="64">
        <f t="shared" si="46"/>
        <v>-0.5</v>
      </c>
      <c r="V78" s="101" t="s">
        <v>48</v>
      </c>
    </row>
    <row r="79" spans="2:25" s="66" customFormat="1">
      <c r="B79" s="112">
        <v>42577</v>
      </c>
      <c r="C79" s="113" t="s">
        <v>33</v>
      </c>
      <c r="D79" s="114" t="s">
        <v>16</v>
      </c>
      <c r="E79" s="81">
        <v>1475</v>
      </c>
      <c r="F79" s="81">
        <v>1486</v>
      </c>
      <c r="G79" s="113"/>
      <c r="H79" s="113" t="s">
        <v>126</v>
      </c>
      <c r="I79" s="115">
        <v>42599</v>
      </c>
      <c r="J79" s="116">
        <v>1475</v>
      </c>
      <c r="K79" s="81">
        <v>30</v>
      </c>
      <c r="L79" s="114" t="s">
        <v>19</v>
      </c>
      <c r="M79" s="81">
        <f>+K79*J79</f>
        <v>44250</v>
      </c>
      <c r="N79" s="81">
        <f>M79*0.18</f>
        <v>7965</v>
      </c>
      <c r="O79" s="81">
        <f>+N79+M79</f>
        <v>52215</v>
      </c>
      <c r="P79" s="113"/>
      <c r="Q79" s="113">
        <v>7922</v>
      </c>
      <c r="R79" s="113" t="s">
        <v>31</v>
      </c>
      <c r="S79" s="81">
        <v>103508.306</v>
      </c>
      <c r="T79" s="117">
        <v>42647</v>
      </c>
      <c r="U79" s="118">
        <f>+O79+O80+O81-S79</f>
        <v>-0.49959999998100102</v>
      </c>
      <c r="V79" s="65" t="s">
        <v>48</v>
      </c>
    </row>
    <row r="80" spans="2:25" s="66" customFormat="1">
      <c r="B80" s="119">
        <v>42577</v>
      </c>
      <c r="C80" s="89" t="s">
        <v>17</v>
      </c>
      <c r="D80" s="63" t="s">
        <v>16</v>
      </c>
      <c r="E80" s="64"/>
      <c r="F80" s="64">
        <v>7528</v>
      </c>
      <c r="G80" s="89"/>
      <c r="H80" s="89"/>
      <c r="I80" s="100"/>
      <c r="J80" s="64">
        <v>7528</v>
      </c>
      <c r="K80" s="64">
        <v>3.7280000000000002</v>
      </c>
      <c r="L80" s="63" t="s">
        <v>19</v>
      </c>
      <c r="M80" s="64">
        <f>+K80*J80</f>
        <v>28064.384000000002</v>
      </c>
      <c r="N80" s="64">
        <f>M80*0.18</f>
        <v>5051.5891200000005</v>
      </c>
      <c r="O80" s="64">
        <f>+N80+M80</f>
        <v>33115.973120000002</v>
      </c>
      <c r="P80" s="89"/>
      <c r="Q80" s="89"/>
      <c r="R80" s="89"/>
      <c r="S80" s="64"/>
      <c r="T80" s="99"/>
      <c r="U80" s="120"/>
      <c r="V80" s="65"/>
    </row>
    <row r="81" spans="2:24" s="66" customFormat="1" ht="15.75" thickBot="1">
      <c r="B81" s="121">
        <v>42578</v>
      </c>
      <c r="C81" s="122" t="s">
        <v>17</v>
      </c>
      <c r="D81" s="123" t="s">
        <v>16</v>
      </c>
      <c r="E81" s="82"/>
      <c r="F81" s="82">
        <v>4132</v>
      </c>
      <c r="G81" s="122"/>
      <c r="H81" s="122"/>
      <c r="I81" s="124"/>
      <c r="J81" s="82">
        <v>4132</v>
      </c>
      <c r="K81" s="82">
        <v>3.7280000000000002</v>
      </c>
      <c r="L81" s="123" t="s">
        <v>19</v>
      </c>
      <c r="M81" s="82">
        <f>+K81*J81</f>
        <v>15404.096000000001</v>
      </c>
      <c r="N81" s="82">
        <f>M81*0.18</f>
        <v>2772.7372800000003</v>
      </c>
      <c r="O81" s="82">
        <f>+N81+M81</f>
        <v>18176.833280000003</v>
      </c>
      <c r="P81" s="122"/>
      <c r="Q81" s="122"/>
      <c r="R81" s="122"/>
      <c r="S81" s="82"/>
      <c r="T81" s="125"/>
      <c r="U81" s="126"/>
      <c r="V81" s="65"/>
    </row>
    <row r="82" spans="2:24" s="96" customFormat="1">
      <c r="B82" s="60">
        <v>42585</v>
      </c>
      <c r="C82" s="59" t="s">
        <v>15</v>
      </c>
      <c r="D82" s="61" t="s">
        <v>16</v>
      </c>
      <c r="E82" s="62"/>
      <c r="F82" s="62">
        <v>14820</v>
      </c>
      <c r="G82" s="59"/>
      <c r="H82" s="113" t="s">
        <v>128</v>
      </c>
      <c r="I82" s="98">
        <v>42638</v>
      </c>
      <c r="J82" s="62">
        <v>14820</v>
      </c>
      <c r="K82" s="62">
        <v>3.4369999999999998</v>
      </c>
      <c r="L82" s="128" t="s">
        <v>34</v>
      </c>
      <c r="M82" s="64">
        <f>+K82*J82</f>
        <v>50936.34</v>
      </c>
      <c r="N82" s="64">
        <f>M82*0.18</f>
        <v>9168.5411999999997</v>
      </c>
      <c r="O82" s="64">
        <f>+N82+M82</f>
        <v>60104.881199999996</v>
      </c>
      <c r="P82" s="62" t="s">
        <v>30</v>
      </c>
      <c r="Q82" s="59">
        <v>6180029</v>
      </c>
      <c r="R82" s="59" t="s">
        <v>150</v>
      </c>
      <c r="S82" s="62">
        <v>60105.381000000001</v>
      </c>
      <c r="T82" s="60">
        <v>42647</v>
      </c>
      <c r="U82" s="64">
        <f t="shared" ref="U82:U88" si="62">+O82-S82</f>
        <v>-0.49980000000505242</v>
      </c>
      <c r="V82" s="65" t="s">
        <v>48</v>
      </c>
      <c r="X82" s="67"/>
    </row>
    <row r="83" spans="2:24" s="96" customFormat="1">
      <c r="B83" s="60">
        <v>42586</v>
      </c>
      <c r="C83" s="59" t="s">
        <v>15</v>
      </c>
      <c r="D83" s="61" t="s">
        <v>16</v>
      </c>
      <c r="E83" s="62"/>
      <c r="F83" s="62">
        <v>21620</v>
      </c>
      <c r="G83" s="59"/>
      <c r="H83" s="59" t="s">
        <v>129</v>
      </c>
      <c r="I83" s="98">
        <v>42638</v>
      </c>
      <c r="J83" s="62">
        <f>21620-60</f>
        <v>21560</v>
      </c>
      <c r="K83" s="62">
        <v>3.4369999999999998</v>
      </c>
      <c r="L83" s="63" t="s">
        <v>19</v>
      </c>
      <c r="M83" s="64">
        <f t="shared" ref="M83:M88" si="63">+K83*J83</f>
        <v>74101.72</v>
      </c>
      <c r="N83" s="64">
        <f t="shared" ref="N83:N88" si="64">M83*0.18</f>
        <v>13338.309600000001</v>
      </c>
      <c r="O83" s="64">
        <f t="shared" ref="O83:O88" si="65">+N83+M83</f>
        <v>87440.029600000009</v>
      </c>
      <c r="P83" s="62" t="s">
        <v>30</v>
      </c>
      <c r="Q83" s="59">
        <v>7921</v>
      </c>
      <c r="R83" s="59" t="s">
        <v>31</v>
      </c>
      <c r="S83" s="62">
        <v>87440.53</v>
      </c>
      <c r="T83" s="60">
        <v>42647</v>
      </c>
      <c r="U83" s="64">
        <f t="shared" si="62"/>
        <v>-0.50039999998989515</v>
      </c>
      <c r="V83" s="65" t="s">
        <v>48</v>
      </c>
      <c r="X83" s="67"/>
    </row>
    <row r="84" spans="2:24" s="96" customFormat="1">
      <c r="B84" s="60">
        <v>42590</v>
      </c>
      <c r="C84" s="59" t="s">
        <v>15</v>
      </c>
      <c r="D84" s="61" t="s">
        <v>16</v>
      </c>
      <c r="E84" s="62"/>
      <c r="F84" s="62">
        <v>37320</v>
      </c>
      <c r="G84" s="59"/>
      <c r="H84" s="59" t="s">
        <v>130</v>
      </c>
      <c r="I84" s="98">
        <v>42638</v>
      </c>
      <c r="J84" s="62">
        <v>37320</v>
      </c>
      <c r="K84" s="62">
        <v>3.4369999999999998</v>
      </c>
      <c r="L84" s="63" t="s">
        <v>19</v>
      </c>
      <c r="M84" s="64">
        <f t="shared" si="63"/>
        <v>128268.84</v>
      </c>
      <c r="N84" s="64">
        <f t="shared" si="64"/>
        <v>23088.391199999998</v>
      </c>
      <c r="O84" s="64">
        <f t="shared" si="65"/>
        <v>151357.23119999998</v>
      </c>
      <c r="P84" s="62" t="s">
        <v>30</v>
      </c>
      <c r="Q84" s="59">
        <v>7920</v>
      </c>
      <c r="R84" s="59" t="s">
        <v>31</v>
      </c>
      <c r="S84" s="62">
        <v>151357.731</v>
      </c>
      <c r="T84" s="60">
        <v>42647</v>
      </c>
      <c r="U84" s="64">
        <f t="shared" si="62"/>
        <v>-0.49980000001960434</v>
      </c>
      <c r="V84" s="65" t="s">
        <v>48</v>
      </c>
      <c r="W84" s="127"/>
      <c r="X84" s="67"/>
    </row>
    <row r="85" spans="2:24" s="96" customFormat="1">
      <c r="B85" s="60">
        <v>42595</v>
      </c>
      <c r="C85" s="59" t="s">
        <v>15</v>
      </c>
      <c r="D85" s="61" t="s">
        <v>16</v>
      </c>
      <c r="E85" s="62"/>
      <c r="F85" s="62">
        <v>30520</v>
      </c>
      <c r="G85" s="59"/>
      <c r="H85" s="59" t="s">
        <v>131</v>
      </c>
      <c r="I85" s="98">
        <v>42638</v>
      </c>
      <c r="J85" s="62">
        <v>30520</v>
      </c>
      <c r="K85" s="62">
        <v>3.4369999999999998</v>
      </c>
      <c r="L85" s="63" t="s">
        <v>19</v>
      </c>
      <c r="M85" s="64">
        <f t="shared" si="63"/>
        <v>104897.23999999999</v>
      </c>
      <c r="N85" s="64">
        <f t="shared" si="64"/>
        <v>18881.503199999999</v>
      </c>
      <c r="O85" s="64">
        <f t="shared" si="65"/>
        <v>123778.7432</v>
      </c>
      <c r="P85" s="62" t="s">
        <v>30</v>
      </c>
      <c r="Q85" s="59">
        <v>7919</v>
      </c>
      <c r="R85" s="59" t="s">
        <v>31</v>
      </c>
      <c r="S85" s="62">
        <v>123779.243</v>
      </c>
      <c r="T85" s="60">
        <v>42647</v>
      </c>
      <c r="U85" s="64">
        <f t="shared" si="62"/>
        <v>-0.49980000000505242</v>
      </c>
      <c r="V85" s="65" t="s">
        <v>48</v>
      </c>
      <c r="X85" s="67"/>
    </row>
    <row r="86" spans="2:24" s="96" customFormat="1">
      <c r="B86" s="60">
        <v>42597</v>
      </c>
      <c r="C86" s="59" t="s">
        <v>15</v>
      </c>
      <c r="D86" s="61" t="s">
        <v>16</v>
      </c>
      <c r="E86" s="62"/>
      <c r="F86" s="62">
        <v>21360</v>
      </c>
      <c r="G86" s="59"/>
      <c r="H86" s="59" t="s">
        <v>132</v>
      </c>
      <c r="I86" s="98">
        <v>42638</v>
      </c>
      <c r="J86" s="62">
        <v>21360</v>
      </c>
      <c r="K86" s="62">
        <v>3.4369999999999998</v>
      </c>
      <c r="L86" s="63" t="s">
        <v>19</v>
      </c>
      <c r="M86" s="64">
        <f t="shared" si="63"/>
        <v>73414.319999999992</v>
      </c>
      <c r="N86" s="64">
        <f t="shared" si="64"/>
        <v>13214.577599999999</v>
      </c>
      <c r="O86" s="64">
        <f t="shared" si="65"/>
        <v>86628.897599999997</v>
      </c>
      <c r="P86" s="62" t="s">
        <v>30</v>
      </c>
      <c r="Q86" s="59">
        <v>7917</v>
      </c>
      <c r="R86" s="59" t="s">
        <v>31</v>
      </c>
      <c r="S86" s="62">
        <v>86629.398000000001</v>
      </c>
      <c r="T86" s="60">
        <v>42647</v>
      </c>
      <c r="U86" s="64">
        <f t="shared" si="62"/>
        <v>-0.50040000000444707</v>
      </c>
      <c r="V86" s="65" t="s">
        <v>48</v>
      </c>
      <c r="X86" s="67"/>
    </row>
    <row r="87" spans="2:24" s="96" customFormat="1">
      <c r="B87" s="60">
        <v>42602</v>
      </c>
      <c r="C87" s="59" t="s">
        <v>15</v>
      </c>
      <c r="D87" s="61" t="s">
        <v>16</v>
      </c>
      <c r="E87" s="62"/>
      <c r="F87" s="62">
        <v>31680</v>
      </c>
      <c r="G87" s="59"/>
      <c r="H87" s="59" t="s">
        <v>133</v>
      </c>
      <c r="I87" s="98">
        <v>42638</v>
      </c>
      <c r="J87" s="62">
        <v>31680</v>
      </c>
      <c r="K87" s="62">
        <v>3.4369999999999998</v>
      </c>
      <c r="L87" s="128" t="s">
        <v>34</v>
      </c>
      <c r="M87" s="64">
        <f t="shared" si="63"/>
        <v>108884.15999999999</v>
      </c>
      <c r="N87" s="64">
        <f t="shared" si="64"/>
        <v>19599.148799999999</v>
      </c>
      <c r="O87" s="64">
        <f t="shared" si="65"/>
        <v>128483.30879999998</v>
      </c>
      <c r="P87" s="62" t="s">
        <v>30</v>
      </c>
      <c r="Q87" s="59">
        <v>6180027</v>
      </c>
      <c r="R87" s="59" t="s">
        <v>150</v>
      </c>
      <c r="S87" s="62">
        <v>128483.80899999999</v>
      </c>
      <c r="T87" s="60">
        <v>42647</v>
      </c>
      <c r="U87" s="64">
        <f t="shared" si="62"/>
        <v>-0.50020000000949949</v>
      </c>
      <c r="V87" s="65" t="s">
        <v>48</v>
      </c>
      <c r="X87" s="67"/>
    </row>
    <row r="88" spans="2:24" s="96" customFormat="1" ht="15.75" thickBot="1">
      <c r="B88" s="60">
        <v>42607</v>
      </c>
      <c r="C88" s="59" t="s">
        <v>17</v>
      </c>
      <c r="D88" s="61" t="s">
        <v>16</v>
      </c>
      <c r="E88" s="62"/>
      <c r="F88" s="62">
        <v>6622</v>
      </c>
      <c r="G88" s="59"/>
      <c r="H88" s="59" t="s">
        <v>134</v>
      </c>
      <c r="I88" s="98">
        <v>42638</v>
      </c>
      <c r="J88" s="62">
        <v>6622</v>
      </c>
      <c r="K88" s="62">
        <v>3.72</v>
      </c>
      <c r="L88" s="63" t="s">
        <v>19</v>
      </c>
      <c r="M88" s="62">
        <f t="shared" si="63"/>
        <v>24633.84</v>
      </c>
      <c r="N88" s="62">
        <f t="shared" si="64"/>
        <v>4434.0911999999998</v>
      </c>
      <c r="O88" s="62">
        <f t="shared" si="65"/>
        <v>29067.931199999999</v>
      </c>
      <c r="P88" s="62" t="s">
        <v>30</v>
      </c>
      <c r="Q88" s="59">
        <v>7916</v>
      </c>
      <c r="R88" s="59" t="s">
        <v>31</v>
      </c>
      <c r="S88" s="62">
        <v>29068.431</v>
      </c>
      <c r="T88" s="60">
        <v>42647</v>
      </c>
      <c r="U88" s="64">
        <f t="shared" si="62"/>
        <v>-0.49980000000141445</v>
      </c>
      <c r="V88" s="65" t="s">
        <v>48</v>
      </c>
    </row>
    <row r="89" spans="2:24" s="66" customFormat="1">
      <c r="B89" s="112">
        <v>42636</v>
      </c>
      <c r="C89" s="113" t="s">
        <v>17</v>
      </c>
      <c r="D89" s="114" t="s">
        <v>16</v>
      </c>
      <c r="E89" s="81"/>
      <c r="F89" s="81">
        <v>4976</v>
      </c>
      <c r="G89" s="113"/>
      <c r="H89" s="113" t="s">
        <v>135</v>
      </c>
      <c r="I89" s="115">
        <v>42648</v>
      </c>
      <c r="J89" s="81">
        <v>4976</v>
      </c>
      <c r="K89" s="81">
        <v>3.9249999999999998</v>
      </c>
      <c r="L89" s="140" t="s">
        <v>34</v>
      </c>
      <c r="M89" s="81">
        <f t="shared" ref="M89:M93" si="66">+K89*J89</f>
        <v>19530.8</v>
      </c>
      <c r="N89" s="81">
        <f t="shared" ref="N89:N93" si="67">M89*0.18</f>
        <v>3515.5439999999999</v>
      </c>
      <c r="O89" s="81">
        <f t="shared" ref="O89:O93" si="68">+N89+M89</f>
        <v>23046.343999999997</v>
      </c>
      <c r="P89" s="81" t="s">
        <v>30</v>
      </c>
      <c r="Q89" s="113">
        <v>3597</v>
      </c>
      <c r="R89" s="113" t="s">
        <v>31</v>
      </c>
      <c r="S89" s="81">
        <v>70007.513999999996</v>
      </c>
      <c r="T89" s="117"/>
      <c r="U89" s="118">
        <f>O89+O90+O91+O92-S89</f>
        <v>-0.49996000000101048</v>
      </c>
      <c r="V89" s="65" t="s">
        <v>48</v>
      </c>
    </row>
    <row r="90" spans="2:24" s="66" customFormat="1">
      <c r="B90" s="189">
        <v>42636</v>
      </c>
      <c r="C90" s="89" t="s">
        <v>17</v>
      </c>
      <c r="D90" s="63" t="s">
        <v>16</v>
      </c>
      <c r="E90" s="64"/>
      <c r="F90" s="190">
        <v>4704</v>
      </c>
      <c r="G90" s="89"/>
      <c r="H90" s="89"/>
      <c r="I90" s="89"/>
      <c r="J90" s="64">
        <f>4704-J91</f>
        <v>1140</v>
      </c>
      <c r="K90" s="64">
        <v>3.9249999999999998</v>
      </c>
      <c r="L90" s="128" t="s">
        <v>34</v>
      </c>
      <c r="M90" s="64">
        <f t="shared" si="66"/>
        <v>4474.5</v>
      </c>
      <c r="N90" s="64">
        <f t="shared" si="67"/>
        <v>805.41</v>
      </c>
      <c r="O90" s="64">
        <f t="shared" si="68"/>
        <v>5279.91</v>
      </c>
      <c r="P90" s="64"/>
      <c r="Q90" s="89"/>
      <c r="R90" s="89"/>
      <c r="S90" s="64"/>
      <c r="T90" s="99"/>
      <c r="U90" s="120"/>
      <c r="V90" s="65"/>
    </row>
    <row r="91" spans="2:24" s="66" customFormat="1">
      <c r="B91" s="189"/>
      <c r="C91" s="89" t="s">
        <v>15</v>
      </c>
      <c r="D91" s="63" t="s">
        <v>16</v>
      </c>
      <c r="E91" s="64"/>
      <c r="F91" s="190"/>
      <c r="G91" s="89"/>
      <c r="H91" s="89"/>
      <c r="I91" s="89"/>
      <c r="J91" s="64">
        <v>3564</v>
      </c>
      <c r="K91" s="64">
        <v>3.6269999999999998</v>
      </c>
      <c r="L91" s="128" t="s">
        <v>34</v>
      </c>
      <c r="M91" s="64">
        <f t="shared" ref="M91" si="69">+K91*J91</f>
        <v>12926.627999999999</v>
      </c>
      <c r="N91" s="64">
        <f t="shared" ref="N91" si="70">M91*0.18</f>
        <v>2326.7930399999996</v>
      </c>
      <c r="O91" s="64">
        <f t="shared" ref="O91" si="71">+N91+M91</f>
        <v>15253.421039999997</v>
      </c>
      <c r="P91" s="64"/>
      <c r="Q91" s="89"/>
      <c r="R91" s="89"/>
      <c r="S91" s="64"/>
      <c r="T91" s="99"/>
      <c r="U91" s="120"/>
      <c r="V91" s="65"/>
    </row>
    <row r="92" spans="2:24" s="66" customFormat="1" ht="15.75" thickBot="1">
      <c r="B92" s="121">
        <v>42639</v>
      </c>
      <c r="C92" s="122" t="s">
        <v>17</v>
      </c>
      <c r="D92" s="123" t="s">
        <v>16</v>
      </c>
      <c r="E92" s="82"/>
      <c r="F92" s="82">
        <v>5706</v>
      </c>
      <c r="G92" s="122"/>
      <c r="H92" s="122"/>
      <c r="I92" s="122"/>
      <c r="J92" s="82">
        <v>5706</v>
      </c>
      <c r="K92" s="82">
        <v>3.9249999999999998</v>
      </c>
      <c r="L92" s="141" t="s">
        <v>34</v>
      </c>
      <c r="M92" s="82">
        <f t="shared" si="66"/>
        <v>22396.05</v>
      </c>
      <c r="N92" s="82">
        <f t="shared" si="67"/>
        <v>4031.2889999999998</v>
      </c>
      <c r="O92" s="82">
        <f t="shared" si="68"/>
        <v>26427.339</v>
      </c>
      <c r="P92" s="82"/>
      <c r="Q92" s="122"/>
      <c r="R92" s="122"/>
      <c r="S92" s="82"/>
      <c r="T92" s="125"/>
      <c r="U92" s="126"/>
      <c r="V92" s="65"/>
    </row>
    <row r="93" spans="2:24" s="66" customFormat="1">
      <c r="B93" s="60">
        <v>42643</v>
      </c>
      <c r="C93" s="59" t="s">
        <v>15</v>
      </c>
      <c r="D93" s="61" t="s">
        <v>16</v>
      </c>
      <c r="E93" s="62">
        <v>27434</v>
      </c>
      <c r="F93" s="62">
        <v>27440</v>
      </c>
      <c r="G93" s="59"/>
      <c r="H93" s="59" t="s">
        <v>136</v>
      </c>
      <c r="I93" s="98">
        <v>42648</v>
      </c>
      <c r="J93" s="62">
        <v>27440</v>
      </c>
      <c r="K93" s="62">
        <v>3.6269999999999998</v>
      </c>
      <c r="L93" s="147" t="s">
        <v>34</v>
      </c>
      <c r="M93" s="62">
        <f t="shared" si="66"/>
        <v>99524.87999999999</v>
      </c>
      <c r="N93" s="62">
        <f t="shared" si="67"/>
        <v>17914.478399999996</v>
      </c>
      <c r="O93" s="62">
        <f t="shared" si="68"/>
        <v>117439.35839999998</v>
      </c>
      <c r="P93" s="62" t="s">
        <v>30</v>
      </c>
      <c r="Q93" s="59">
        <v>3598</v>
      </c>
      <c r="R93" s="59" t="s">
        <v>31</v>
      </c>
      <c r="S93" s="62">
        <v>117439.85799999999</v>
      </c>
      <c r="T93" s="60"/>
      <c r="U93" s="62">
        <f>+O93-S93</f>
        <v>-0.49960000001010485</v>
      </c>
      <c r="V93" s="65" t="s">
        <v>48</v>
      </c>
    </row>
    <row r="94" spans="2:24" s="108" customFormat="1">
      <c r="B94" s="60">
        <v>42646</v>
      </c>
      <c r="C94" s="59" t="s">
        <v>15</v>
      </c>
      <c r="D94" s="61" t="s">
        <v>16</v>
      </c>
      <c r="E94" s="62">
        <v>31380</v>
      </c>
      <c r="F94" s="62">
        <v>31380</v>
      </c>
      <c r="G94" s="59"/>
      <c r="H94" s="59" t="s">
        <v>143</v>
      </c>
      <c r="I94" s="98">
        <v>42674</v>
      </c>
      <c r="J94" s="62">
        <v>31380</v>
      </c>
      <c r="K94" s="62">
        <v>3.867</v>
      </c>
      <c r="L94" s="147" t="s">
        <v>34</v>
      </c>
      <c r="M94" s="62">
        <f t="shared" ref="M94:M100" si="72">+K94*J94</f>
        <v>121346.46</v>
      </c>
      <c r="N94" s="62">
        <f t="shared" ref="N94:N100" si="73">M94*0.18</f>
        <v>21842.362799999999</v>
      </c>
      <c r="O94" s="62">
        <f t="shared" ref="O94:O100" si="74">+N94+M94</f>
        <v>143188.82279999999</v>
      </c>
      <c r="P94" s="62" t="s">
        <v>30</v>
      </c>
      <c r="Q94" s="59">
        <v>3594</v>
      </c>
      <c r="R94" s="59" t="s">
        <v>31</v>
      </c>
      <c r="S94" s="62">
        <v>143189.323</v>
      </c>
      <c r="T94" s="60"/>
      <c r="U94" s="62">
        <f>+O94-S94</f>
        <v>-0.50020000000949949</v>
      </c>
      <c r="V94" s="65" t="s">
        <v>48</v>
      </c>
    </row>
    <row r="95" spans="2:24" s="108" customFormat="1">
      <c r="B95" s="60">
        <v>42655</v>
      </c>
      <c r="C95" s="59" t="s">
        <v>15</v>
      </c>
      <c r="D95" s="61" t="s">
        <v>16</v>
      </c>
      <c r="E95" s="62">
        <v>39790</v>
      </c>
      <c r="F95" s="62">
        <v>40020</v>
      </c>
      <c r="G95" s="59"/>
      <c r="H95" s="59" t="s">
        <v>144</v>
      </c>
      <c r="I95" s="98">
        <v>42674</v>
      </c>
      <c r="J95" s="62">
        <v>40020</v>
      </c>
      <c r="K95" s="62">
        <v>3.867</v>
      </c>
      <c r="L95" s="147" t="s">
        <v>34</v>
      </c>
      <c r="M95" s="62">
        <f t="shared" si="72"/>
        <v>154757.34</v>
      </c>
      <c r="N95" s="62">
        <f t="shared" si="73"/>
        <v>27856.321199999998</v>
      </c>
      <c r="O95" s="62">
        <f t="shared" si="74"/>
        <v>182613.6612</v>
      </c>
      <c r="P95" s="62" t="s">
        <v>30</v>
      </c>
      <c r="Q95" s="59">
        <v>3596</v>
      </c>
      <c r="R95" s="59" t="s">
        <v>31</v>
      </c>
      <c r="S95" s="62">
        <v>182614.16099999999</v>
      </c>
      <c r="T95" s="60"/>
      <c r="U95" s="62">
        <f>+O95-S95</f>
        <v>-0.49979999999050051</v>
      </c>
      <c r="V95" s="65" t="s">
        <v>48</v>
      </c>
    </row>
    <row r="96" spans="2:24" s="108" customFormat="1" ht="15.75" thickBot="1">
      <c r="B96" s="60">
        <v>42664</v>
      </c>
      <c r="C96" s="59" t="s">
        <v>15</v>
      </c>
      <c r="D96" s="61" t="s">
        <v>16</v>
      </c>
      <c r="E96" s="62"/>
      <c r="F96" s="62">
        <v>29860</v>
      </c>
      <c r="G96" s="59"/>
      <c r="H96" s="59" t="s">
        <v>145</v>
      </c>
      <c r="I96" s="98">
        <v>42674</v>
      </c>
      <c r="J96" s="62">
        <v>29860</v>
      </c>
      <c r="K96" s="62">
        <v>3.867</v>
      </c>
      <c r="L96" s="147" t="s">
        <v>34</v>
      </c>
      <c r="M96" s="62">
        <f t="shared" si="72"/>
        <v>115468.62</v>
      </c>
      <c r="N96" s="62">
        <f t="shared" si="73"/>
        <v>20784.351599999998</v>
      </c>
      <c r="O96" s="62">
        <f t="shared" si="74"/>
        <v>136252.97159999999</v>
      </c>
      <c r="P96" s="62" t="s">
        <v>30</v>
      </c>
      <c r="Q96" s="59">
        <v>3595</v>
      </c>
      <c r="R96" s="59" t="s">
        <v>31</v>
      </c>
      <c r="S96" s="62">
        <v>136253.47200000001</v>
      </c>
      <c r="T96" s="60"/>
      <c r="U96" s="62">
        <f>+O96-S96</f>
        <v>-0.50040000001899898</v>
      </c>
      <c r="V96" s="65" t="s">
        <v>48</v>
      </c>
    </row>
    <row r="97" spans="2:22" s="108" customFormat="1">
      <c r="B97" s="112">
        <v>42655</v>
      </c>
      <c r="C97" s="113" t="s">
        <v>17</v>
      </c>
      <c r="D97" s="114" t="s">
        <v>16</v>
      </c>
      <c r="E97" s="81"/>
      <c r="F97" s="81">
        <v>5026</v>
      </c>
      <c r="G97" s="113"/>
      <c r="H97" s="113" t="s">
        <v>142</v>
      </c>
      <c r="I97" s="115">
        <v>42674</v>
      </c>
      <c r="J97" s="81">
        <v>5026</v>
      </c>
      <c r="K97" s="81">
        <v>4.1849999999999996</v>
      </c>
      <c r="L97" s="140" t="s">
        <v>34</v>
      </c>
      <c r="M97" s="81">
        <f t="shared" si="72"/>
        <v>21033.809999999998</v>
      </c>
      <c r="N97" s="81">
        <f t="shared" si="73"/>
        <v>3786.0857999999994</v>
      </c>
      <c r="O97" s="81">
        <f t="shared" si="74"/>
        <v>24819.895799999998</v>
      </c>
      <c r="P97" s="113" t="s">
        <v>30</v>
      </c>
      <c r="Q97" s="113">
        <v>3593</v>
      </c>
      <c r="R97" s="113" t="s">
        <v>31</v>
      </c>
      <c r="S97" s="81">
        <v>79897.255999999994</v>
      </c>
      <c r="T97" s="117"/>
      <c r="U97" s="118">
        <f>+O97+O98+O99-S97</f>
        <v>-0.50030000001424924</v>
      </c>
      <c r="V97" s="65" t="s">
        <v>48</v>
      </c>
    </row>
    <row r="98" spans="2:22" s="108" customFormat="1">
      <c r="B98" s="119">
        <v>42656</v>
      </c>
      <c r="C98" s="89" t="s">
        <v>17</v>
      </c>
      <c r="D98" s="63" t="s">
        <v>16</v>
      </c>
      <c r="E98" s="64"/>
      <c r="F98" s="64">
        <v>5850</v>
      </c>
      <c r="G98" s="89"/>
      <c r="H98" s="89"/>
      <c r="I98" s="89"/>
      <c r="J98" s="64">
        <v>5850</v>
      </c>
      <c r="K98" s="64">
        <v>4.1849999999999996</v>
      </c>
      <c r="L98" s="128" t="s">
        <v>34</v>
      </c>
      <c r="M98" s="64">
        <f t="shared" si="72"/>
        <v>24482.249999999996</v>
      </c>
      <c r="N98" s="64">
        <f t="shared" si="73"/>
        <v>4406.8049999999994</v>
      </c>
      <c r="O98" s="64">
        <f t="shared" si="74"/>
        <v>28889.054999999997</v>
      </c>
      <c r="P98" s="89"/>
      <c r="Q98" s="89"/>
      <c r="R98" s="89"/>
      <c r="S98" s="64"/>
      <c r="T98" s="99"/>
      <c r="U98" s="120"/>
      <c r="V98" s="142"/>
    </row>
    <row r="99" spans="2:22" s="108" customFormat="1" ht="15.75" thickBot="1">
      <c r="B99" s="121">
        <v>42671</v>
      </c>
      <c r="C99" s="122" t="s">
        <v>17</v>
      </c>
      <c r="D99" s="123" t="s">
        <v>16</v>
      </c>
      <c r="E99" s="82"/>
      <c r="F99" s="82">
        <v>5303</v>
      </c>
      <c r="G99" s="122"/>
      <c r="H99" s="122"/>
      <c r="I99" s="122"/>
      <c r="J99" s="82">
        <v>5303</v>
      </c>
      <c r="K99" s="82">
        <v>4.1849999999999996</v>
      </c>
      <c r="L99" s="141" t="s">
        <v>34</v>
      </c>
      <c r="M99" s="82">
        <f t="shared" si="72"/>
        <v>22193.054999999997</v>
      </c>
      <c r="N99" s="82">
        <f t="shared" si="73"/>
        <v>3994.7498999999993</v>
      </c>
      <c r="O99" s="82">
        <f t="shared" si="74"/>
        <v>26187.804899999996</v>
      </c>
      <c r="P99" s="122"/>
      <c r="Q99" s="143"/>
      <c r="R99" s="143"/>
      <c r="S99" s="144"/>
      <c r="T99" s="145"/>
      <c r="U99" s="146"/>
      <c r="V99" s="142"/>
    </row>
    <row r="100" spans="2:22">
      <c r="B100" s="34">
        <v>42689</v>
      </c>
      <c r="C100" s="35" t="s">
        <v>33</v>
      </c>
      <c r="D100" s="36" t="s">
        <v>16</v>
      </c>
      <c r="E100" s="37"/>
      <c r="F100" s="37">
        <v>1262</v>
      </c>
      <c r="G100" s="35"/>
      <c r="H100" s="35" t="s">
        <v>36</v>
      </c>
      <c r="I100" s="169">
        <v>42733</v>
      </c>
      <c r="J100" s="37">
        <v>1262</v>
      </c>
      <c r="K100" s="37">
        <v>34</v>
      </c>
      <c r="L100" s="36"/>
      <c r="M100" s="37">
        <f t="shared" si="72"/>
        <v>42908</v>
      </c>
      <c r="N100" s="37">
        <f t="shared" si="73"/>
        <v>7723.44</v>
      </c>
      <c r="O100" s="37">
        <f t="shared" si="74"/>
        <v>50631.44</v>
      </c>
      <c r="P100" s="37" t="s">
        <v>30</v>
      </c>
      <c r="Q100" s="35">
        <v>3665</v>
      </c>
      <c r="R100" s="35" t="s">
        <v>31</v>
      </c>
      <c r="S100" s="37">
        <v>65035.02</v>
      </c>
      <c r="T100" s="38"/>
      <c r="U100" s="118">
        <f>+O100-S100+O101</f>
        <v>-0.49999999999454303</v>
      </c>
      <c r="V100" s="41" t="s">
        <v>48</v>
      </c>
    </row>
    <row r="101" spans="2:22" ht="15.75" thickBot="1">
      <c r="B101" s="50">
        <v>42709</v>
      </c>
      <c r="C101" s="51" t="s">
        <v>33</v>
      </c>
      <c r="D101" s="52" t="s">
        <v>16</v>
      </c>
      <c r="E101" s="53"/>
      <c r="F101" s="53">
        <v>359</v>
      </c>
      <c r="G101" s="51"/>
      <c r="H101" s="51"/>
      <c r="I101" s="51"/>
      <c r="J101" s="53">
        <v>359</v>
      </c>
      <c r="K101" s="53">
        <v>34</v>
      </c>
      <c r="L101" s="52"/>
      <c r="M101" s="82">
        <f>+K101*J101</f>
        <v>12206</v>
      </c>
      <c r="N101" s="82">
        <f>M101*0.18</f>
        <v>2197.08</v>
      </c>
      <c r="O101" s="82">
        <f>+N101+M101</f>
        <v>14403.08</v>
      </c>
      <c r="P101" s="53"/>
      <c r="Q101" s="51"/>
      <c r="R101" s="51"/>
      <c r="S101" s="53"/>
      <c r="T101" s="54"/>
      <c r="U101" s="92"/>
      <c r="V101" s="41"/>
    </row>
    <row r="102" spans="2:22">
      <c r="B102" s="112">
        <v>42695</v>
      </c>
      <c r="C102" s="113" t="s">
        <v>17</v>
      </c>
      <c r="D102" s="114" t="s">
        <v>16</v>
      </c>
      <c r="E102" s="81"/>
      <c r="F102" s="81">
        <v>4362</v>
      </c>
      <c r="G102" s="113"/>
      <c r="H102" s="113" t="s">
        <v>37</v>
      </c>
      <c r="I102" s="115">
        <v>42733</v>
      </c>
      <c r="J102" s="81">
        <v>4362</v>
      </c>
      <c r="K102" s="81">
        <v>4.09</v>
      </c>
      <c r="L102" s="36"/>
      <c r="M102" s="81">
        <f t="shared" ref="M102" si="75">+K102*J102</f>
        <v>17840.579999999998</v>
      </c>
      <c r="N102" s="81">
        <f t="shared" ref="N102" si="76">M102*0.18</f>
        <v>3211.3043999999995</v>
      </c>
      <c r="O102" s="81">
        <f t="shared" ref="O102" si="77">+N102+M102</f>
        <v>21051.884399999999</v>
      </c>
      <c r="P102" s="37" t="s">
        <v>30</v>
      </c>
      <c r="Q102" s="35">
        <v>3666</v>
      </c>
      <c r="R102" s="35" t="s">
        <v>31</v>
      </c>
      <c r="S102" s="37">
        <v>72774.77</v>
      </c>
      <c r="T102" s="38"/>
      <c r="U102" s="118">
        <f>+O102-S102+O103+O104</f>
        <v>-0.50020000000949949</v>
      </c>
      <c r="V102" s="41" t="s">
        <v>48</v>
      </c>
    </row>
    <row r="103" spans="2:22">
      <c r="B103" s="119">
        <v>42695</v>
      </c>
      <c r="C103" s="89" t="s">
        <v>17</v>
      </c>
      <c r="D103" s="63" t="s">
        <v>16</v>
      </c>
      <c r="E103" s="64"/>
      <c r="F103" s="64">
        <v>6440</v>
      </c>
      <c r="G103" s="89"/>
      <c r="H103" s="89"/>
      <c r="I103" s="89"/>
      <c r="J103" s="64">
        <v>6440</v>
      </c>
      <c r="K103" s="64">
        <v>4.09</v>
      </c>
      <c r="L103" s="45"/>
      <c r="M103" s="64">
        <f t="shared" ref="M103:M111" si="78">+K103*J103</f>
        <v>26339.599999999999</v>
      </c>
      <c r="N103" s="64">
        <f t="shared" ref="N103:N111" si="79">M103*0.18</f>
        <v>4741.1279999999997</v>
      </c>
      <c r="O103" s="64">
        <f t="shared" ref="O103:O111" si="80">+N103+M103</f>
        <v>31080.727999999999</v>
      </c>
      <c r="P103" s="46"/>
      <c r="Q103" s="44"/>
      <c r="R103" s="44"/>
      <c r="S103" s="46"/>
      <c r="T103" s="47"/>
      <c r="U103" s="90"/>
      <c r="V103" s="41"/>
    </row>
    <row r="104" spans="2:22" ht="15.75" thickBot="1">
      <c r="B104" s="50">
        <v>42702</v>
      </c>
      <c r="C104" s="51" t="s">
        <v>17</v>
      </c>
      <c r="D104" s="52" t="s">
        <v>16</v>
      </c>
      <c r="E104" s="53"/>
      <c r="F104" s="53">
        <v>4277</v>
      </c>
      <c r="G104" s="51"/>
      <c r="H104" s="51"/>
      <c r="I104" s="51"/>
      <c r="J104" s="53">
        <v>4277</v>
      </c>
      <c r="K104" s="53">
        <v>4.09</v>
      </c>
      <c r="L104" s="52"/>
      <c r="M104" s="82">
        <f>+K104*J104</f>
        <v>17492.93</v>
      </c>
      <c r="N104" s="82">
        <f>M104*0.18</f>
        <v>3148.7273999999998</v>
      </c>
      <c r="O104" s="82">
        <f>+N104+M104</f>
        <v>20641.6574</v>
      </c>
      <c r="P104" s="53"/>
      <c r="Q104" s="51"/>
      <c r="R104" s="51"/>
      <c r="S104" s="53"/>
      <c r="T104" s="54"/>
      <c r="U104" s="92"/>
      <c r="V104" s="41"/>
    </row>
    <row r="105" spans="2:22" ht="15.75" thickBot="1">
      <c r="B105" s="56">
        <v>42695</v>
      </c>
      <c r="C105" s="49" t="s">
        <v>15</v>
      </c>
      <c r="D105" s="57" t="s">
        <v>16</v>
      </c>
      <c r="E105" s="40"/>
      <c r="F105" s="40">
        <v>20800</v>
      </c>
      <c r="G105" s="49"/>
      <c r="H105" s="49" t="s">
        <v>38</v>
      </c>
      <c r="I105" s="170">
        <v>42733</v>
      </c>
      <c r="J105" s="40">
        <v>20800</v>
      </c>
      <c r="K105" s="40">
        <v>4.09</v>
      </c>
      <c r="L105" s="57"/>
      <c r="M105" s="64">
        <f t="shared" si="78"/>
        <v>85072</v>
      </c>
      <c r="N105" s="64">
        <f t="shared" si="79"/>
        <v>15312.96</v>
      </c>
      <c r="O105" s="64">
        <f t="shared" si="80"/>
        <v>100384.95999999999</v>
      </c>
      <c r="P105" s="40" t="s">
        <v>30</v>
      </c>
      <c r="Q105" s="49">
        <v>3667</v>
      </c>
      <c r="R105" s="49" t="s">
        <v>31</v>
      </c>
      <c r="S105" s="40">
        <v>100385.46</v>
      </c>
      <c r="T105" s="56"/>
      <c r="U105" s="62">
        <f>+O105-S105</f>
        <v>-0.50000000001455192</v>
      </c>
      <c r="V105" s="41" t="s">
        <v>48</v>
      </c>
    </row>
    <row r="106" spans="2:22">
      <c r="B106" s="148">
        <v>42709</v>
      </c>
      <c r="C106" s="149" t="s">
        <v>17</v>
      </c>
      <c r="D106" s="150" t="s">
        <v>16</v>
      </c>
      <c r="E106" s="151"/>
      <c r="F106" s="151">
        <v>5786</v>
      </c>
      <c r="G106" s="149"/>
      <c r="H106" s="149" t="s">
        <v>39</v>
      </c>
      <c r="I106" s="152">
        <v>42733</v>
      </c>
      <c r="J106" s="151">
        <v>5786</v>
      </c>
      <c r="K106" s="151">
        <v>4.05</v>
      </c>
      <c r="L106" s="150"/>
      <c r="M106" s="161">
        <f t="shared" si="78"/>
        <v>23433.3</v>
      </c>
      <c r="N106" s="161">
        <f t="shared" si="79"/>
        <v>4217.9939999999997</v>
      </c>
      <c r="O106" s="161">
        <f t="shared" si="80"/>
        <v>27651.293999999998</v>
      </c>
      <c r="P106" s="151"/>
      <c r="Q106" s="149"/>
      <c r="R106" s="149"/>
      <c r="S106" s="151">
        <v>140579.56400000001</v>
      </c>
      <c r="T106" s="153"/>
      <c r="U106" s="168">
        <f>O106+O107+O108+O109-S106</f>
        <v>-0.5</v>
      </c>
    </row>
    <row r="107" spans="2:22">
      <c r="B107" s="166">
        <v>42724</v>
      </c>
      <c r="C107" s="68" t="s">
        <v>151</v>
      </c>
      <c r="D107" s="162" t="s">
        <v>16</v>
      </c>
      <c r="E107" s="163"/>
      <c r="F107" s="70">
        <v>2580</v>
      </c>
      <c r="G107" s="68"/>
      <c r="H107" s="68"/>
      <c r="I107" s="68"/>
      <c r="J107" s="163">
        <v>2580</v>
      </c>
      <c r="K107" s="163">
        <v>4.05</v>
      </c>
      <c r="L107" s="162"/>
      <c r="M107" s="106">
        <f>+K107*J107</f>
        <v>10449</v>
      </c>
      <c r="N107" s="106">
        <f>M107*0.18</f>
        <v>1880.82</v>
      </c>
      <c r="O107" s="106">
        <f>+N107+M107</f>
        <v>12329.82</v>
      </c>
      <c r="P107" s="163"/>
      <c r="Q107" s="68"/>
      <c r="R107" s="68"/>
      <c r="S107" s="163"/>
      <c r="T107" s="164"/>
      <c r="U107" s="165"/>
    </row>
    <row r="108" spans="2:22">
      <c r="B108" s="166">
        <v>42724</v>
      </c>
      <c r="C108" s="68" t="s">
        <v>17</v>
      </c>
      <c r="D108" s="162" t="s">
        <v>16</v>
      </c>
      <c r="E108" s="163"/>
      <c r="F108" s="70">
        <v>10530</v>
      </c>
      <c r="G108" s="68"/>
      <c r="H108" s="68"/>
      <c r="I108" s="68"/>
      <c r="J108" s="163">
        <v>10530</v>
      </c>
      <c r="K108" s="163">
        <v>4.05</v>
      </c>
      <c r="L108" s="162"/>
      <c r="M108" s="106">
        <f>+K108*J108</f>
        <v>42646.5</v>
      </c>
      <c r="N108" s="106">
        <f>M108*0.18</f>
        <v>7676.37</v>
      </c>
      <c r="O108" s="106">
        <f>+N108+M108</f>
        <v>50322.87</v>
      </c>
      <c r="P108" s="163"/>
      <c r="Q108" s="68"/>
      <c r="R108" s="68"/>
      <c r="S108" s="163"/>
      <c r="T108" s="164"/>
      <c r="U108" s="165"/>
    </row>
    <row r="109" spans="2:22" ht="15.75" thickBot="1">
      <c r="B109" s="154">
        <v>42724</v>
      </c>
      <c r="C109" s="155" t="s">
        <v>17</v>
      </c>
      <c r="D109" s="156" t="s">
        <v>16</v>
      </c>
      <c r="E109" s="157"/>
      <c r="F109" s="167">
        <v>10520</v>
      </c>
      <c r="G109" s="155"/>
      <c r="H109" s="155"/>
      <c r="I109" s="155"/>
      <c r="J109" s="157">
        <v>10520</v>
      </c>
      <c r="K109" s="157">
        <v>4.05</v>
      </c>
      <c r="L109" s="156"/>
      <c r="M109" s="158">
        <f>+K109*J109</f>
        <v>42606</v>
      </c>
      <c r="N109" s="158">
        <f>M109*0.18</f>
        <v>7669.08</v>
      </c>
      <c r="O109" s="158">
        <f>+N109+M109</f>
        <v>50275.08</v>
      </c>
      <c r="P109" s="157"/>
      <c r="Q109" s="155"/>
      <c r="R109" s="155"/>
      <c r="S109" s="157"/>
      <c r="T109" s="159"/>
      <c r="U109" s="160"/>
    </row>
    <row r="110" spans="2:22">
      <c r="B110" s="56">
        <v>42723</v>
      </c>
      <c r="C110" s="49" t="s">
        <v>152</v>
      </c>
      <c r="D110" s="57" t="s">
        <v>16</v>
      </c>
      <c r="E110" s="40"/>
      <c r="F110" s="40">
        <v>606</v>
      </c>
      <c r="G110" s="49"/>
      <c r="H110" s="49" t="s">
        <v>40</v>
      </c>
      <c r="I110" s="170">
        <v>42733</v>
      </c>
      <c r="J110" s="40">
        <v>606</v>
      </c>
      <c r="K110" s="40">
        <v>2</v>
      </c>
      <c r="L110" s="57"/>
      <c r="M110" s="64">
        <f>+K110*J110</f>
        <v>1212</v>
      </c>
      <c r="N110" s="64">
        <f>M110*0.18</f>
        <v>218.16</v>
      </c>
      <c r="O110" s="64">
        <f>+N110+M110</f>
        <v>1430.16</v>
      </c>
      <c r="P110" s="40" t="s">
        <v>30</v>
      </c>
      <c r="Q110" s="49">
        <v>3669</v>
      </c>
      <c r="R110" s="49" t="s">
        <v>31</v>
      </c>
      <c r="S110" s="40">
        <v>1430.66</v>
      </c>
      <c r="T110" s="56"/>
      <c r="U110" s="62">
        <f>+O110-S110</f>
        <v>-0.5</v>
      </c>
      <c r="V110" s="41" t="s">
        <v>48</v>
      </c>
    </row>
    <row r="111" spans="2:22">
      <c r="B111" s="56">
        <v>42724</v>
      </c>
      <c r="C111" s="49" t="s">
        <v>33</v>
      </c>
      <c r="D111" s="57" t="s">
        <v>16</v>
      </c>
      <c r="E111" s="40"/>
      <c r="F111" s="40">
        <v>1400</v>
      </c>
      <c r="G111" s="49"/>
      <c r="H111" s="49" t="s">
        <v>35</v>
      </c>
      <c r="I111" s="170">
        <v>42733</v>
      </c>
      <c r="J111" s="40">
        <v>1400</v>
      </c>
      <c r="K111" s="40">
        <v>32.564999999999998</v>
      </c>
      <c r="L111" s="57"/>
      <c r="M111" s="64">
        <f t="shared" si="78"/>
        <v>45591</v>
      </c>
      <c r="N111" s="64">
        <f t="shared" si="79"/>
        <v>8206.3799999999992</v>
      </c>
      <c r="O111" s="64">
        <f t="shared" si="80"/>
        <v>53797.38</v>
      </c>
      <c r="P111" s="40"/>
      <c r="Q111" s="49"/>
      <c r="R111" s="49"/>
      <c r="S111" s="40">
        <v>53797.88</v>
      </c>
      <c r="T111" s="56"/>
      <c r="U111" s="62"/>
      <c r="V111" s="41" t="s">
        <v>48</v>
      </c>
    </row>
    <row r="112" spans="2:22">
      <c r="E112" s="58"/>
      <c r="F112" s="58"/>
      <c r="J112" s="58"/>
      <c r="M112" s="106"/>
      <c r="N112" s="106"/>
      <c r="O112" s="106"/>
      <c r="P112" s="58"/>
      <c r="T112" s="71"/>
    </row>
    <row r="113" spans="2:20">
      <c r="E113" s="58"/>
      <c r="F113" s="58"/>
      <c r="J113" s="58"/>
      <c r="M113" s="106"/>
      <c r="N113" s="106"/>
      <c r="O113" s="106"/>
      <c r="P113" s="58"/>
      <c r="T113" s="71"/>
    </row>
    <row r="114" spans="2:20" ht="15.75" thickBot="1">
      <c r="E114" s="58"/>
      <c r="F114" s="58"/>
      <c r="T114" s="71"/>
    </row>
    <row r="115" spans="2:20">
      <c r="B115" s="102">
        <v>42735</v>
      </c>
      <c r="C115" s="73" t="s">
        <v>112</v>
      </c>
      <c r="D115" s="103"/>
      <c r="E115" s="79" t="s">
        <v>113</v>
      </c>
      <c r="F115" s="58"/>
      <c r="G115" s="184" t="s">
        <v>70</v>
      </c>
      <c r="H115" s="185"/>
      <c r="I115" s="74">
        <v>1646.95</v>
      </c>
      <c r="T115" s="71"/>
    </row>
    <row r="116" spans="2:20">
      <c r="B116" s="104" t="s">
        <v>17</v>
      </c>
      <c r="C116" s="79">
        <f>J8+J9+J10+J29+J30+J42+J43+J44+J45+J58+J59+J60+J61+J67+J80+J81+J88+J89+J90+J92+J97+J98+J99+J102+J103+J104+J105+J106+J107+J108+J109</f>
        <v>183763</v>
      </c>
      <c r="D116" s="79"/>
      <c r="E116" s="79">
        <f>M8+M9+M10+M29+M30+M42+M43+M44+M45+M58+M59+M60+M61+M67+M80+M81+M88+M89+M90+M92+M97+M98+M99+M102+M103+M104+M105+M106+M107+M108+M109</f>
        <v>682497.59500000009</v>
      </c>
      <c r="F116" s="58"/>
      <c r="G116" s="182" t="s">
        <v>71</v>
      </c>
      <c r="H116" s="183"/>
      <c r="I116" s="75">
        <v>2.0375100000000002</v>
      </c>
      <c r="T116" s="71"/>
    </row>
    <row r="117" spans="2:20">
      <c r="B117" s="104" t="s">
        <v>15</v>
      </c>
      <c r="C117" s="79">
        <f>J4+J5+J6+J7+J11+J12+J13+J14+J15+J16+J17+J18+J19+J20+J21+J22+J23+J24+J25+J26+J27+J28+J32+J33+J34+J35+J36+J37+J38+J39+J40+J41+J46+J47+J48+J49+J50+J51+J52+J54+J55+J56+J57+J62+J63+J64+J65+J66+J68+J69+J70+J71+J72+J73+J74+J75+J76+J77+J78+J82+J83+J84+J85+J86+J87+J91+J93+J94+J95+J96</f>
        <v>2017230</v>
      </c>
      <c r="D117" s="79"/>
      <c r="E117" s="79">
        <f>M4+M5+M6+M7+M11+M12+M13+M14+M15+M16+M17+M18+M19+M20+M21+M22+M23+M24+M25+M26+M27+M28+M32+M33+M34+M35+M36+M37+M38+M39+M40+M41+M46+M47+M48+M49+M50+M51+M52+M54+M55+M56+M57+M62+M63+M64+M65+M66+M68+M69+M70+M71+M72+M73+M74+M75+M76+M77+M78+M82+M83+M84+M85+M86+M87+M91+M93+M94+M95+M96</f>
        <v>6352771.3590000002</v>
      </c>
      <c r="F117" s="58"/>
      <c r="G117" s="182" t="s">
        <v>69</v>
      </c>
      <c r="H117" s="183"/>
      <c r="I117" s="76">
        <f>I115*I116</f>
        <v>3355.6770945000003</v>
      </c>
      <c r="J117" s="80">
        <v>0.95</v>
      </c>
      <c r="T117" s="71"/>
    </row>
    <row r="118" spans="2:20" ht="15.75" thickBot="1">
      <c r="B118" s="104" t="s">
        <v>33</v>
      </c>
      <c r="C118" s="79">
        <f>J53+J31+F79+F100+F101+F111</f>
        <v>13523</v>
      </c>
      <c r="D118" s="79"/>
      <c r="E118" s="79">
        <f>M53+M31+M79+M100+M101+M111</f>
        <v>367349</v>
      </c>
      <c r="F118" s="58"/>
      <c r="G118" s="180">
        <v>0.85</v>
      </c>
      <c r="H118" s="181"/>
      <c r="I118" s="77">
        <f>I117*0.85/1000</f>
        <v>2.8523255303250004</v>
      </c>
      <c r="J118" s="79">
        <f>+I117*0.95/1000</f>
        <v>3.1878932397750002</v>
      </c>
      <c r="T118" s="71"/>
    </row>
    <row r="119" spans="2:20" ht="15.75" thickBot="1">
      <c r="E119" s="105">
        <f>SUM(E116:E118)</f>
        <v>7402617.9539999999</v>
      </c>
      <c r="F119" s="58"/>
      <c r="J119" s="79"/>
      <c r="T119" s="71"/>
    </row>
    <row r="120" spans="2:20">
      <c r="E120" s="58"/>
      <c r="F120" s="58"/>
      <c r="G120" s="184" t="s">
        <v>72</v>
      </c>
      <c r="H120" s="185"/>
      <c r="I120" s="74">
        <v>1771.57</v>
      </c>
      <c r="J120" s="79"/>
      <c r="T120" s="71"/>
    </row>
    <row r="121" spans="2:20">
      <c r="B121" s="186" t="s">
        <v>60</v>
      </c>
      <c r="C121" s="186"/>
      <c r="E121" s="58"/>
      <c r="F121" s="58"/>
      <c r="G121" s="182" t="s">
        <v>73</v>
      </c>
      <c r="H121" s="183"/>
      <c r="I121" s="75">
        <v>2.0182500000000001</v>
      </c>
      <c r="J121" s="79"/>
      <c r="T121" s="71"/>
    </row>
    <row r="122" spans="2:20">
      <c r="B122" s="71" t="s">
        <v>61</v>
      </c>
      <c r="C122" s="58">
        <f>S106</f>
        <v>140579.56400000001</v>
      </c>
      <c r="E122" s="58"/>
      <c r="F122" s="58"/>
      <c r="G122" s="182" t="s">
        <v>69</v>
      </c>
      <c r="H122" s="183"/>
      <c r="I122" s="76">
        <f>I120*I121</f>
        <v>3575.4711525000002</v>
      </c>
      <c r="J122" s="80">
        <v>0.95</v>
      </c>
      <c r="T122" s="71"/>
    </row>
    <row r="123" spans="2:20" ht="15.75" thickBot="1">
      <c r="B123" s="71" t="s">
        <v>62</v>
      </c>
      <c r="C123" s="58">
        <v>0</v>
      </c>
      <c r="E123" s="58"/>
      <c r="F123" s="58"/>
      <c r="G123" s="180">
        <v>0.85</v>
      </c>
      <c r="H123" s="181"/>
      <c r="I123" s="77">
        <f>I122*0.85/1000</f>
        <v>3.039150479625</v>
      </c>
      <c r="J123" s="79">
        <f>+I122*0.95/1000</f>
        <v>3.396697594875</v>
      </c>
      <c r="T123" s="71"/>
    </row>
    <row r="124" spans="2:20" ht="15.75" thickBot="1">
      <c r="B124" s="78" t="s">
        <v>63</v>
      </c>
      <c r="C124" s="79">
        <f>SUM(C122:C123)</f>
        <v>140579.56400000001</v>
      </c>
      <c r="E124" s="58"/>
      <c r="F124" s="58"/>
      <c r="J124" s="79"/>
      <c r="T124" s="111"/>
    </row>
    <row r="125" spans="2:20">
      <c r="E125" s="58"/>
      <c r="F125" s="58"/>
      <c r="G125" s="184" t="s">
        <v>67</v>
      </c>
      <c r="H125" s="185"/>
      <c r="I125" s="74">
        <v>1806.93</v>
      </c>
      <c r="J125" s="79"/>
      <c r="M125" s="184" t="s">
        <v>67</v>
      </c>
      <c r="N125" s="185"/>
      <c r="O125" s="74">
        <v>16995.95</v>
      </c>
      <c r="P125" s="79"/>
      <c r="T125" s="71"/>
    </row>
    <row r="126" spans="2:20">
      <c r="B126" s="186" t="s">
        <v>64</v>
      </c>
      <c r="C126" s="186"/>
      <c r="E126" s="58"/>
      <c r="F126" s="58"/>
      <c r="G126" s="182" t="s">
        <v>68</v>
      </c>
      <c r="H126" s="183"/>
      <c r="I126" s="75">
        <v>2.0206200000000001</v>
      </c>
      <c r="J126" s="79"/>
      <c r="M126" s="182" t="s">
        <v>68</v>
      </c>
      <c r="N126" s="183"/>
      <c r="O126" s="75">
        <v>2.0074999999999998</v>
      </c>
      <c r="P126" s="79"/>
      <c r="T126" s="71"/>
    </row>
    <row r="127" spans="2:20">
      <c r="B127" s="71" t="s">
        <v>146</v>
      </c>
      <c r="C127" s="58">
        <v>0</v>
      </c>
      <c r="E127" s="58"/>
      <c r="F127" s="58"/>
      <c r="G127" s="182" t="s">
        <v>69</v>
      </c>
      <c r="H127" s="183"/>
      <c r="I127" s="76">
        <f>I125*I126</f>
        <v>3651.1188966000004</v>
      </c>
      <c r="J127" s="80">
        <v>0.95</v>
      </c>
      <c r="M127" s="182" t="s">
        <v>69</v>
      </c>
      <c r="N127" s="183"/>
      <c r="O127" s="76">
        <f>O125*O126</f>
        <v>34119.369624999999</v>
      </c>
      <c r="P127" s="80">
        <v>0.8</v>
      </c>
      <c r="T127" s="71"/>
    </row>
    <row r="128" spans="2:20" ht="15.75" thickBot="1">
      <c r="B128" s="71" t="s">
        <v>147</v>
      </c>
      <c r="C128" s="58">
        <v>0</v>
      </c>
      <c r="E128" s="58"/>
      <c r="F128" s="58"/>
      <c r="G128" s="180">
        <v>0.85</v>
      </c>
      <c r="H128" s="181"/>
      <c r="I128" s="77">
        <f>I127*0.85/1000</f>
        <v>3.1034510621100004</v>
      </c>
      <c r="J128" s="79">
        <f>+I127*0.95/1000</f>
        <v>3.4685629517700005</v>
      </c>
      <c r="M128" s="180">
        <v>0.9</v>
      </c>
      <c r="N128" s="181"/>
      <c r="O128" s="77">
        <f>O127*0.9/1000</f>
        <v>30.7074326625</v>
      </c>
      <c r="P128" s="79">
        <f>+O128*$P$127</f>
        <v>24.56594613</v>
      </c>
      <c r="T128" s="71"/>
    </row>
    <row r="129" spans="2:20" ht="15.75" thickBot="1">
      <c r="B129" s="71" t="s">
        <v>62</v>
      </c>
      <c r="C129" s="58">
        <v>0</v>
      </c>
      <c r="E129" s="58"/>
      <c r="F129" s="58"/>
      <c r="G129" s="58"/>
      <c r="I129" s="71"/>
      <c r="T129" s="71"/>
    </row>
    <row r="130" spans="2:20">
      <c r="B130" s="78" t="s">
        <v>63</v>
      </c>
      <c r="C130" s="79">
        <f>SUM(C127:C129)</f>
        <v>0</v>
      </c>
      <c r="E130" s="58"/>
      <c r="F130" s="58"/>
      <c r="G130" s="184" t="s">
        <v>91</v>
      </c>
      <c r="H130" s="185"/>
      <c r="I130" s="74">
        <v>1728.67</v>
      </c>
      <c r="J130" s="79"/>
      <c r="T130" s="71"/>
    </row>
    <row r="131" spans="2:20">
      <c r="E131" s="58"/>
      <c r="F131" s="58"/>
      <c r="G131" s="182" t="s">
        <v>92</v>
      </c>
      <c r="H131" s="183"/>
      <c r="I131" s="75">
        <v>2.0073500000000002</v>
      </c>
      <c r="J131" s="79"/>
      <c r="T131" s="71"/>
    </row>
    <row r="132" spans="2:20">
      <c r="B132" s="186" t="s">
        <v>65</v>
      </c>
      <c r="C132" s="186"/>
      <c r="E132" s="58"/>
      <c r="F132" s="58"/>
      <c r="G132" s="182" t="s">
        <v>69</v>
      </c>
      <c r="H132" s="183"/>
      <c r="I132" s="76">
        <f>I130*I131</f>
        <v>3470.0457245000007</v>
      </c>
      <c r="J132" s="80"/>
      <c r="T132" s="71"/>
    </row>
    <row r="133" spans="2:20" ht="15.75" thickBot="1">
      <c r="B133" s="78" t="s">
        <v>61</v>
      </c>
      <c r="C133" s="79">
        <v>0</v>
      </c>
      <c r="E133" s="58"/>
      <c r="F133" s="58"/>
      <c r="G133" s="180">
        <v>0.85</v>
      </c>
      <c r="H133" s="181"/>
      <c r="I133" s="77">
        <f>I132*0.85/1000</f>
        <v>2.9495388658250006</v>
      </c>
      <c r="J133" s="79"/>
      <c r="T133" s="71"/>
    </row>
    <row r="134" spans="2:20" ht="15.75" thickBot="1">
      <c r="B134" s="78" t="s">
        <v>62</v>
      </c>
      <c r="C134" s="79">
        <v>0</v>
      </c>
      <c r="E134" s="58"/>
      <c r="F134" s="58"/>
      <c r="G134" s="58"/>
      <c r="I134" s="71"/>
      <c r="T134" s="71"/>
    </row>
    <row r="135" spans="2:20">
      <c r="B135" s="93" t="s">
        <v>95</v>
      </c>
      <c r="C135" s="79">
        <v>0</v>
      </c>
      <c r="E135" s="58"/>
      <c r="F135" s="58"/>
      <c r="G135" s="184" t="s">
        <v>96</v>
      </c>
      <c r="H135" s="185"/>
      <c r="I135" s="74">
        <v>1714.43</v>
      </c>
      <c r="T135" s="71"/>
    </row>
    <row r="136" spans="2:20">
      <c r="D136" s="129"/>
      <c r="E136" s="58"/>
      <c r="F136" s="58"/>
      <c r="G136" s="182" t="s">
        <v>97</v>
      </c>
      <c r="H136" s="183"/>
      <c r="I136" s="75">
        <v>2.0457100000000001</v>
      </c>
      <c r="T136" s="71"/>
    </row>
    <row r="137" spans="2:20">
      <c r="B137" s="186" t="s">
        <v>66</v>
      </c>
      <c r="C137" s="186"/>
      <c r="E137" s="58"/>
      <c r="F137" s="58"/>
      <c r="G137" s="182" t="s">
        <v>69</v>
      </c>
      <c r="H137" s="183"/>
      <c r="I137" s="76">
        <f>I135*I136</f>
        <v>3507.2265953000006</v>
      </c>
      <c r="J137" s="80">
        <v>0.95</v>
      </c>
      <c r="T137" s="71"/>
    </row>
    <row r="138" spans="2:20" ht="15.75" thickBot="1">
      <c r="C138" s="79">
        <v>125000</v>
      </c>
      <c r="E138" s="58"/>
      <c r="F138" s="58"/>
      <c r="G138" s="180">
        <v>0.85</v>
      </c>
      <c r="H138" s="181"/>
      <c r="I138" s="77">
        <f>I137*0.85/1000</f>
        <v>2.9811426060050001</v>
      </c>
      <c r="J138" s="79">
        <f>+I137*0.9/1000</f>
        <v>3.1565039357700009</v>
      </c>
      <c r="T138" s="71"/>
    </row>
    <row r="139" spans="2:20" ht="15.75" thickBot="1">
      <c r="F139" s="58"/>
      <c r="G139" s="58"/>
      <c r="I139" s="71"/>
      <c r="T139" s="71"/>
    </row>
    <row r="140" spans="2:20">
      <c r="F140" s="58"/>
      <c r="G140" s="184" t="s">
        <v>103</v>
      </c>
      <c r="H140" s="185"/>
      <c r="I140" s="74">
        <v>1713.91</v>
      </c>
      <c r="T140" s="71"/>
    </row>
    <row r="141" spans="2:20">
      <c r="F141" s="58"/>
      <c r="G141" s="182" t="s">
        <v>104</v>
      </c>
      <c r="H141" s="183"/>
      <c r="I141" s="75">
        <v>2.1529099999999999</v>
      </c>
      <c r="T141" s="71"/>
    </row>
    <row r="142" spans="2:20">
      <c r="F142" s="58"/>
      <c r="G142" s="182" t="s">
        <v>69</v>
      </c>
      <c r="H142" s="183"/>
      <c r="I142" s="76">
        <f>I140*I141</f>
        <v>3689.8939780999999</v>
      </c>
      <c r="J142" s="80">
        <v>0.9</v>
      </c>
      <c r="T142" s="71"/>
    </row>
    <row r="143" spans="2:20" ht="15.75" thickBot="1">
      <c r="F143" s="58"/>
      <c r="G143" s="180">
        <v>0.85</v>
      </c>
      <c r="H143" s="181"/>
      <c r="I143" s="77">
        <f>I142*0.85/1000</f>
        <v>3.1364098813850001</v>
      </c>
      <c r="J143" s="79">
        <f>I142*J142/1000</f>
        <v>3.3209045802900001</v>
      </c>
      <c r="T143" s="71"/>
    </row>
    <row r="144" spans="2:20" ht="15.75" thickBot="1">
      <c r="F144" s="58"/>
      <c r="G144" s="58"/>
      <c r="I144" s="71"/>
      <c r="T144" s="71"/>
    </row>
    <row r="145" spans="2:20">
      <c r="F145" s="58"/>
      <c r="G145" s="184" t="s">
        <v>110</v>
      </c>
      <c r="H145" s="185"/>
      <c r="I145" s="74">
        <v>1834.88</v>
      </c>
      <c r="T145" s="71"/>
    </row>
    <row r="146" spans="2:20">
      <c r="F146" s="58"/>
      <c r="G146" s="182" t="s">
        <v>111</v>
      </c>
      <c r="H146" s="183"/>
      <c r="I146" s="75">
        <v>2.2084700000000002</v>
      </c>
      <c r="T146" s="71"/>
    </row>
    <row r="147" spans="2:20">
      <c r="C147" s="58"/>
      <c r="F147" s="58"/>
      <c r="G147" s="182" t="s">
        <v>69</v>
      </c>
      <c r="H147" s="183"/>
      <c r="I147" s="76">
        <f>I145*I146</f>
        <v>4052.2774336000007</v>
      </c>
      <c r="J147" s="80">
        <v>0.92</v>
      </c>
      <c r="T147" s="71"/>
    </row>
    <row r="148" spans="2:20" ht="15.75" thickBot="1">
      <c r="D148" s="71"/>
      <c r="F148" s="58"/>
      <c r="G148" s="180">
        <v>0.85</v>
      </c>
      <c r="H148" s="181"/>
      <c r="I148" s="77">
        <f>I147*0.85/1000</f>
        <v>3.4444358185600006</v>
      </c>
      <c r="J148" s="79">
        <f>I147*J147/1000</f>
        <v>3.7280952389120006</v>
      </c>
      <c r="T148" s="71"/>
    </row>
    <row r="149" spans="2:20" ht="15.75" thickBot="1">
      <c r="B149" s="58"/>
      <c r="E149" s="58"/>
      <c r="F149" s="58"/>
      <c r="G149" s="58"/>
      <c r="I149" s="71"/>
      <c r="T149" s="71"/>
    </row>
    <row r="150" spans="2:20">
      <c r="E150" s="58"/>
      <c r="F150" s="58"/>
      <c r="G150" s="184" t="s">
        <v>127</v>
      </c>
      <c r="H150" s="185"/>
      <c r="I150" s="74">
        <v>1839.89</v>
      </c>
      <c r="T150" s="71"/>
    </row>
    <row r="151" spans="2:20">
      <c r="E151" s="58"/>
      <c r="F151" s="58"/>
      <c r="G151" s="182" t="s">
        <v>138</v>
      </c>
      <c r="H151" s="183"/>
      <c r="I151" s="107">
        <v>2.1977000000000002</v>
      </c>
      <c r="T151" s="71"/>
    </row>
    <row r="152" spans="2:20">
      <c r="E152" s="58"/>
      <c r="F152" s="58"/>
      <c r="G152" s="182" t="s">
        <v>69</v>
      </c>
      <c r="H152" s="183"/>
      <c r="I152" s="76">
        <f>I150*I151</f>
        <v>4043.5262530000005</v>
      </c>
      <c r="J152" s="80">
        <v>0.92</v>
      </c>
      <c r="T152" s="71"/>
    </row>
    <row r="153" spans="2:20" ht="15.75" thickBot="1">
      <c r="E153" s="58"/>
      <c r="F153" s="58"/>
      <c r="G153" s="180">
        <v>0.85</v>
      </c>
      <c r="H153" s="181"/>
      <c r="I153" s="77">
        <f>I152*0.85/1000</f>
        <v>3.4369973150500006</v>
      </c>
      <c r="J153" s="79">
        <f>I152*J152/1000</f>
        <v>3.7200441527600003</v>
      </c>
      <c r="T153" s="71"/>
    </row>
    <row r="154" spans="2:20" ht="15.75" thickBot="1">
      <c r="E154" s="58"/>
      <c r="F154" s="58"/>
      <c r="T154" s="71"/>
    </row>
    <row r="155" spans="2:20">
      <c r="E155" s="58"/>
      <c r="F155" s="58"/>
      <c r="G155" s="184" t="s">
        <v>137</v>
      </c>
      <c r="H155" s="185"/>
      <c r="I155" s="74">
        <v>1942.02</v>
      </c>
      <c r="T155" s="71"/>
    </row>
    <row r="156" spans="2:20">
      <c r="E156" s="58"/>
      <c r="F156" s="58"/>
      <c r="G156" s="182" t="s">
        <v>139</v>
      </c>
      <c r="H156" s="183"/>
      <c r="I156" s="107">
        <v>2.1989100000000001</v>
      </c>
      <c r="T156" s="71"/>
    </row>
    <row r="157" spans="2:20">
      <c r="E157" s="58"/>
      <c r="F157" s="58"/>
      <c r="G157" s="182" t="s">
        <v>69</v>
      </c>
      <c r="H157" s="183"/>
      <c r="I157" s="76">
        <f>I155*I156</f>
        <v>4270.3271982000006</v>
      </c>
      <c r="J157" s="80">
        <v>0.92</v>
      </c>
      <c r="T157" s="71"/>
    </row>
    <row r="158" spans="2:20" ht="15.75" thickBot="1">
      <c r="E158" s="58"/>
      <c r="F158" s="58"/>
      <c r="G158" s="180">
        <v>0.85</v>
      </c>
      <c r="H158" s="181"/>
      <c r="I158" s="77">
        <f>I157*0.85/1000</f>
        <v>3.6297781184700004</v>
      </c>
      <c r="J158" s="79">
        <f>I157*J157/1000</f>
        <v>3.9287010223440006</v>
      </c>
      <c r="T158" s="71"/>
    </row>
    <row r="159" spans="2:20" ht="15.75" thickBot="1">
      <c r="E159" s="58"/>
      <c r="F159" s="58"/>
      <c r="G159" s="58"/>
      <c r="I159" s="71"/>
      <c r="T159" s="71"/>
    </row>
    <row r="160" spans="2:20">
      <c r="E160" s="58"/>
      <c r="F160" s="58"/>
      <c r="G160" s="184" t="s">
        <v>140</v>
      </c>
      <c r="H160" s="185"/>
      <c r="I160" s="74">
        <v>2039.93</v>
      </c>
      <c r="T160" s="71"/>
    </row>
    <row r="161" spans="5:20">
      <c r="E161" s="58"/>
      <c r="F161" s="58"/>
      <c r="G161" s="182" t="s">
        <v>141</v>
      </c>
      <c r="H161" s="183"/>
      <c r="I161" s="107">
        <v>2.23</v>
      </c>
      <c r="T161" s="71"/>
    </row>
    <row r="162" spans="5:20">
      <c r="E162" s="58"/>
      <c r="F162" s="58"/>
      <c r="G162" s="182" t="s">
        <v>69</v>
      </c>
      <c r="H162" s="183"/>
      <c r="I162" s="76">
        <f>I160*I161</f>
        <v>4549.0438999999997</v>
      </c>
      <c r="J162" s="80">
        <v>0.92</v>
      </c>
      <c r="T162" s="71"/>
    </row>
    <row r="163" spans="5:20" ht="15.75" thickBot="1">
      <c r="E163" s="58"/>
      <c r="F163" s="58"/>
      <c r="G163" s="180">
        <v>0.85</v>
      </c>
      <c r="H163" s="181"/>
      <c r="I163" s="77">
        <f>I162*0.8/1000</f>
        <v>3.6392351199999999</v>
      </c>
      <c r="J163" s="79">
        <f>I162*J162/1000</f>
        <v>4.1851203880000005</v>
      </c>
      <c r="T163" s="71"/>
    </row>
    <row r="164" spans="5:20" ht="15.75" thickBot="1">
      <c r="E164" s="58"/>
      <c r="F164" s="58"/>
      <c r="G164" s="58"/>
      <c r="I164" s="71"/>
      <c r="T164" s="71"/>
    </row>
    <row r="165" spans="5:20">
      <c r="E165" s="58"/>
      <c r="F165" s="58"/>
      <c r="G165" s="184" t="s">
        <v>148</v>
      </c>
      <c r="H165" s="185"/>
      <c r="I165" s="74">
        <v>2178.84</v>
      </c>
      <c r="T165" s="71"/>
    </row>
    <row r="166" spans="5:20">
      <c r="E166" s="58"/>
      <c r="F166" s="58"/>
      <c r="G166" s="182" t="s">
        <v>149</v>
      </c>
      <c r="H166" s="183"/>
      <c r="I166" s="107">
        <v>2.2629999999999999</v>
      </c>
      <c r="T166" s="71"/>
    </row>
    <row r="167" spans="5:20">
      <c r="E167" s="58"/>
      <c r="F167" s="58"/>
      <c r="G167" s="182" t="s">
        <v>69</v>
      </c>
      <c r="H167" s="183"/>
      <c r="I167" s="76">
        <f>I165*I166</f>
        <v>4930.7149200000003</v>
      </c>
      <c r="J167" s="80">
        <v>0.92</v>
      </c>
      <c r="T167" s="71"/>
    </row>
    <row r="168" spans="5:20" ht="15.75" thickBot="1">
      <c r="E168" s="58"/>
      <c r="F168" s="58"/>
      <c r="G168" s="180">
        <v>0.75</v>
      </c>
      <c r="H168" s="181"/>
      <c r="I168" s="77">
        <f>I167*0.85/1000</f>
        <v>4.1911076820000002</v>
      </c>
      <c r="J168" s="79">
        <f>I167*J167/1000</f>
        <v>4.5362577264000006</v>
      </c>
      <c r="T168" s="71"/>
    </row>
    <row r="169" spans="5:20">
      <c r="E169" s="58"/>
      <c r="F169" s="58"/>
      <c r="G169" s="58"/>
      <c r="I169" s="71"/>
      <c r="T169" s="71"/>
    </row>
    <row r="170" spans="5:20">
      <c r="E170" s="58"/>
      <c r="F170" s="58"/>
      <c r="G170" s="58"/>
      <c r="I170" s="71"/>
      <c r="T170" s="71"/>
    </row>
    <row r="171" spans="5:20">
      <c r="E171" s="58"/>
      <c r="F171" s="58"/>
      <c r="G171" s="58"/>
      <c r="I171" s="71"/>
      <c r="T171" s="71"/>
    </row>
    <row r="172" spans="5:20">
      <c r="E172" s="58"/>
      <c r="F172" s="58"/>
      <c r="G172" s="58"/>
      <c r="I172" s="71"/>
      <c r="T172" s="71"/>
    </row>
    <row r="173" spans="5:20">
      <c r="E173" s="58"/>
      <c r="F173" s="58"/>
      <c r="G173" s="58"/>
      <c r="I173" s="71"/>
      <c r="T173" s="71"/>
    </row>
    <row r="174" spans="5:20">
      <c r="E174" s="58"/>
      <c r="F174" s="58"/>
      <c r="G174" s="58"/>
      <c r="I174" s="71"/>
      <c r="T174" s="71"/>
    </row>
    <row r="175" spans="5:20">
      <c r="E175" s="58"/>
      <c r="F175" s="58"/>
      <c r="G175" s="58"/>
      <c r="I175" s="71"/>
      <c r="T175" s="71"/>
    </row>
    <row r="176" spans="5:20">
      <c r="E176" s="58"/>
      <c r="F176" s="58"/>
      <c r="G176" s="58"/>
      <c r="I176" s="71"/>
      <c r="T176" s="71"/>
    </row>
    <row r="177" spans="5:20">
      <c r="E177" s="58"/>
      <c r="F177" s="58"/>
      <c r="G177" s="58"/>
      <c r="I177" s="71"/>
      <c r="T177" s="71"/>
    </row>
    <row r="178" spans="5:20">
      <c r="E178" s="58"/>
      <c r="F178" s="58"/>
      <c r="G178" s="58"/>
      <c r="I178" s="71"/>
      <c r="T178" s="71"/>
    </row>
    <row r="179" spans="5:20">
      <c r="E179" s="58"/>
      <c r="F179" s="58"/>
      <c r="G179" s="58"/>
      <c r="I179" s="71"/>
      <c r="T179" s="71"/>
    </row>
    <row r="180" spans="5:20">
      <c r="E180" s="58"/>
      <c r="F180" s="58"/>
      <c r="G180" s="58"/>
      <c r="I180" s="71"/>
      <c r="T180" s="71"/>
    </row>
    <row r="181" spans="5:20">
      <c r="E181" s="58"/>
      <c r="F181" s="58"/>
      <c r="G181" s="58"/>
      <c r="I181" s="71"/>
      <c r="T181" s="71"/>
    </row>
    <row r="182" spans="5:20">
      <c r="E182" s="58"/>
      <c r="F182" s="58"/>
      <c r="G182" s="58"/>
      <c r="I182" s="71"/>
      <c r="T182" s="71"/>
    </row>
    <row r="183" spans="5:20">
      <c r="E183" s="58"/>
      <c r="F183" s="58"/>
      <c r="G183" s="58"/>
      <c r="I183" s="71"/>
      <c r="T183" s="71"/>
    </row>
    <row r="184" spans="5:20">
      <c r="E184" s="58"/>
      <c r="F184" s="58"/>
      <c r="G184" s="58"/>
      <c r="I184" s="71"/>
      <c r="T184" s="71"/>
    </row>
    <row r="185" spans="5:20">
      <c r="E185" s="58"/>
      <c r="F185" s="58"/>
      <c r="G185" s="58"/>
      <c r="I185" s="71"/>
      <c r="T185" s="71"/>
    </row>
    <row r="186" spans="5:20">
      <c r="E186" s="58"/>
      <c r="F186" s="58"/>
      <c r="G186" s="58"/>
      <c r="I186" s="71"/>
      <c r="T186" s="71"/>
    </row>
    <row r="187" spans="5:20">
      <c r="E187" s="58"/>
      <c r="F187" s="58"/>
      <c r="G187" s="58"/>
      <c r="I187" s="71"/>
      <c r="T187" s="71"/>
    </row>
    <row r="188" spans="5:20">
      <c r="E188" s="58"/>
      <c r="F188" s="58"/>
      <c r="G188" s="58"/>
      <c r="I188" s="71"/>
      <c r="T188" s="71"/>
    </row>
    <row r="189" spans="5:20">
      <c r="E189" s="58"/>
      <c r="F189" s="58"/>
      <c r="G189" s="58"/>
      <c r="I189" s="71"/>
      <c r="T189" s="71"/>
    </row>
    <row r="190" spans="5:20">
      <c r="E190" s="58"/>
      <c r="F190" s="58"/>
      <c r="G190" s="58"/>
      <c r="I190" s="71"/>
      <c r="T190" s="71"/>
    </row>
    <row r="191" spans="5:20">
      <c r="E191" s="58"/>
      <c r="F191" s="58"/>
      <c r="G191" s="58"/>
      <c r="I191" s="71"/>
      <c r="T191" s="71"/>
    </row>
    <row r="192" spans="5:20">
      <c r="E192" s="58"/>
      <c r="F192" s="58"/>
      <c r="G192" s="58"/>
      <c r="I192" s="71"/>
      <c r="T192" s="71"/>
    </row>
    <row r="193" spans="5:20">
      <c r="E193" s="58"/>
      <c r="F193" s="58"/>
      <c r="G193" s="58"/>
      <c r="I193" s="71"/>
      <c r="T193" s="71"/>
    </row>
    <row r="194" spans="5:20">
      <c r="E194" s="58"/>
      <c r="F194" s="58"/>
      <c r="G194" s="58"/>
      <c r="I194" s="71"/>
      <c r="T194" s="71"/>
    </row>
    <row r="195" spans="5:20">
      <c r="E195" s="58"/>
      <c r="F195" s="58"/>
      <c r="G195" s="58"/>
      <c r="I195" s="71"/>
      <c r="T195" s="71"/>
    </row>
    <row r="196" spans="5:20">
      <c r="E196" s="58"/>
      <c r="F196" s="58"/>
      <c r="G196" s="58"/>
      <c r="T196" s="71"/>
    </row>
    <row r="197" spans="5:20">
      <c r="E197" s="58"/>
      <c r="F197" s="58"/>
      <c r="T197" s="71"/>
    </row>
    <row r="198" spans="5:20">
      <c r="E198" s="58"/>
      <c r="F198" s="58"/>
    </row>
    <row r="199" spans="5:20">
      <c r="E199" s="58"/>
    </row>
    <row r="200" spans="5:20">
      <c r="E200" s="58"/>
    </row>
    <row r="201" spans="5:20">
      <c r="E201" s="58"/>
    </row>
    <row r="202" spans="5:20">
      <c r="E202" s="58"/>
    </row>
    <row r="203" spans="5:20">
      <c r="E203" s="58"/>
    </row>
    <row r="204" spans="5:20">
      <c r="E204" s="58"/>
    </row>
  </sheetData>
  <sortState ref="B89:G93">
    <sortCondition ref="B89:B93"/>
  </sortState>
  <mergeCells count="58">
    <mergeCell ref="G165:H165"/>
    <mergeCell ref="G166:H166"/>
    <mergeCell ref="G167:H167"/>
    <mergeCell ref="G168:H168"/>
    <mergeCell ref="G132:H132"/>
    <mergeCell ref="G133:H133"/>
    <mergeCell ref="G145:H145"/>
    <mergeCell ref="G146:H146"/>
    <mergeCell ref="G147:H147"/>
    <mergeCell ref="G143:H143"/>
    <mergeCell ref="G140:H140"/>
    <mergeCell ref="G141:H141"/>
    <mergeCell ref="G142:H142"/>
    <mergeCell ref="G137:H137"/>
    <mergeCell ref="G138:H138"/>
    <mergeCell ref="G148:H148"/>
    <mergeCell ref="B137:C137"/>
    <mergeCell ref="E37:E38"/>
    <mergeCell ref="G37:G38"/>
    <mergeCell ref="E39:E40"/>
    <mergeCell ref="G39:G40"/>
    <mergeCell ref="B90:B91"/>
    <mergeCell ref="F90:F91"/>
    <mergeCell ref="B132:C132"/>
    <mergeCell ref="G126:H126"/>
    <mergeCell ref="G127:H127"/>
    <mergeCell ref="B126:C126"/>
    <mergeCell ref="B121:C121"/>
    <mergeCell ref="G120:H120"/>
    <mergeCell ref="G121:H121"/>
    <mergeCell ref="G135:H135"/>
    <mergeCell ref="G136:H136"/>
    <mergeCell ref="G117:H117"/>
    <mergeCell ref="G118:H118"/>
    <mergeCell ref="G115:H115"/>
    <mergeCell ref="G116:H116"/>
    <mergeCell ref="G128:H128"/>
    <mergeCell ref="G122:H122"/>
    <mergeCell ref="G123:H123"/>
    <mergeCell ref="M125:N125"/>
    <mergeCell ref="M126:N126"/>
    <mergeCell ref="M127:N127"/>
    <mergeCell ref="M128:N128"/>
    <mergeCell ref="G131:H131"/>
    <mergeCell ref="G125:H125"/>
    <mergeCell ref="G130:H130"/>
    <mergeCell ref="G150:H150"/>
    <mergeCell ref="G160:H160"/>
    <mergeCell ref="G161:H161"/>
    <mergeCell ref="G162:H162"/>
    <mergeCell ref="G155:H155"/>
    <mergeCell ref="G151:H151"/>
    <mergeCell ref="G152:H152"/>
    <mergeCell ref="G163:H163"/>
    <mergeCell ref="G153:H153"/>
    <mergeCell ref="G156:H156"/>
    <mergeCell ref="G157:H157"/>
    <mergeCell ref="G158:H158"/>
  </mergeCells>
  <pageMargins left="0.39370078740157483" right="0.39370078740157483" top="5.9055118110236222" bottom="0.39370078740157483" header="0.39370078740157483" footer="0.3937007874015748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3:W133"/>
  <sheetViews>
    <sheetView zoomScale="90" zoomScaleNormal="90" workbookViewId="0">
      <pane ySplit="3" topLeftCell="A4" activePane="bottomLeft" state="frozen"/>
      <selection pane="bottomLeft" activeCell="I25" sqref="I25"/>
    </sheetView>
  </sheetViews>
  <sheetFormatPr baseColWidth="10" defaultRowHeight="15"/>
  <cols>
    <col min="1" max="1" width="1.5703125" style="1" customWidth="1"/>
    <col min="2" max="2" width="10.7109375" style="4" bestFit="1" customWidth="1"/>
    <col min="3" max="3" width="16.140625" style="1" bestFit="1" customWidth="1"/>
    <col min="4" max="4" width="3.85546875" style="2" bestFit="1" customWidth="1"/>
    <col min="5" max="5" width="12.42578125" style="1" bestFit="1" customWidth="1"/>
    <col min="6" max="6" width="14" style="1" bestFit="1" customWidth="1"/>
    <col min="7" max="7" width="10.140625" style="1" bestFit="1" customWidth="1"/>
    <col min="8" max="8" width="8.5703125" style="1" bestFit="1" customWidth="1"/>
    <col min="9" max="9" width="10.28515625" style="1" bestFit="1" customWidth="1"/>
    <col min="10" max="10" width="11" style="1" bestFit="1" customWidth="1"/>
    <col min="11" max="11" width="7.7109375" style="3" bestFit="1" customWidth="1"/>
    <col min="12" max="12" width="7.5703125" style="2" bestFit="1" customWidth="1"/>
    <col min="13" max="13" width="12" style="3" bestFit="1" customWidth="1"/>
    <col min="14" max="14" width="11" style="3" bestFit="1" customWidth="1"/>
    <col min="15" max="15" width="12" style="3" bestFit="1" customWidth="1"/>
    <col min="16" max="16" width="9.5703125" style="1" bestFit="1" customWidth="1"/>
    <col min="17" max="17" width="12.140625" style="1" bestFit="1" customWidth="1"/>
    <col min="18" max="18" width="6.28515625" style="1" bestFit="1" customWidth="1"/>
    <col min="19" max="19" width="12" style="3" bestFit="1" customWidth="1"/>
    <col min="20" max="20" width="10.5703125" style="1" bestFit="1" customWidth="1"/>
    <col min="21" max="21" width="8.42578125" style="1" bestFit="1" customWidth="1"/>
    <col min="22" max="22" width="7.7109375" style="9" bestFit="1" customWidth="1"/>
    <col min="23" max="23" width="12" style="1" bestFit="1" customWidth="1"/>
    <col min="24" max="16384" width="11.42578125" style="1"/>
  </cols>
  <sheetData>
    <row r="3" spans="2:23" s="8" customFormat="1" ht="30">
      <c r="B3" s="5" t="s">
        <v>0</v>
      </c>
      <c r="C3" s="6" t="s">
        <v>14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18</v>
      </c>
      <c r="K3" s="7" t="s">
        <v>7</v>
      </c>
      <c r="L3" s="6" t="s">
        <v>13</v>
      </c>
      <c r="M3" s="7" t="s">
        <v>8</v>
      </c>
      <c r="N3" s="7" t="s">
        <v>24</v>
      </c>
      <c r="O3" s="7" t="s">
        <v>25</v>
      </c>
      <c r="P3" s="6" t="s">
        <v>11</v>
      </c>
      <c r="Q3" s="6" t="s">
        <v>12</v>
      </c>
      <c r="R3" s="6"/>
      <c r="S3" s="7" t="s">
        <v>9</v>
      </c>
      <c r="T3" s="6" t="s">
        <v>10</v>
      </c>
      <c r="U3" s="6" t="s">
        <v>32</v>
      </c>
      <c r="V3" s="6" t="s">
        <v>47</v>
      </c>
    </row>
    <row r="4" spans="2:23">
      <c r="B4" s="19">
        <v>42331</v>
      </c>
      <c r="C4" s="16" t="s">
        <v>15</v>
      </c>
      <c r="D4" s="17" t="s">
        <v>16</v>
      </c>
      <c r="E4" s="16"/>
      <c r="F4" s="18">
        <v>39480</v>
      </c>
      <c r="G4" s="18"/>
      <c r="H4" s="16" t="s">
        <v>36</v>
      </c>
      <c r="I4" s="19">
        <v>42354</v>
      </c>
      <c r="J4" s="18">
        <f t="shared" ref="J4:J15" si="0">+F4</f>
        <v>39480</v>
      </c>
      <c r="K4" s="18">
        <v>2.8330000000000002</v>
      </c>
      <c r="L4" s="17" t="s">
        <v>34</v>
      </c>
      <c r="M4" s="18">
        <f>+K4*J4</f>
        <v>111846.84000000001</v>
      </c>
      <c r="N4" s="18">
        <f t="shared" ref="N4:N15" si="1">+M4*0.18</f>
        <v>20132.431200000003</v>
      </c>
      <c r="O4" s="18">
        <f>+N4+M4</f>
        <v>131979.27120000002</v>
      </c>
      <c r="P4" s="16" t="s">
        <v>30</v>
      </c>
      <c r="Q4" s="16">
        <v>9691</v>
      </c>
      <c r="R4" s="16" t="s">
        <v>46</v>
      </c>
      <c r="S4" s="18">
        <v>131979.77100000001</v>
      </c>
      <c r="T4" s="19">
        <v>42422</v>
      </c>
      <c r="U4" s="18">
        <f>+O4-S4</f>
        <v>-0.49979999999050051</v>
      </c>
      <c r="V4" s="25" t="s">
        <v>48</v>
      </c>
      <c r="W4" s="3"/>
    </row>
    <row r="5" spans="2:23">
      <c r="B5" s="19">
        <v>42338</v>
      </c>
      <c r="C5" s="16" t="s">
        <v>15</v>
      </c>
      <c r="D5" s="17" t="s">
        <v>16</v>
      </c>
      <c r="E5" s="16"/>
      <c r="F5" s="18">
        <v>38560</v>
      </c>
      <c r="G5" s="18"/>
      <c r="H5" s="16" t="s">
        <v>37</v>
      </c>
      <c r="I5" s="19">
        <v>42356</v>
      </c>
      <c r="J5" s="18">
        <f t="shared" si="0"/>
        <v>38560</v>
      </c>
      <c r="K5" s="18">
        <v>2.8330000000000002</v>
      </c>
      <c r="L5" s="17" t="s">
        <v>34</v>
      </c>
      <c r="M5" s="18">
        <f t="shared" ref="M5:M10" si="2">+K5*J5</f>
        <v>109240.48000000001</v>
      </c>
      <c r="N5" s="18">
        <f t="shared" si="1"/>
        <v>19663.286400000001</v>
      </c>
      <c r="O5" s="18">
        <f t="shared" ref="O5:O14" si="3">+N5+M5</f>
        <v>128903.76640000001</v>
      </c>
      <c r="P5" s="16" t="s">
        <v>30</v>
      </c>
      <c r="Q5" s="16">
        <v>9692</v>
      </c>
      <c r="R5" s="16" t="s">
        <v>46</v>
      </c>
      <c r="S5" s="18">
        <v>128904.266</v>
      </c>
      <c r="T5" s="19">
        <v>42422</v>
      </c>
      <c r="U5" s="18">
        <f t="shared" ref="U5:U12" si="4">+O5-S5</f>
        <v>-0.49959999999555293</v>
      </c>
      <c r="V5" s="25" t="s">
        <v>48</v>
      </c>
      <c r="W5" s="3"/>
    </row>
    <row r="6" spans="2:23">
      <c r="B6" s="19">
        <v>42338</v>
      </c>
      <c r="C6" s="16" t="s">
        <v>15</v>
      </c>
      <c r="D6" s="17" t="s">
        <v>16</v>
      </c>
      <c r="E6" s="16"/>
      <c r="F6" s="18">
        <v>35760</v>
      </c>
      <c r="G6" s="18"/>
      <c r="H6" s="16" t="s">
        <v>38</v>
      </c>
      <c r="I6" s="19">
        <v>42358</v>
      </c>
      <c r="J6" s="18">
        <f t="shared" si="0"/>
        <v>35760</v>
      </c>
      <c r="K6" s="18">
        <v>2.8330000000000002</v>
      </c>
      <c r="L6" s="17" t="s">
        <v>34</v>
      </c>
      <c r="M6" s="18">
        <f t="shared" si="2"/>
        <v>101308.08</v>
      </c>
      <c r="N6" s="18">
        <f t="shared" si="1"/>
        <v>18235.454399999999</v>
      </c>
      <c r="O6" s="18">
        <f t="shared" si="3"/>
        <v>119543.5344</v>
      </c>
      <c r="P6" s="16" t="s">
        <v>30</v>
      </c>
      <c r="Q6" s="16">
        <v>2937</v>
      </c>
      <c r="R6" s="16" t="s">
        <v>45</v>
      </c>
      <c r="S6" s="18">
        <v>119544.034</v>
      </c>
      <c r="T6" s="19">
        <v>42415</v>
      </c>
      <c r="U6" s="18">
        <f t="shared" si="4"/>
        <v>-0.49959999999555293</v>
      </c>
      <c r="V6" s="25" t="s">
        <v>48</v>
      </c>
    </row>
    <row r="7" spans="2:23">
      <c r="B7" s="19">
        <v>42345</v>
      </c>
      <c r="C7" s="16" t="s">
        <v>15</v>
      </c>
      <c r="D7" s="17" t="s">
        <v>16</v>
      </c>
      <c r="E7" s="16"/>
      <c r="F7" s="18">
        <v>38740</v>
      </c>
      <c r="G7" s="18"/>
      <c r="H7" s="16" t="s">
        <v>40</v>
      </c>
      <c r="I7" s="19">
        <v>42361</v>
      </c>
      <c r="J7" s="18">
        <f t="shared" si="0"/>
        <v>38740</v>
      </c>
      <c r="K7" s="18">
        <v>2.9</v>
      </c>
      <c r="L7" s="17" t="s">
        <v>34</v>
      </c>
      <c r="M7" s="18">
        <f t="shared" si="2"/>
        <v>112346</v>
      </c>
      <c r="N7" s="18">
        <f t="shared" si="1"/>
        <v>20222.28</v>
      </c>
      <c r="O7" s="18">
        <f t="shared" si="3"/>
        <v>132568.28</v>
      </c>
      <c r="P7" s="16" t="s">
        <v>30</v>
      </c>
      <c r="Q7" s="16">
        <v>3527</v>
      </c>
      <c r="R7" s="16" t="s">
        <v>45</v>
      </c>
      <c r="S7" s="18">
        <v>132568.78</v>
      </c>
      <c r="T7" s="19">
        <v>42699</v>
      </c>
      <c r="U7" s="18">
        <f t="shared" si="4"/>
        <v>-0.5</v>
      </c>
      <c r="V7" s="25" t="s">
        <v>48</v>
      </c>
    </row>
    <row r="8" spans="2:23" s="130" customFormat="1">
      <c r="B8" s="131">
        <v>42345</v>
      </c>
      <c r="C8" s="132" t="s">
        <v>15</v>
      </c>
      <c r="D8" s="133" t="s">
        <v>16</v>
      </c>
      <c r="E8" s="132"/>
      <c r="F8" s="134">
        <v>40200</v>
      </c>
      <c r="G8" s="134"/>
      <c r="H8" s="132" t="s">
        <v>35</v>
      </c>
      <c r="I8" s="131">
        <v>42362</v>
      </c>
      <c r="J8" s="134">
        <f t="shared" si="0"/>
        <v>40200</v>
      </c>
      <c r="K8" s="134">
        <v>2.9</v>
      </c>
      <c r="L8" s="133" t="s">
        <v>34</v>
      </c>
      <c r="M8" s="134">
        <f t="shared" si="2"/>
        <v>116580</v>
      </c>
      <c r="N8" s="134">
        <f t="shared" si="1"/>
        <v>20984.399999999998</v>
      </c>
      <c r="O8" s="134">
        <f t="shared" si="3"/>
        <v>137564.4</v>
      </c>
      <c r="P8" s="132" t="s">
        <v>30</v>
      </c>
      <c r="Q8" s="132">
        <v>3528</v>
      </c>
      <c r="R8" s="132" t="s">
        <v>45</v>
      </c>
      <c r="S8" s="134">
        <v>137564.9</v>
      </c>
      <c r="T8" s="131">
        <v>42699</v>
      </c>
      <c r="U8" s="134">
        <f t="shared" si="4"/>
        <v>-0.5</v>
      </c>
      <c r="V8" s="135" t="s">
        <v>48</v>
      </c>
    </row>
    <row r="9" spans="2:23" s="130" customFormat="1">
      <c r="B9" s="131">
        <v>42353</v>
      </c>
      <c r="C9" s="132" t="s">
        <v>15</v>
      </c>
      <c r="D9" s="133" t="s">
        <v>16</v>
      </c>
      <c r="E9" s="132"/>
      <c r="F9" s="134">
        <v>40020</v>
      </c>
      <c r="G9" s="134"/>
      <c r="H9" s="132" t="s">
        <v>44</v>
      </c>
      <c r="I9" s="131">
        <v>42363</v>
      </c>
      <c r="J9" s="134">
        <f t="shared" si="0"/>
        <v>40020</v>
      </c>
      <c r="K9" s="134">
        <v>2.9</v>
      </c>
      <c r="L9" s="133" t="s">
        <v>34</v>
      </c>
      <c r="M9" s="134">
        <f t="shared" si="2"/>
        <v>116058</v>
      </c>
      <c r="N9" s="134">
        <f t="shared" si="1"/>
        <v>20890.439999999999</v>
      </c>
      <c r="O9" s="134">
        <f t="shared" si="3"/>
        <v>136948.44</v>
      </c>
      <c r="P9" s="132" t="s">
        <v>30</v>
      </c>
      <c r="Q9" s="132">
        <v>3529</v>
      </c>
      <c r="R9" s="132" t="s">
        <v>45</v>
      </c>
      <c r="S9" s="134">
        <v>136948.94</v>
      </c>
      <c r="T9" s="131">
        <v>42699</v>
      </c>
      <c r="U9" s="134">
        <f t="shared" si="4"/>
        <v>-0.5</v>
      </c>
      <c r="V9" s="135" t="s">
        <v>48</v>
      </c>
    </row>
    <row r="10" spans="2:23">
      <c r="B10" s="19">
        <v>42353</v>
      </c>
      <c r="C10" s="16" t="s">
        <v>15</v>
      </c>
      <c r="D10" s="17" t="s">
        <v>16</v>
      </c>
      <c r="E10" s="16"/>
      <c r="F10" s="18">
        <v>40000</v>
      </c>
      <c r="G10" s="18"/>
      <c r="H10" s="16" t="s">
        <v>41</v>
      </c>
      <c r="I10" s="19">
        <v>42363</v>
      </c>
      <c r="J10" s="18">
        <f t="shared" si="0"/>
        <v>40000</v>
      </c>
      <c r="K10" s="18">
        <v>2.9</v>
      </c>
      <c r="L10" s="17" t="s">
        <v>34</v>
      </c>
      <c r="M10" s="18">
        <f t="shared" si="2"/>
        <v>116000</v>
      </c>
      <c r="N10" s="18">
        <f t="shared" si="1"/>
        <v>20880</v>
      </c>
      <c r="O10" s="18">
        <f t="shared" si="3"/>
        <v>136880</v>
      </c>
      <c r="P10" s="16" t="s">
        <v>30</v>
      </c>
      <c r="Q10" s="16">
        <v>3530</v>
      </c>
      <c r="R10" s="16" t="s">
        <v>45</v>
      </c>
      <c r="S10" s="18">
        <v>136880.5</v>
      </c>
      <c r="T10" s="19">
        <v>42699</v>
      </c>
      <c r="U10" s="18">
        <f t="shared" si="4"/>
        <v>-0.5</v>
      </c>
      <c r="V10" s="25" t="s">
        <v>48</v>
      </c>
    </row>
    <row r="11" spans="2:23">
      <c r="B11" s="19">
        <v>42356</v>
      </c>
      <c r="C11" s="16" t="s">
        <v>15</v>
      </c>
      <c r="D11" s="17" t="s">
        <v>16</v>
      </c>
      <c r="E11" s="16"/>
      <c r="F11" s="18">
        <v>40020</v>
      </c>
      <c r="G11" s="18"/>
      <c r="H11" s="16" t="s">
        <v>43</v>
      </c>
      <c r="I11" s="19">
        <v>42364</v>
      </c>
      <c r="J11" s="18">
        <f t="shared" si="0"/>
        <v>40020</v>
      </c>
      <c r="K11" s="18">
        <v>2.9</v>
      </c>
      <c r="L11" s="17" t="s">
        <v>34</v>
      </c>
      <c r="M11" s="18">
        <f>+K11*J11</f>
        <v>116058</v>
      </c>
      <c r="N11" s="18">
        <f t="shared" si="1"/>
        <v>20890.439999999999</v>
      </c>
      <c r="O11" s="18">
        <f t="shared" si="3"/>
        <v>136948.44</v>
      </c>
      <c r="P11" s="16" t="s">
        <v>30</v>
      </c>
      <c r="Q11" s="16">
        <v>3531</v>
      </c>
      <c r="R11" s="16" t="s">
        <v>45</v>
      </c>
      <c r="S11" s="18">
        <v>136948.94</v>
      </c>
      <c r="T11" s="19">
        <v>42699</v>
      </c>
      <c r="U11" s="18">
        <f t="shared" si="4"/>
        <v>-0.5</v>
      </c>
      <c r="V11" s="25" t="s">
        <v>48</v>
      </c>
    </row>
    <row r="12" spans="2:23" ht="15.75" thickBot="1">
      <c r="B12" s="19">
        <v>42356</v>
      </c>
      <c r="C12" s="16" t="s">
        <v>15</v>
      </c>
      <c r="D12" s="17" t="s">
        <v>16</v>
      </c>
      <c r="E12" s="16"/>
      <c r="F12" s="18">
        <v>40060</v>
      </c>
      <c r="G12" s="18"/>
      <c r="H12" s="16" t="s">
        <v>39</v>
      </c>
      <c r="I12" s="19">
        <v>42360</v>
      </c>
      <c r="J12" s="18">
        <f t="shared" si="0"/>
        <v>40060</v>
      </c>
      <c r="K12" s="18">
        <v>2.9</v>
      </c>
      <c r="L12" s="17" t="s">
        <v>34</v>
      </c>
      <c r="M12" s="18">
        <f>+K12*J12</f>
        <v>116174</v>
      </c>
      <c r="N12" s="18">
        <f t="shared" si="1"/>
        <v>20911.32</v>
      </c>
      <c r="O12" s="134">
        <f t="shared" si="3"/>
        <v>137085.32</v>
      </c>
      <c r="P12" s="16" t="s">
        <v>30</v>
      </c>
      <c r="Q12" s="16">
        <v>3526</v>
      </c>
      <c r="R12" s="16" t="s">
        <v>45</v>
      </c>
      <c r="S12" s="18">
        <v>137085.82</v>
      </c>
      <c r="T12" s="19">
        <v>42699</v>
      </c>
      <c r="U12" s="18">
        <f t="shared" si="4"/>
        <v>-0.5</v>
      </c>
      <c r="V12" s="25" t="s">
        <v>48</v>
      </c>
    </row>
    <row r="13" spans="2:23">
      <c r="B13" s="10">
        <v>42360</v>
      </c>
      <c r="C13" s="11" t="s">
        <v>17</v>
      </c>
      <c r="D13" s="12" t="s">
        <v>16</v>
      </c>
      <c r="E13" s="11"/>
      <c r="F13" s="13">
        <v>2866</v>
      </c>
      <c r="G13" s="13"/>
      <c r="H13" s="11" t="s">
        <v>42</v>
      </c>
      <c r="I13" s="14">
        <v>42364</v>
      </c>
      <c r="J13" s="13">
        <f t="shared" si="0"/>
        <v>2866</v>
      </c>
      <c r="K13" s="13">
        <v>3</v>
      </c>
      <c r="L13" s="12" t="s">
        <v>34</v>
      </c>
      <c r="M13" s="13">
        <f>+K13*J13</f>
        <v>8598</v>
      </c>
      <c r="N13" s="13">
        <f t="shared" si="1"/>
        <v>1547.6399999999999</v>
      </c>
      <c r="O13" s="13">
        <f t="shared" si="3"/>
        <v>10145.64</v>
      </c>
      <c r="P13" s="11" t="s">
        <v>30</v>
      </c>
      <c r="Q13" s="11">
        <v>2936</v>
      </c>
      <c r="R13" s="11" t="s">
        <v>45</v>
      </c>
      <c r="S13" s="13">
        <v>43266.38</v>
      </c>
      <c r="T13" s="14">
        <v>42415</v>
      </c>
      <c r="U13" s="26">
        <f>+O13+O14+O15-S13</f>
        <v>-0.49999999999272404</v>
      </c>
      <c r="V13" s="25" t="s">
        <v>48</v>
      </c>
    </row>
    <row r="14" spans="2:23">
      <c r="B14" s="15">
        <v>42356</v>
      </c>
      <c r="C14" s="16" t="s">
        <v>17</v>
      </c>
      <c r="D14" s="17" t="s">
        <v>16</v>
      </c>
      <c r="E14" s="16"/>
      <c r="F14" s="18">
        <v>4018</v>
      </c>
      <c r="G14" s="18"/>
      <c r="H14" s="16" t="s">
        <v>42</v>
      </c>
      <c r="I14" s="19">
        <v>42364</v>
      </c>
      <c r="J14" s="18">
        <f t="shared" si="0"/>
        <v>4018</v>
      </c>
      <c r="K14" s="18">
        <v>3</v>
      </c>
      <c r="L14" s="17" t="s">
        <v>34</v>
      </c>
      <c r="M14" s="18">
        <f>+K14*J14</f>
        <v>12054</v>
      </c>
      <c r="N14" s="18">
        <f t="shared" si="1"/>
        <v>2169.7199999999998</v>
      </c>
      <c r="O14" s="18">
        <f t="shared" si="3"/>
        <v>14223.72</v>
      </c>
      <c r="P14" s="16"/>
      <c r="Q14" s="16"/>
      <c r="R14" s="16"/>
      <c r="S14" s="18"/>
      <c r="T14" s="19"/>
      <c r="U14" s="27"/>
      <c r="V14" s="25"/>
    </row>
    <row r="15" spans="2:23" ht="15.75" thickBot="1">
      <c r="B15" s="20">
        <v>42359</v>
      </c>
      <c r="C15" s="21" t="s">
        <v>17</v>
      </c>
      <c r="D15" s="22" t="s">
        <v>16</v>
      </c>
      <c r="E15" s="21"/>
      <c r="F15" s="23">
        <v>5338</v>
      </c>
      <c r="G15" s="23"/>
      <c r="H15" s="21" t="s">
        <v>42</v>
      </c>
      <c r="I15" s="24">
        <v>42364</v>
      </c>
      <c r="J15" s="23">
        <f t="shared" si="0"/>
        <v>5338</v>
      </c>
      <c r="K15" s="23">
        <v>3</v>
      </c>
      <c r="L15" s="22" t="s">
        <v>34</v>
      </c>
      <c r="M15" s="23">
        <f>+K15*J15</f>
        <v>16014</v>
      </c>
      <c r="N15" s="23">
        <f t="shared" si="1"/>
        <v>2882.52</v>
      </c>
      <c r="O15" s="23">
        <f>+N15+M15</f>
        <v>18896.52</v>
      </c>
      <c r="P15" s="21"/>
      <c r="Q15" s="21"/>
      <c r="R15" s="21"/>
      <c r="S15" s="23"/>
      <c r="T15" s="24"/>
      <c r="U15" s="28"/>
      <c r="V15" s="25"/>
    </row>
    <row r="16" spans="2:23">
      <c r="E16" s="3"/>
      <c r="F16" s="3"/>
      <c r="G16" s="3"/>
      <c r="I16" s="4"/>
      <c r="T16" s="4"/>
      <c r="U16" s="3">
        <f>U7+U8+U9+U10+U11+U12</f>
        <v>-3</v>
      </c>
    </row>
    <row r="17" spans="5:20">
      <c r="E17" s="3"/>
      <c r="F17" s="3"/>
      <c r="G17" s="3"/>
      <c r="I17" s="4"/>
      <c r="T17" s="4"/>
    </row>
    <row r="18" spans="5:20">
      <c r="E18" s="3"/>
      <c r="F18" s="3"/>
      <c r="G18" s="3"/>
      <c r="I18" s="4"/>
      <c r="T18" s="4"/>
    </row>
    <row r="19" spans="5:20">
      <c r="E19" s="3"/>
      <c r="F19" s="3"/>
      <c r="G19" s="3"/>
      <c r="I19" s="4"/>
      <c r="T19" s="4"/>
    </row>
    <row r="20" spans="5:20">
      <c r="E20" s="3"/>
      <c r="F20" s="3"/>
      <c r="G20" s="3"/>
      <c r="I20" s="4"/>
      <c r="T20" s="4"/>
    </row>
    <row r="21" spans="5:20">
      <c r="E21" s="3"/>
      <c r="F21" s="3"/>
      <c r="G21" s="3"/>
      <c r="I21" s="4"/>
      <c r="T21" s="4"/>
    </row>
    <row r="22" spans="5:20">
      <c r="E22" s="3"/>
      <c r="F22" s="3"/>
      <c r="G22" s="3"/>
      <c r="I22" s="4"/>
      <c r="T22" s="4"/>
    </row>
    <row r="23" spans="5:20">
      <c r="E23" s="3"/>
      <c r="F23" s="3"/>
      <c r="G23" s="3"/>
      <c r="I23" s="4"/>
      <c r="T23" s="4"/>
    </row>
    <row r="24" spans="5:20">
      <c r="E24" s="3"/>
      <c r="F24" s="3"/>
      <c r="G24" s="3"/>
      <c r="I24" s="4"/>
      <c r="T24" s="4"/>
    </row>
    <row r="25" spans="5:20">
      <c r="E25" s="3"/>
      <c r="F25" s="3"/>
      <c r="G25" s="3"/>
      <c r="I25" s="4"/>
      <c r="T25" s="4"/>
    </row>
    <row r="26" spans="5:20">
      <c r="E26" s="3"/>
      <c r="F26" s="3"/>
      <c r="G26" s="3"/>
      <c r="I26" s="4"/>
      <c r="T26" s="4"/>
    </row>
    <row r="27" spans="5:20">
      <c r="E27" s="3"/>
      <c r="F27" s="3"/>
      <c r="G27" s="3"/>
      <c r="I27" s="4"/>
      <c r="T27" s="4"/>
    </row>
    <row r="28" spans="5:20">
      <c r="E28" s="3"/>
      <c r="F28" s="3"/>
      <c r="G28" s="3"/>
      <c r="I28" s="4"/>
      <c r="T28" s="4"/>
    </row>
    <row r="29" spans="5:20">
      <c r="E29" s="3"/>
      <c r="F29" s="3"/>
      <c r="G29" s="3"/>
      <c r="I29" s="4"/>
      <c r="T29" s="4"/>
    </row>
    <row r="30" spans="5:20">
      <c r="E30" s="3"/>
      <c r="F30" s="3"/>
      <c r="G30" s="3"/>
      <c r="I30" s="4"/>
      <c r="T30" s="4"/>
    </row>
    <row r="31" spans="5:20">
      <c r="E31" s="3"/>
      <c r="F31" s="3"/>
      <c r="G31" s="3"/>
      <c r="I31" s="4"/>
      <c r="T31" s="4"/>
    </row>
    <row r="32" spans="5:20">
      <c r="E32" s="3"/>
      <c r="F32" s="3"/>
      <c r="G32" s="3"/>
      <c r="I32" s="4"/>
      <c r="T32" s="4"/>
    </row>
    <row r="33" spans="5:20">
      <c r="E33" s="3"/>
      <c r="F33" s="3"/>
      <c r="G33" s="3"/>
      <c r="I33" s="4"/>
      <c r="T33" s="4"/>
    </row>
    <row r="34" spans="5:20">
      <c r="E34" s="3"/>
      <c r="F34" s="3"/>
      <c r="G34" s="3"/>
      <c r="I34" s="4"/>
      <c r="T34" s="4"/>
    </row>
    <row r="35" spans="5:20">
      <c r="E35" s="3"/>
      <c r="F35" s="3"/>
      <c r="G35" s="3"/>
      <c r="I35" s="4"/>
      <c r="T35" s="4"/>
    </row>
    <row r="36" spans="5:20">
      <c r="E36" s="3"/>
      <c r="F36" s="3"/>
      <c r="G36" s="3"/>
      <c r="I36" s="4"/>
      <c r="T36" s="4"/>
    </row>
    <row r="37" spans="5:20">
      <c r="E37" s="3"/>
      <c r="F37" s="3"/>
      <c r="G37" s="3"/>
      <c r="I37" s="4"/>
      <c r="T37" s="4"/>
    </row>
    <row r="38" spans="5:20">
      <c r="E38" s="3"/>
      <c r="F38" s="3"/>
      <c r="G38" s="3"/>
      <c r="I38" s="4"/>
      <c r="T38" s="4"/>
    </row>
    <row r="39" spans="5:20">
      <c r="E39" s="3"/>
      <c r="F39" s="3"/>
      <c r="G39" s="3"/>
      <c r="I39" s="4"/>
      <c r="T39" s="4"/>
    </row>
    <row r="40" spans="5:20">
      <c r="E40" s="3"/>
      <c r="F40" s="3"/>
      <c r="G40" s="3"/>
      <c r="I40" s="4"/>
      <c r="T40" s="4"/>
    </row>
    <row r="41" spans="5:20">
      <c r="E41" s="3"/>
      <c r="F41" s="3"/>
      <c r="G41" s="3"/>
      <c r="I41" s="4"/>
      <c r="T41" s="4"/>
    </row>
    <row r="42" spans="5:20">
      <c r="E42" s="3"/>
      <c r="F42" s="3"/>
      <c r="G42" s="3"/>
      <c r="I42" s="4"/>
      <c r="T42" s="4"/>
    </row>
    <row r="43" spans="5:20">
      <c r="E43" s="3"/>
      <c r="F43" s="3"/>
      <c r="G43" s="3"/>
      <c r="I43" s="4"/>
      <c r="T43" s="4"/>
    </row>
    <row r="44" spans="5:20">
      <c r="E44" s="3"/>
      <c r="F44" s="3"/>
      <c r="G44" s="3"/>
      <c r="I44" s="4"/>
      <c r="T44" s="4"/>
    </row>
    <row r="45" spans="5:20">
      <c r="E45" s="3"/>
      <c r="F45" s="3"/>
      <c r="G45" s="3"/>
      <c r="I45" s="4"/>
      <c r="T45" s="4"/>
    </row>
    <row r="46" spans="5:20">
      <c r="E46" s="3"/>
      <c r="F46" s="3"/>
      <c r="G46" s="3"/>
      <c r="I46" s="4"/>
      <c r="T46" s="4"/>
    </row>
    <row r="47" spans="5:20">
      <c r="E47" s="3"/>
      <c r="F47" s="3"/>
      <c r="G47" s="3"/>
      <c r="I47" s="4"/>
      <c r="T47" s="4"/>
    </row>
    <row r="48" spans="5:20">
      <c r="E48" s="3"/>
      <c r="F48" s="3"/>
      <c r="G48" s="3"/>
      <c r="I48" s="4"/>
      <c r="T48" s="4"/>
    </row>
    <row r="49" spans="5:20">
      <c r="E49" s="3"/>
      <c r="F49" s="3"/>
      <c r="G49" s="3"/>
      <c r="I49" s="4"/>
      <c r="T49" s="4"/>
    </row>
    <row r="50" spans="5:20">
      <c r="E50" s="3"/>
      <c r="F50" s="3"/>
      <c r="G50" s="3"/>
      <c r="I50" s="4"/>
      <c r="T50" s="4"/>
    </row>
    <row r="51" spans="5:20">
      <c r="E51" s="3"/>
      <c r="F51" s="3"/>
      <c r="G51" s="3"/>
      <c r="I51" s="4"/>
      <c r="T51" s="4"/>
    </row>
    <row r="52" spans="5:20">
      <c r="E52" s="3"/>
      <c r="F52" s="3"/>
      <c r="G52" s="3"/>
      <c r="I52" s="4"/>
      <c r="T52" s="4"/>
    </row>
    <row r="53" spans="5:20">
      <c r="E53" s="3"/>
      <c r="F53" s="3"/>
      <c r="G53" s="3"/>
      <c r="I53" s="4"/>
      <c r="T53" s="4"/>
    </row>
    <row r="54" spans="5:20">
      <c r="E54" s="3"/>
      <c r="F54" s="3"/>
      <c r="G54" s="3"/>
      <c r="I54" s="4"/>
      <c r="T54" s="4"/>
    </row>
    <row r="55" spans="5:20">
      <c r="E55" s="3"/>
      <c r="F55" s="3"/>
      <c r="G55" s="3"/>
      <c r="I55" s="4"/>
      <c r="T55" s="4"/>
    </row>
    <row r="56" spans="5:20">
      <c r="E56" s="3"/>
      <c r="F56" s="3"/>
      <c r="G56" s="3"/>
      <c r="I56" s="4"/>
      <c r="T56" s="4"/>
    </row>
    <row r="57" spans="5:20">
      <c r="E57" s="3"/>
      <c r="F57" s="3"/>
      <c r="G57" s="3"/>
      <c r="I57" s="4"/>
      <c r="T57" s="4"/>
    </row>
    <row r="58" spans="5:20">
      <c r="E58" s="3"/>
      <c r="F58" s="3"/>
      <c r="G58" s="3"/>
      <c r="I58" s="4"/>
      <c r="T58" s="4"/>
    </row>
    <row r="59" spans="5:20">
      <c r="E59" s="3"/>
      <c r="F59" s="3"/>
      <c r="G59" s="3"/>
      <c r="I59" s="4"/>
      <c r="T59" s="4"/>
    </row>
    <row r="60" spans="5:20">
      <c r="E60" s="3"/>
      <c r="F60" s="3"/>
      <c r="G60" s="3"/>
      <c r="I60" s="4"/>
      <c r="T60" s="4"/>
    </row>
    <row r="61" spans="5:20">
      <c r="E61" s="3"/>
      <c r="F61" s="3"/>
      <c r="G61" s="3"/>
      <c r="I61" s="4"/>
      <c r="T61" s="4"/>
    </row>
    <row r="62" spans="5:20">
      <c r="E62" s="3"/>
      <c r="F62" s="3"/>
      <c r="G62" s="3"/>
      <c r="I62" s="4"/>
      <c r="T62" s="4"/>
    </row>
    <row r="63" spans="5:20">
      <c r="E63" s="3"/>
      <c r="F63" s="3"/>
      <c r="G63" s="3"/>
      <c r="I63" s="4"/>
      <c r="T63" s="4"/>
    </row>
    <row r="64" spans="5:20">
      <c r="E64" s="3"/>
      <c r="F64" s="3"/>
      <c r="G64" s="3"/>
      <c r="I64" s="4"/>
      <c r="T64" s="4"/>
    </row>
    <row r="65" spans="5:20">
      <c r="E65" s="3"/>
      <c r="F65" s="3"/>
      <c r="G65" s="3"/>
      <c r="I65" s="4"/>
      <c r="T65" s="4"/>
    </row>
    <row r="66" spans="5:20">
      <c r="E66" s="3"/>
      <c r="F66" s="3"/>
      <c r="G66" s="3"/>
      <c r="I66" s="4"/>
      <c r="T66" s="4"/>
    </row>
    <row r="67" spans="5:20">
      <c r="E67" s="3"/>
      <c r="F67" s="3"/>
      <c r="G67" s="3"/>
      <c r="I67" s="4"/>
      <c r="T67" s="4"/>
    </row>
    <row r="68" spans="5:20">
      <c r="E68" s="3"/>
      <c r="F68" s="3"/>
      <c r="G68" s="3"/>
      <c r="I68" s="4"/>
      <c r="T68" s="4"/>
    </row>
    <row r="69" spans="5:20">
      <c r="E69" s="3"/>
      <c r="F69" s="3"/>
      <c r="G69" s="3"/>
      <c r="I69" s="4"/>
      <c r="T69" s="4"/>
    </row>
    <row r="70" spans="5:20">
      <c r="E70" s="3"/>
      <c r="F70" s="3"/>
      <c r="G70" s="3"/>
      <c r="I70" s="4"/>
      <c r="T70" s="4"/>
    </row>
    <row r="71" spans="5:20">
      <c r="E71" s="3"/>
      <c r="F71" s="3"/>
      <c r="G71" s="3"/>
      <c r="I71" s="4"/>
      <c r="T71" s="4"/>
    </row>
    <row r="72" spans="5:20">
      <c r="E72" s="3"/>
      <c r="F72" s="3"/>
      <c r="G72" s="3"/>
      <c r="I72" s="4"/>
      <c r="T72" s="4"/>
    </row>
    <row r="73" spans="5:20">
      <c r="E73" s="3"/>
      <c r="F73" s="3"/>
      <c r="G73" s="3"/>
      <c r="I73" s="4"/>
      <c r="T73" s="4"/>
    </row>
    <row r="74" spans="5:20">
      <c r="E74" s="3"/>
      <c r="F74" s="3"/>
      <c r="G74" s="3"/>
      <c r="I74" s="4"/>
      <c r="T74" s="4"/>
    </row>
    <row r="75" spans="5:20">
      <c r="E75" s="3"/>
      <c r="F75" s="3"/>
      <c r="G75" s="3"/>
      <c r="I75" s="4"/>
      <c r="T75" s="4"/>
    </row>
    <row r="76" spans="5:20">
      <c r="E76" s="3"/>
      <c r="F76" s="3"/>
      <c r="G76" s="3"/>
      <c r="I76" s="4"/>
      <c r="T76" s="4"/>
    </row>
    <row r="77" spans="5:20">
      <c r="E77" s="3"/>
      <c r="F77" s="3"/>
      <c r="G77" s="3"/>
      <c r="I77" s="4"/>
      <c r="T77" s="4"/>
    </row>
    <row r="78" spans="5:20">
      <c r="E78" s="3"/>
      <c r="F78" s="3"/>
      <c r="G78" s="3"/>
      <c r="I78" s="4"/>
      <c r="T78" s="4"/>
    </row>
    <row r="79" spans="5:20">
      <c r="E79" s="3"/>
      <c r="F79" s="3"/>
      <c r="G79" s="3"/>
      <c r="I79" s="4"/>
      <c r="T79" s="4"/>
    </row>
    <row r="80" spans="5:20">
      <c r="E80" s="3"/>
      <c r="F80" s="3"/>
      <c r="G80" s="3"/>
      <c r="I80" s="4"/>
      <c r="T80" s="4"/>
    </row>
    <row r="81" spans="5:20">
      <c r="E81" s="3"/>
      <c r="F81" s="3"/>
      <c r="G81" s="3"/>
      <c r="I81" s="4"/>
      <c r="T81" s="4"/>
    </row>
    <row r="82" spans="5:20">
      <c r="E82" s="3"/>
      <c r="F82" s="3"/>
      <c r="G82" s="3"/>
      <c r="I82" s="4"/>
      <c r="T82" s="4"/>
    </row>
    <row r="83" spans="5:20">
      <c r="E83" s="3"/>
      <c r="F83" s="3"/>
      <c r="G83" s="3"/>
      <c r="I83" s="4"/>
      <c r="T83" s="4"/>
    </row>
    <row r="84" spans="5:20">
      <c r="E84" s="3"/>
      <c r="F84" s="3"/>
      <c r="G84" s="3"/>
      <c r="I84" s="4"/>
      <c r="T84" s="4"/>
    </row>
    <row r="85" spans="5:20">
      <c r="E85" s="3"/>
      <c r="F85" s="3"/>
      <c r="G85" s="3"/>
      <c r="I85" s="4"/>
      <c r="T85" s="4"/>
    </row>
    <row r="86" spans="5:20">
      <c r="E86" s="3"/>
      <c r="F86" s="3"/>
      <c r="G86" s="3"/>
      <c r="I86" s="4"/>
      <c r="T86" s="4"/>
    </row>
    <row r="87" spans="5:20">
      <c r="E87" s="3"/>
      <c r="F87" s="3"/>
      <c r="G87" s="3"/>
      <c r="I87" s="4"/>
      <c r="T87" s="4"/>
    </row>
    <row r="88" spans="5:20">
      <c r="E88" s="3"/>
      <c r="F88" s="3"/>
      <c r="G88" s="3"/>
      <c r="I88" s="4"/>
      <c r="T88" s="4"/>
    </row>
    <row r="89" spans="5:20">
      <c r="E89" s="3"/>
      <c r="F89" s="3"/>
      <c r="G89" s="3"/>
      <c r="I89" s="4"/>
      <c r="T89" s="4"/>
    </row>
    <row r="90" spans="5:20">
      <c r="E90" s="3"/>
      <c r="F90" s="3"/>
      <c r="G90" s="3"/>
      <c r="I90" s="4"/>
      <c r="T90" s="4"/>
    </row>
    <row r="91" spans="5:20">
      <c r="E91" s="3"/>
      <c r="F91" s="3"/>
      <c r="G91" s="3"/>
      <c r="I91" s="4"/>
      <c r="T91" s="4"/>
    </row>
    <row r="92" spans="5:20">
      <c r="E92" s="3"/>
      <c r="F92" s="3"/>
      <c r="G92" s="3"/>
      <c r="I92" s="4"/>
      <c r="T92" s="4"/>
    </row>
    <row r="93" spans="5:20">
      <c r="E93" s="3"/>
      <c r="F93" s="3"/>
      <c r="G93" s="3"/>
      <c r="I93" s="4"/>
      <c r="T93" s="4"/>
    </row>
    <row r="94" spans="5:20">
      <c r="E94" s="3"/>
      <c r="F94" s="3"/>
      <c r="G94" s="3"/>
      <c r="I94" s="4"/>
      <c r="T94" s="4"/>
    </row>
    <row r="95" spans="5:20">
      <c r="E95" s="3"/>
      <c r="F95" s="3"/>
      <c r="G95" s="3"/>
      <c r="I95" s="4"/>
      <c r="T95" s="4"/>
    </row>
    <row r="96" spans="5:20">
      <c r="E96" s="3"/>
      <c r="F96" s="3"/>
      <c r="G96" s="3"/>
      <c r="I96" s="4"/>
      <c r="T96" s="4"/>
    </row>
    <row r="97" spans="5:20">
      <c r="E97" s="3"/>
      <c r="F97" s="3"/>
      <c r="G97" s="3"/>
      <c r="I97" s="4"/>
      <c r="T97" s="4"/>
    </row>
    <row r="98" spans="5:20">
      <c r="E98" s="3"/>
      <c r="F98" s="3"/>
      <c r="G98" s="3"/>
      <c r="I98" s="4"/>
      <c r="T98" s="4"/>
    </row>
    <row r="99" spans="5:20">
      <c r="E99" s="3"/>
      <c r="F99" s="3"/>
      <c r="G99" s="3"/>
      <c r="I99" s="4"/>
      <c r="T99" s="4"/>
    </row>
    <row r="100" spans="5:20">
      <c r="E100" s="3"/>
      <c r="F100" s="3"/>
      <c r="G100" s="3"/>
      <c r="I100" s="4"/>
      <c r="T100" s="4"/>
    </row>
    <row r="101" spans="5:20">
      <c r="E101" s="3"/>
      <c r="F101" s="3"/>
      <c r="G101" s="3"/>
      <c r="I101" s="4"/>
      <c r="T101" s="4"/>
    </row>
    <row r="102" spans="5:20">
      <c r="E102" s="3"/>
      <c r="F102" s="3"/>
      <c r="G102" s="3"/>
      <c r="I102" s="4"/>
      <c r="T102" s="4"/>
    </row>
    <row r="103" spans="5:20">
      <c r="E103" s="3"/>
      <c r="F103" s="3"/>
      <c r="G103" s="3"/>
      <c r="I103" s="4"/>
      <c r="T103" s="4"/>
    </row>
    <row r="104" spans="5:20">
      <c r="E104" s="3"/>
      <c r="F104" s="3"/>
      <c r="G104" s="3"/>
      <c r="I104" s="4"/>
      <c r="T104" s="4"/>
    </row>
    <row r="105" spans="5:20">
      <c r="E105" s="3"/>
      <c r="F105" s="3"/>
      <c r="G105" s="3"/>
      <c r="I105" s="4"/>
      <c r="T105" s="4"/>
    </row>
    <row r="106" spans="5:20">
      <c r="E106" s="3"/>
      <c r="F106" s="3"/>
      <c r="G106" s="3"/>
      <c r="I106" s="4"/>
      <c r="T106" s="4"/>
    </row>
    <row r="107" spans="5:20">
      <c r="E107" s="3"/>
      <c r="F107" s="3"/>
      <c r="G107" s="3"/>
      <c r="I107" s="4"/>
      <c r="T107" s="4"/>
    </row>
    <row r="108" spans="5:20">
      <c r="E108" s="3"/>
      <c r="F108" s="3"/>
      <c r="G108" s="3"/>
      <c r="I108" s="4"/>
      <c r="T108" s="4"/>
    </row>
    <row r="109" spans="5:20">
      <c r="E109" s="3"/>
      <c r="F109" s="3"/>
      <c r="G109" s="3"/>
      <c r="I109" s="4"/>
      <c r="T109" s="4"/>
    </row>
    <row r="110" spans="5:20">
      <c r="E110" s="3"/>
      <c r="F110" s="3"/>
      <c r="G110" s="3"/>
      <c r="I110" s="4"/>
      <c r="T110" s="4"/>
    </row>
    <row r="111" spans="5:20">
      <c r="E111" s="3"/>
      <c r="F111" s="3"/>
      <c r="G111" s="3"/>
      <c r="I111" s="4"/>
      <c r="T111" s="4"/>
    </row>
    <row r="112" spans="5:20">
      <c r="E112" s="3"/>
      <c r="F112" s="3"/>
      <c r="G112" s="3"/>
      <c r="I112" s="4"/>
      <c r="T112" s="4"/>
    </row>
    <row r="113" spans="5:20">
      <c r="E113" s="3"/>
      <c r="F113" s="3"/>
      <c r="G113" s="3"/>
      <c r="I113" s="4"/>
      <c r="T113" s="4"/>
    </row>
    <row r="114" spans="5:20">
      <c r="E114" s="3"/>
      <c r="F114" s="3"/>
      <c r="G114" s="3"/>
      <c r="I114" s="4"/>
      <c r="T114" s="4"/>
    </row>
    <row r="115" spans="5:20">
      <c r="E115" s="3"/>
      <c r="F115" s="3"/>
      <c r="G115" s="3"/>
      <c r="I115" s="4"/>
      <c r="T115" s="4"/>
    </row>
    <row r="116" spans="5:20">
      <c r="E116" s="3"/>
      <c r="F116" s="3"/>
      <c r="G116" s="3"/>
      <c r="I116" s="4"/>
      <c r="T116" s="4"/>
    </row>
    <row r="117" spans="5:20">
      <c r="E117" s="3"/>
      <c r="F117" s="3"/>
      <c r="G117" s="3"/>
      <c r="I117" s="4"/>
      <c r="T117" s="4"/>
    </row>
    <row r="118" spans="5:20">
      <c r="E118" s="3"/>
      <c r="F118" s="3"/>
      <c r="G118" s="3"/>
      <c r="I118" s="4"/>
      <c r="T118" s="4"/>
    </row>
    <row r="119" spans="5:20">
      <c r="E119" s="3"/>
      <c r="F119" s="3"/>
      <c r="G119" s="3"/>
      <c r="I119" s="4"/>
      <c r="T119" s="4"/>
    </row>
    <row r="120" spans="5:20">
      <c r="E120" s="3"/>
      <c r="F120" s="3"/>
      <c r="G120" s="3"/>
      <c r="I120" s="4"/>
      <c r="T120" s="4"/>
    </row>
    <row r="121" spans="5:20">
      <c r="E121" s="3"/>
      <c r="F121" s="3"/>
      <c r="G121" s="3"/>
      <c r="I121" s="4"/>
      <c r="T121" s="4"/>
    </row>
    <row r="122" spans="5:20">
      <c r="E122" s="3"/>
      <c r="F122" s="3"/>
      <c r="G122" s="3"/>
      <c r="I122" s="4"/>
      <c r="T122" s="4"/>
    </row>
    <row r="123" spans="5:20">
      <c r="E123" s="3"/>
      <c r="F123" s="3"/>
      <c r="G123" s="3"/>
      <c r="I123" s="4"/>
      <c r="T123" s="4"/>
    </row>
    <row r="124" spans="5:20">
      <c r="E124" s="3"/>
      <c r="F124" s="3"/>
      <c r="G124" s="3"/>
      <c r="I124" s="4"/>
      <c r="T124" s="4"/>
    </row>
    <row r="125" spans="5:20">
      <c r="E125" s="3"/>
      <c r="F125" s="3"/>
      <c r="G125" s="3"/>
      <c r="I125" s="4"/>
      <c r="T125" s="4"/>
    </row>
    <row r="126" spans="5:20">
      <c r="E126" s="3"/>
      <c r="F126" s="3"/>
      <c r="G126" s="3"/>
      <c r="I126" s="4"/>
      <c r="T126" s="4"/>
    </row>
    <row r="127" spans="5:20">
      <c r="E127" s="3"/>
      <c r="F127" s="3"/>
      <c r="G127" s="3"/>
      <c r="I127" s="4"/>
      <c r="T127" s="4"/>
    </row>
    <row r="128" spans="5:20">
      <c r="E128" s="3"/>
      <c r="F128" s="3"/>
      <c r="G128" s="3"/>
      <c r="I128" s="4"/>
      <c r="T128" s="4"/>
    </row>
    <row r="129" spans="5:20">
      <c r="E129" s="3"/>
      <c r="F129" s="3"/>
      <c r="G129" s="3"/>
      <c r="I129" s="4"/>
      <c r="T129" s="4"/>
    </row>
    <row r="130" spans="5:20">
      <c r="E130" s="3"/>
      <c r="F130" s="3"/>
      <c r="G130" s="3"/>
      <c r="I130" s="4"/>
      <c r="T130" s="4"/>
    </row>
    <row r="131" spans="5:20">
      <c r="E131" s="3"/>
      <c r="F131" s="3"/>
      <c r="G131" s="3"/>
      <c r="I131" s="4"/>
      <c r="T131" s="4"/>
    </row>
    <row r="132" spans="5:20">
      <c r="E132" s="3"/>
      <c r="F132" s="3"/>
      <c r="G132" s="3"/>
      <c r="I132" s="4"/>
      <c r="T132" s="4"/>
    </row>
    <row r="133" spans="5:20">
      <c r="E133" s="3"/>
      <c r="F133" s="3"/>
      <c r="G133" s="3"/>
    </row>
  </sheetData>
  <pageMargins left="0" right="0" top="0" bottom="0" header="0" footer="0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5"/>
  <sheetViews>
    <sheetView workbookViewId="0">
      <selection activeCell="G4" sqref="G4"/>
    </sheetView>
  </sheetViews>
  <sheetFormatPr baseColWidth="10" defaultRowHeight="15"/>
  <cols>
    <col min="1" max="1" width="10" bestFit="1" customWidth="1"/>
    <col min="2" max="2" width="15.5703125" bestFit="1" customWidth="1"/>
    <col min="3" max="3" width="4" bestFit="1" customWidth="1"/>
    <col min="4" max="4" width="12" bestFit="1" customWidth="1"/>
    <col min="5" max="5" width="11.85546875" bestFit="1" customWidth="1"/>
    <col min="6" max="6" width="16.5703125" bestFit="1" customWidth="1"/>
    <col min="7" max="7" width="8.85546875" bestFit="1" customWidth="1"/>
    <col min="8" max="8" width="6.42578125" bestFit="1" customWidth="1"/>
    <col min="9" max="9" width="15.5703125" style="139" bestFit="1" customWidth="1"/>
    <col min="10" max="12" width="10" bestFit="1" customWidth="1"/>
  </cols>
  <sheetData>
    <row r="1" spans="1:12">
      <c r="E1" t="s">
        <v>148</v>
      </c>
      <c r="F1" t="s">
        <v>154</v>
      </c>
      <c r="G1" t="s">
        <v>155</v>
      </c>
      <c r="H1" t="s">
        <v>156</v>
      </c>
      <c r="I1" s="139" t="s">
        <v>157</v>
      </c>
    </row>
    <row r="2" spans="1:12">
      <c r="A2" s="71">
        <v>42689</v>
      </c>
      <c r="B2" s="42" t="s">
        <v>33</v>
      </c>
      <c r="C2" s="72" t="s">
        <v>16</v>
      </c>
      <c r="D2" s="58">
        <v>1262</v>
      </c>
      <c r="E2" s="58">
        <v>21235</v>
      </c>
      <c r="F2" s="138">
        <v>2.2629999999999999</v>
      </c>
      <c r="G2" s="137">
        <v>0.85</v>
      </c>
      <c r="H2" s="58">
        <f>+E2*F2*0.81*G2/1000</f>
        <v>33.085733242499998</v>
      </c>
      <c r="I2" s="79">
        <v>34</v>
      </c>
      <c r="J2" s="58">
        <f>+D2*I2</f>
        <v>42908</v>
      </c>
      <c r="K2" s="58">
        <f t="shared" ref="K2:K16" si="0">J2*0.18</f>
        <v>7723.44</v>
      </c>
      <c r="L2" s="58">
        <f t="shared" ref="L2:L16" si="1">+K2+J2</f>
        <v>50631.44</v>
      </c>
    </row>
    <row r="3" spans="1:12">
      <c r="A3" s="71">
        <v>42709</v>
      </c>
      <c r="B3" s="42" t="s">
        <v>33</v>
      </c>
      <c r="C3" s="72" t="s">
        <v>16</v>
      </c>
      <c r="D3" s="58">
        <v>359</v>
      </c>
      <c r="E3" s="58">
        <v>21235</v>
      </c>
      <c r="F3" s="138">
        <v>2.2629999999999999</v>
      </c>
      <c r="G3" s="137">
        <v>0.85</v>
      </c>
      <c r="H3" s="58">
        <f>+E3*F3*0.81*G3/1000</f>
        <v>33.085733242499998</v>
      </c>
      <c r="I3" s="79">
        <v>34</v>
      </c>
      <c r="J3" s="58">
        <f t="shared" ref="J3:J14" si="2">+D3*I3</f>
        <v>12206</v>
      </c>
      <c r="K3" s="106">
        <f>J3*0.18</f>
        <v>2197.08</v>
      </c>
      <c r="L3" s="106">
        <f>+K3+J3</f>
        <v>14403.08</v>
      </c>
    </row>
    <row r="4" spans="1:12">
      <c r="A4" s="109">
        <v>42695</v>
      </c>
      <c r="B4" s="96" t="s">
        <v>153</v>
      </c>
      <c r="C4" s="110" t="s">
        <v>16</v>
      </c>
      <c r="D4" s="67">
        <v>4362</v>
      </c>
      <c r="E4" s="67">
        <v>2178.84</v>
      </c>
      <c r="F4" s="138">
        <v>2.2629999999999999</v>
      </c>
      <c r="G4" s="137">
        <v>0.78</v>
      </c>
      <c r="H4" s="58">
        <f>+E4*F4*G4/1000</f>
        <v>3.8459576376000006</v>
      </c>
      <c r="I4" s="79">
        <v>3.84</v>
      </c>
      <c r="J4" s="58">
        <f t="shared" si="2"/>
        <v>16750.079999999998</v>
      </c>
      <c r="K4" s="106">
        <f t="shared" si="0"/>
        <v>3015.0143999999996</v>
      </c>
      <c r="L4" s="106">
        <f t="shared" si="1"/>
        <v>19765.094399999998</v>
      </c>
    </row>
    <row r="5" spans="1:12">
      <c r="A5" s="109">
        <v>42695</v>
      </c>
      <c r="B5" s="96" t="s">
        <v>153</v>
      </c>
      <c r="C5" s="110" t="s">
        <v>16</v>
      </c>
      <c r="D5" s="67">
        <v>6440</v>
      </c>
      <c r="E5" s="67">
        <v>2178.84</v>
      </c>
      <c r="F5" s="138">
        <v>2.2629999999999999</v>
      </c>
      <c r="G5" s="137">
        <v>0.78</v>
      </c>
      <c r="H5" s="58">
        <f t="shared" ref="H5:H7" si="3">+E5*F5*G5/1000</f>
        <v>3.8459576376000006</v>
      </c>
      <c r="I5" s="79">
        <v>3.84</v>
      </c>
      <c r="J5" s="58">
        <f t="shared" si="2"/>
        <v>24729.599999999999</v>
      </c>
      <c r="K5" s="106">
        <f t="shared" si="0"/>
        <v>4451.3279999999995</v>
      </c>
      <c r="L5" s="106">
        <f t="shared" si="1"/>
        <v>29180.928</v>
      </c>
    </row>
    <row r="6" spans="1:12">
      <c r="A6" s="71">
        <v>42695</v>
      </c>
      <c r="B6" s="42" t="s">
        <v>17</v>
      </c>
      <c r="C6" s="72" t="s">
        <v>16</v>
      </c>
      <c r="D6" s="58">
        <v>20800</v>
      </c>
      <c r="E6" s="67">
        <v>2178.84</v>
      </c>
      <c r="F6" s="138">
        <v>2.2629999999999999</v>
      </c>
      <c r="G6" s="137">
        <v>0.78</v>
      </c>
      <c r="H6" s="58">
        <f t="shared" si="3"/>
        <v>3.8459576376000006</v>
      </c>
      <c r="I6" s="79">
        <v>3.84</v>
      </c>
      <c r="J6" s="58">
        <f t="shared" si="2"/>
        <v>79872</v>
      </c>
      <c r="K6" s="106">
        <f t="shared" si="0"/>
        <v>14376.96</v>
      </c>
      <c r="L6" s="106">
        <f t="shared" si="1"/>
        <v>94248.959999999992</v>
      </c>
    </row>
    <row r="7" spans="1:12">
      <c r="A7" s="71">
        <v>42702</v>
      </c>
      <c r="B7" s="96" t="s">
        <v>153</v>
      </c>
      <c r="C7" s="72" t="s">
        <v>16</v>
      </c>
      <c r="D7" s="58">
        <v>4277</v>
      </c>
      <c r="E7" s="67">
        <v>2178.84</v>
      </c>
      <c r="F7" s="138">
        <v>2.2629999999999999</v>
      </c>
      <c r="G7" s="137">
        <v>0.78</v>
      </c>
      <c r="H7" s="58">
        <f t="shared" si="3"/>
        <v>3.8459576376000006</v>
      </c>
      <c r="I7" s="79">
        <v>3.84</v>
      </c>
      <c r="J7" s="58">
        <f t="shared" si="2"/>
        <v>16423.68</v>
      </c>
      <c r="K7" s="106">
        <f t="shared" si="0"/>
        <v>2956.2624000000001</v>
      </c>
      <c r="L7" s="106">
        <f t="shared" si="1"/>
        <v>19379.9424</v>
      </c>
    </row>
    <row r="8" spans="1:12">
      <c r="A8" s="71"/>
      <c r="B8" s="96"/>
      <c r="C8" s="72"/>
      <c r="D8" s="58"/>
      <c r="E8" s="58"/>
      <c r="F8" s="58"/>
      <c r="G8" s="58"/>
      <c r="H8" s="58"/>
      <c r="I8" s="79"/>
      <c r="J8" s="58"/>
      <c r="K8" s="106"/>
      <c r="L8" s="106"/>
    </row>
    <row r="9" spans="1:12">
      <c r="A9" s="71"/>
      <c r="B9" s="96"/>
      <c r="C9" s="72"/>
      <c r="D9" s="58"/>
      <c r="E9" s="58"/>
      <c r="F9" s="58"/>
      <c r="G9" s="58"/>
      <c r="H9" s="58"/>
      <c r="I9" s="79"/>
      <c r="J9" s="58"/>
      <c r="K9" s="106"/>
      <c r="L9" s="106"/>
    </row>
    <row r="10" spans="1:12">
      <c r="A10" s="71">
        <v>42709</v>
      </c>
      <c r="B10" s="96" t="s">
        <v>153</v>
      </c>
      <c r="C10" s="72" t="s">
        <v>16</v>
      </c>
      <c r="D10" s="58">
        <v>5786</v>
      </c>
      <c r="E10" s="58"/>
      <c r="F10" s="58"/>
      <c r="G10" s="58"/>
      <c r="H10" s="58"/>
      <c r="I10" s="79">
        <v>4.05</v>
      </c>
      <c r="J10" s="58">
        <f t="shared" si="2"/>
        <v>23433.3</v>
      </c>
      <c r="K10" s="106">
        <f t="shared" si="0"/>
        <v>4217.9939999999997</v>
      </c>
      <c r="L10" s="106">
        <f t="shared" si="1"/>
        <v>27651.293999999998</v>
      </c>
    </row>
    <row r="11" spans="1:12">
      <c r="A11" s="71">
        <v>42723</v>
      </c>
      <c r="B11" s="42" t="s">
        <v>152</v>
      </c>
      <c r="C11" s="72" t="s">
        <v>16</v>
      </c>
      <c r="D11" s="58">
        <v>606</v>
      </c>
      <c r="E11" s="58"/>
      <c r="F11" s="58"/>
      <c r="G11" s="58"/>
      <c r="H11" s="58"/>
      <c r="I11" s="79">
        <v>2</v>
      </c>
      <c r="J11" s="58">
        <f t="shared" si="2"/>
        <v>1212</v>
      </c>
      <c r="K11" s="106">
        <f>J11*0.18</f>
        <v>218.16</v>
      </c>
      <c r="L11" s="106">
        <f>+K11+J11</f>
        <v>1430.16</v>
      </c>
    </row>
    <row r="12" spans="1:12">
      <c r="A12" s="71">
        <v>42724</v>
      </c>
      <c r="B12" s="96" t="s">
        <v>153</v>
      </c>
      <c r="C12" s="72" t="s">
        <v>16</v>
      </c>
      <c r="D12" s="58">
        <v>10530</v>
      </c>
      <c r="E12" s="58"/>
      <c r="F12" s="58"/>
      <c r="G12" s="58"/>
      <c r="H12" s="58"/>
      <c r="I12" s="79">
        <v>4.05</v>
      </c>
      <c r="J12" s="58">
        <f t="shared" si="2"/>
        <v>42646.5</v>
      </c>
      <c r="K12" s="106">
        <f t="shared" si="0"/>
        <v>7676.37</v>
      </c>
      <c r="L12" s="106">
        <f t="shared" si="1"/>
        <v>50322.87</v>
      </c>
    </row>
    <row r="13" spans="1:12">
      <c r="A13" s="71">
        <v>42724</v>
      </c>
      <c r="B13" s="42" t="s">
        <v>17</v>
      </c>
      <c r="C13" s="72" t="s">
        <v>16</v>
      </c>
      <c r="D13" s="58">
        <v>10520</v>
      </c>
      <c r="E13" s="58"/>
      <c r="F13" s="58"/>
      <c r="G13" s="58"/>
      <c r="H13" s="58"/>
      <c r="I13" s="79">
        <v>4.05</v>
      </c>
      <c r="J13" s="58">
        <f t="shared" si="2"/>
        <v>42606</v>
      </c>
      <c r="K13" s="106">
        <f t="shared" si="0"/>
        <v>7669.08</v>
      </c>
      <c r="L13" s="106">
        <f t="shared" si="1"/>
        <v>50275.08</v>
      </c>
    </row>
    <row r="14" spans="1:12">
      <c r="A14" s="71">
        <v>42724</v>
      </c>
      <c r="B14" s="42" t="s">
        <v>17</v>
      </c>
      <c r="C14" s="72" t="s">
        <v>16</v>
      </c>
      <c r="D14" s="58">
        <v>2580</v>
      </c>
      <c r="E14" s="58"/>
      <c r="F14" s="58"/>
      <c r="G14" s="58"/>
      <c r="H14" s="58"/>
      <c r="I14" s="79">
        <v>4.05</v>
      </c>
      <c r="J14" s="58">
        <f t="shared" si="2"/>
        <v>10449</v>
      </c>
      <c r="K14" s="106">
        <f t="shared" si="0"/>
        <v>1880.82</v>
      </c>
      <c r="L14" s="106">
        <f t="shared" si="1"/>
        <v>12329.82</v>
      </c>
    </row>
    <row r="15" spans="1:12">
      <c r="A15" s="71"/>
      <c r="B15" s="42"/>
      <c r="C15" s="72"/>
      <c r="D15" s="58"/>
      <c r="E15" s="58"/>
      <c r="F15" s="58"/>
      <c r="G15" s="58"/>
      <c r="H15" s="58"/>
      <c r="I15" s="79"/>
      <c r="J15" s="58"/>
      <c r="K15" s="106"/>
      <c r="L15" s="106"/>
    </row>
    <row r="16" spans="1:12">
      <c r="A16" s="71">
        <v>42724</v>
      </c>
      <c r="B16" s="42" t="s">
        <v>33</v>
      </c>
      <c r="C16" s="72" t="s">
        <v>16</v>
      </c>
      <c r="D16" s="58">
        <v>1400</v>
      </c>
      <c r="E16" s="58"/>
      <c r="F16" s="58"/>
      <c r="G16" s="58"/>
      <c r="H16" s="58"/>
      <c r="I16" s="79"/>
      <c r="J16" s="58">
        <f>+D16*H16</f>
        <v>0</v>
      </c>
      <c r="K16" s="106">
        <f t="shared" si="0"/>
        <v>0</v>
      </c>
      <c r="L16" s="106">
        <f t="shared" si="1"/>
        <v>0</v>
      </c>
    </row>
    <row r="17" spans="4:10">
      <c r="J17" s="58"/>
    </row>
    <row r="23" spans="4:10">
      <c r="D23" s="58">
        <v>1621</v>
      </c>
    </row>
    <row r="24" spans="4:10">
      <c r="D24">
        <v>320</v>
      </c>
    </row>
    <row r="25" spans="4:10">
      <c r="D25">
        <f>D24/D23</f>
        <v>0.19740900678593462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G13" sqref="G13"/>
    </sheetView>
  </sheetViews>
  <sheetFormatPr baseColWidth="10" defaultRowHeight="15"/>
  <cols>
    <col min="1" max="1" width="8" style="176" bestFit="1" customWidth="1"/>
    <col min="2" max="2" width="4" style="173" bestFit="1" customWidth="1"/>
    <col min="3" max="3" width="18.85546875" bestFit="1" customWidth="1"/>
    <col min="4" max="4" width="6.42578125" style="178" bestFit="1" customWidth="1"/>
    <col min="5" max="6" width="10" style="178" bestFit="1" customWidth="1"/>
    <col min="7" max="7" width="11.42578125" style="178"/>
  </cols>
  <sheetData>
    <row r="1" spans="1:6">
      <c r="A1" s="174">
        <v>97</v>
      </c>
      <c r="B1" s="171" t="s">
        <v>16</v>
      </c>
      <c r="C1" s="42" t="s">
        <v>158</v>
      </c>
      <c r="D1" s="58">
        <v>27.2</v>
      </c>
      <c r="E1" s="177">
        <f>+A1*D1</f>
        <v>2638.4</v>
      </c>
      <c r="F1" s="58"/>
    </row>
    <row r="2" spans="1:6">
      <c r="A2" s="174">
        <v>180</v>
      </c>
      <c r="B2" s="171" t="s">
        <v>16</v>
      </c>
      <c r="C2" s="42" t="s">
        <v>159</v>
      </c>
      <c r="D2" s="58">
        <v>39.5</v>
      </c>
      <c r="E2" s="177">
        <f t="shared" ref="E2:E4" si="0">+A2*D2</f>
        <v>7110</v>
      </c>
      <c r="F2" s="58"/>
    </row>
    <row r="3" spans="1:6">
      <c r="A3" s="174">
        <v>1100</v>
      </c>
      <c r="B3" s="171" t="s">
        <v>16</v>
      </c>
      <c r="C3" s="42" t="s">
        <v>160</v>
      </c>
      <c r="D3" s="58">
        <v>32.5</v>
      </c>
      <c r="E3" s="177">
        <f t="shared" si="0"/>
        <v>35750</v>
      </c>
      <c r="F3" s="58"/>
    </row>
    <row r="4" spans="1:6">
      <c r="A4" s="174">
        <v>23</v>
      </c>
      <c r="B4" s="171" t="s">
        <v>16</v>
      </c>
      <c r="C4" s="42" t="s">
        <v>15</v>
      </c>
      <c r="D4" s="58">
        <v>4.05</v>
      </c>
      <c r="E4" s="177">
        <f t="shared" si="0"/>
        <v>93.149999999999991</v>
      </c>
      <c r="F4" s="136"/>
    </row>
    <row r="5" spans="1:6">
      <c r="A5" s="174">
        <f>SUM(A1:A4)</f>
        <v>1400</v>
      </c>
      <c r="B5" s="191" t="s">
        <v>161</v>
      </c>
      <c r="C5" s="191"/>
      <c r="D5" s="191"/>
      <c r="E5" s="177">
        <f>SUM(E1:E4)</f>
        <v>45591.55</v>
      </c>
      <c r="F5" s="136"/>
    </row>
    <row r="6" spans="1:6">
      <c r="A6" s="174"/>
      <c r="B6" s="171"/>
      <c r="C6" s="42"/>
      <c r="D6" s="58"/>
      <c r="E6" s="177"/>
      <c r="F6" s="58"/>
    </row>
    <row r="7" spans="1:6">
      <c r="A7" s="175"/>
      <c r="B7" s="172"/>
      <c r="C7" s="96"/>
      <c r="D7" s="67"/>
      <c r="E7" s="179"/>
      <c r="F7" s="67"/>
    </row>
    <row r="8" spans="1:6">
      <c r="A8" s="175"/>
      <c r="B8" s="172"/>
      <c r="C8" s="96"/>
      <c r="D8" s="67"/>
      <c r="E8" s="179"/>
      <c r="F8" s="67"/>
    </row>
    <row r="9" spans="1:6">
      <c r="A9" s="174"/>
      <c r="B9" s="171"/>
      <c r="C9" s="42"/>
      <c r="D9" s="58"/>
      <c r="E9" s="177"/>
      <c r="F9" s="58"/>
    </row>
    <row r="10" spans="1:6">
      <c r="A10" s="174"/>
      <c r="B10" s="171"/>
      <c r="C10" s="42"/>
      <c r="D10" s="58"/>
      <c r="E10" s="177"/>
      <c r="F10" s="58"/>
    </row>
    <row r="11" spans="1:6">
      <c r="A11" s="174"/>
      <c r="B11" s="171"/>
      <c r="C11" s="42"/>
      <c r="D11" s="58"/>
      <c r="E11" s="177"/>
      <c r="F11" s="136"/>
    </row>
    <row r="12" spans="1:6">
      <c r="A12" s="174"/>
      <c r="B12" s="171"/>
      <c r="C12" s="42"/>
      <c r="D12" s="58"/>
      <c r="E12" s="177"/>
      <c r="F12" s="136"/>
    </row>
  </sheetData>
  <sortState ref="A1:F12">
    <sortCondition ref="C1:C12"/>
  </sortState>
  <mergeCells count="1">
    <mergeCell ref="B5:D5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Suivi Achats CHTOUROU 2016</vt:lpstr>
      <vt:lpstr>Suivi Reliquat CHTOUROU 2015</vt:lpstr>
      <vt:lpstr>Feuil1</vt:lpstr>
      <vt:lpstr>Feuil2</vt:lpstr>
      <vt:lpstr>Feuil1!Zone_d_impression</vt:lpstr>
      <vt:lpstr>Feuil2!Zone_d_impression</vt:lpstr>
      <vt:lpstr>'Suivi Achats CHTOUROU 2016'!Zone_d_impression</vt:lpstr>
      <vt:lpstr>'Suivi Reliquat CHTOUROU 2015'!Zone_d_impression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2017-02-08T16:36:01Z</dcterms:modified>
</cp:coreProperties>
</file>