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600" windowWidth="18630" windowHeight="6450" tabRatio="827"/>
  </bookViews>
  <sheets>
    <sheet name="12-2018" sheetId="46" r:id="rId1"/>
    <sheet name="etranger" sheetId="3" r:id="rId2"/>
    <sheet name="CMT" sheetId="5" r:id="rId3"/>
    <sheet name="EXPORT" sheetId="1" r:id="rId4"/>
    <sheet name="PLOMB LOCAL" sheetId="25" r:id="rId5"/>
    <sheet name="CT" sheetId="33" r:id="rId6"/>
    <sheet name="TR" sheetId="34" r:id="rId7"/>
    <sheet name="SNA" sheetId="35" r:id="rId8"/>
    <sheet name="STA" sheetId="36" r:id="rId9"/>
    <sheet name="SND" sheetId="37" r:id="rId10"/>
    <sheet name="TIP" sheetId="38" r:id="rId11"/>
    <sheet name="FH" sheetId="39" r:id="rId12"/>
    <sheet name="NBI" sheetId="40" r:id="rId13"/>
    <sheet name="Feuil1" sheetId="41" r:id="rId14"/>
    <sheet name="HEMP" sheetId="32" state="hidden" r:id="rId15"/>
    <sheet name="FACT KAIS" sheetId="47" state="hidden" r:id="rId16"/>
    <sheet name="FACT SOTRAM" sheetId="48" r:id="rId17"/>
    <sheet name="Feuil2" sheetId="49" state="hidden" r:id="rId18"/>
  </sheets>
  <definedNames>
    <definedName name="_xlnm._FilterDatabase" localSheetId="5" hidden="1">CT!$A$1:$A$1268</definedName>
    <definedName name="_xlnm._FilterDatabase" localSheetId="3" hidden="1">EXPORT!$A$1:$A$176</definedName>
    <definedName name="_xlnm._FilterDatabase" localSheetId="12" hidden="1">NBI!$A$1:$L$24</definedName>
    <definedName name="_xlnm._FilterDatabase" localSheetId="7" hidden="1">SNA!$B$1:$B$419</definedName>
    <definedName name="_xlnm._FilterDatabase" localSheetId="9" hidden="1">SND!$A$1:$M$15</definedName>
    <definedName name="_xlnm._FilterDatabase" localSheetId="8" hidden="1">STA!$A$1:$L$29</definedName>
    <definedName name="_xlnm._FilterDatabase" localSheetId="10" hidden="1">TIP!$A$1:$L$18</definedName>
    <definedName name="_xlnm.Print_Area" localSheetId="0">'12-2018'!$A$1:$J$74</definedName>
    <definedName name="_xlnm.Print_Area" localSheetId="2">CMT!$B$13:$G$51</definedName>
    <definedName name="_xlnm.Print_Area" localSheetId="5">CT!$A$1:$D$1</definedName>
    <definedName name="_xlnm.Print_Area" localSheetId="1">etranger!$A$20:$F$28</definedName>
    <definedName name="_xlnm.Print_Area" localSheetId="3">EXPORT!$A$33:$M$164</definedName>
    <definedName name="_xlnm.Print_Area" localSheetId="15">'FACT KAIS'!$A$2:$M$25</definedName>
    <definedName name="_xlnm.Print_Area" localSheetId="13">Feuil1!$A$2:$M$30</definedName>
    <definedName name="_xlnm.Print_Area" localSheetId="14">HEMP!$A$13:$P$41</definedName>
    <definedName name="_xlnm.Print_Area" localSheetId="4">'PLOMB LOCAL'!$A$1:$H$34</definedName>
    <definedName name="_xlnm.Print_Area" localSheetId="7">SNA!$A$1:$K$9</definedName>
  </definedNames>
  <calcPr calcId="125725"/>
</workbook>
</file>

<file path=xl/calcChain.xml><?xml version="1.0" encoding="utf-8"?>
<calcChain xmlns="http://schemas.openxmlformats.org/spreadsheetml/2006/main">
  <c r="J11" i="46"/>
  <c r="I4"/>
  <c r="G6"/>
  <c r="D6"/>
  <c r="D7"/>
  <c r="G11"/>
  <c r="C69"/>
  <c r="D69"/>
  <c r="C49"/>
  <c r="D49"/>
  <c r="C10"/>
  <c r="D10"/>
  <c r="C5"/>
  <c r="C4"/>
  <c r="E11"/>
  <c r="D5" l="1"/>
  <c r="C33"/>
  <c r="C73" s="1"/>
  <c r="D4" s="1"/>
  <c r="D33"/>
  <c r="D73" l="1"/>
  <c r="G51" l="1"/>
  <c r="G49" s="1"/>
  <c r="G5"/>
  <c r="G23"/>
  <c r="G15" s="1"/>
  <c r="G10" s="1"/>
  <c r="F23"/>
  <c r="F15" s="1"/>
  <c r="G34"/>
  <c r="G69"/>
  <c r="F55"/>
  <c r="F49" s="1"/>
  <c r="F69"/>
  <c r="H65"/>
  <c r="G33" l="1"/>
  <c r="D852" i="33"/>
  <c r="D1126"/>
  <c r="D1250"/>
  <c r="D431"/>
  <c r="H3" i="39"/>
  <c r="F3"/>
  <c r="H2"/>
  <c r="F2"/>
  <c r="E71" i="46"/>
  <c r="E65"/>
  <c r="E55"/>
  <c r="B7"/>
  <c r="B6"/>
  <c r="B65"/>
  <c r="B58"/>
  <c r="B56"/>
  <c r="J10" i="38"/>
  <c r="F19"/>
  <c r="F10"/>
  <c r="F20"/>
  <c r="F21"/>
  <c r="F22"/>
  <c r="F23"/>
  <c r="F24"/>
  <c r="F25"/>
  <c r="F26"/>
  <c r="F27"/>
  <c r="J94" i="35"/>
  <c r="J93"/>
  <c r="F131"/>
  <c r="F132"/>
  <c r="F93"/>
  <c r="F95"/>
  <c r="F96"/>
  <c r="F99"/>
  <c r="F100"/>
  <c r="F101"/>
  <c r="F102"/>
  <c r="F94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K13" i="37" l="1"/>
  <c r="K27"/>
  <c r="K15"/>
  <c r="K16"/>
  <c r="K17"/>
  <c r="K14"/>
  <c r="F26"/>
  <c r="F13"/>
  <c r="F27"/>
  <c r="F15"/>
  <c r="F16"/>
  <c r="F17"/>
  <c r="F14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B169" i="1"/>
  <c r="F2" i="36"/>
  <c r="F28"/>
  <c r="F29"/>
  <c r="F3"/>
  <c r="F4"/>
  <c r="F5"/>
  <c r="F6"/>
  <c r="F7"/>
  <c r="F8"/>
  <c r="F31"/>
  <c r="F32"/>
  <c r="F33"/>
  <c r="F34"/>
  <c r="F35"/>
  <c r="F36"/>
  <c r="F37"/>
  <c r="F38"/>
  <c r="F39"/>
  <c r="F40"/>
  <c r="F41"/>
  <c r="F42"/>
  <c r="F43"/>
  <c r="J2"/>
  <c r="J28"/>
  <c r="J29"/>
  <c r="J3"/>
  <c r="J4"/>
  <c r="J5"/>
  <c r="J6"/>
  <c r="J7"/>
  <c r="J8"/>
  <c r="H8"/>
  <c r="H31"/>
  <c r="H32"/>
  <c r="H33"/>
  <c r="H34"/>
  <c r="H35"/>
  <c r="H36"/>
  <c r="H37"/>
  <c r="H38"/>
  <c r="H39"/>
  <c r="H40"/>
  <c r="H41"/>
  <c r="H42"/>
  <c r="H43"/>
  <c r="J46" i="35"/>
  <c r="J91"/>
  <c r="J92"/>
  <c r="J47"/>
  <c r="J48"/>
  <c r="J49"/>
  <c r="J50"/>
  <c r="J51"/>
  <c r="J52"/>
  <c r="J53"/>
  <c r="J54"/>
  <c r="J55"/>
  <c r="J56"/>
  <c r="J57"/>
  <c r="J58"/>
  <c r="J59"/>
  <c r="J60"/>
  <c r="J61"/>
  <c r="J62"/>
  <c r="J63"/>
  <c r="J45"/>
  <c r="F129"/>
  <c r="F45"/>
  <c r="F46"/>
  <c r="F91"/>
  <c r="F92"/>
  <c r="F47"/>
  <c r="F48"/>
  <c r="F49"/>
  <c r="F50"/>
  <c r="F75"/>
  <c r="F51"/>
  <c r="F52"/>
  <c r="F53"/>
  <c r="F54"/>
  <c r="F55"/>
  <c r="F70"/>
  <c r="F56"/>
  <c r="F57"/>
  <c r="F71"/>
  <c r="F76"/>
  <c r="F65"/>
  <c r="F77"/>
  <c r="F58"/>
  <c r="F59"/>
  <c r="F60"/>
  <c r="F61"/>
  <c r="F62"/>
  <c r="F63"/>
  <c r="F67"/>
  <c r="F31" i="25"/>
  <c r="G31" s="1"/>
  <c r="F30"/>
  <c r="H30" s="1"/>
  <c r="G30"/>
  <c r="F26" i="3"/>
  <c r="D26"/>
  <c r="H31" i="25" l="1"/>
  <c r="H11" i="48"/>
  <c r="G11"/>
  <c r="I11" s="1"/>
  <c r="F26" i="25"/>
  <c r="G26" s="1"/>
  <c r="H9"/>
  <c r="H26" l="1"/>
  <c r="K4" i="48"/>
  <c r="K5"/>
  <c r="K6"/>
  <c r="K7"/>
  <c r="K8"/>
  <c r="K9"/>
  <c r="K12"/>
  <c r="G5" i="25" l="1"/>
  <c r="G3"/>
  <c r="G7"/>
  <c r="F7"/>
  <c r="D7"/>
  <c r="F4"/>
  <c r="F3"/>
  <c r="D3"/>
  <c r="F29"/>
  <c r="H29" s="1"/>
  <c r="G29"/>
  <c r="F24"/>
  <c r="H24" s="1"/>
  <c r="G24"/>
  <c r="F25"/>
  <c r="F27"/>
  <c r="G27" s="1"/>
  <c r="H27" s="1"/>
  <c r="F28"/>
  <c r="H28" s="1"/>
  <c r="G28"/>
  <c r="F22"/>
  <c r="F21"/>
  <c r="D23"/>
  <c r="F23" s="1"/>
  <c r="D28"/>
  <c r="G25" l="1"/>
  <c r="H25" s="1"/>
  <c r="H22"/>
  <c r="G22"/>
  <c r="H21"/>
  <c r="G21"/>
  <c r="H23"/>
  <c r="G23"/>
  <c r="G13" i="49"/>
  <c r="G11"/>
  <c r="H11" s="1"/>
  <c r="G9"/>
  <c r="H9" s="1"/>
  <c r="G7"/>
  <c r="H7" s="1"/>
  <c r="G5"/>
  <c r="G3"/>
  <c r="H3" s="1"/>
  <c r="G13" i="48"/>
  <c r="H13" s="1"/>
  <c r="I7" i="49" l="1"/>
  <c r="I11"/>
  <c r="G15"/>
  <c r="H5"/>
  <c r="I5" s="1"/>
  <c r="H13"/>
  <c r="I13" s="1"/>
  <c r="I3"/>
  <c r="I9"/>
  <c r="I13" i="48"/>
  <c r="K13" s="1"/>
  <c r="H15" i="49" l="1"/>
  <c r="I15"/>
  <c r="D1266" i="33" l="1"/>
  <c r="D4" i="34"/>
  <c r="D30"/>
  <c r="F52" i="25"/>
  <c r="H52" s="1"/>
  <c r="G52"/>
  <c r="F53"/>
  <c r="G53" s="1"/>
  <c r="H53" s="1"/>
  <c r="F17" i="38"/>
  <c r="F6"/>
  <c r="F7"/>
  <c r="F8"/>
  <c r="F9"/>
  <c r="H10"/>
  <c r="H20"/>
  <c r="H21"/>
  <c r="H22"/>
  <c r="H23"/>
  <c r="H24"/>
  <c r="H25"/>
  <c r="H26"/>
  <c r="H27"/>
  <c r="D1268" i="33" l="1"/>
  <c r="F12" i="37"/>
  <c r="J22" i="36"/>
  <c r="J23"/>
  <c r="J24"/>
  <c r="J27"/>
  <c r="F26"/>
  <c r="F30"/>
  <c r="F22"/>
  <c r="F23"/>
  <c r="F24"/>
  <c r="F27"/>
  <c r="J37" i="35"/>
  <c r="J38"/>
  <c r="J90"/>
  <c r="J39"/>
  <c r="J40"/>
  <c r="J41"/>
  <c r="J42"/>
  <c r="J43"/>
  <c r="J44"/>
  <c r="F37"/>
  <c r="F38"/>
  <c r="F90"/>
  <c r="F39"/>
  <c r="F40"/>
  <c r="F41"/>
  <c r="F42"/>
  <c r="F43"/>
  <c r="F44"/>
  <c r="F78"/>
  <c r="F74"/>
  <c r="E15" i="48" l="1"/>
  <c r="G9"/>
  <c r="G7"/>
  <c r="H7" s="1"/>
  <c r="G5"/>
  <c r="H5" s="1"/>
  <c r="G3"/>
  <c r="H59" i="25"/>
  <c r="G59"/>
  <c r="F59"/>
  <c r="D59"/>
  <c r="H66"/>
  <c r="G66"/>
  <c r="H17" i="48" l="1"/>
  <c r="G15"/>
  <c r="I5"/>
  <c r="H9"/>
  <c r="H3"/>
  <c r="I7"/>
  <c r="I9" l="1"/>
  <c r="H15"/>
  <c r="H19"/>
  <c r="I3"/>
  <c r="I15" l="1"/>
  <c r="K3"/>
  <c r="F66" i="25"/>
  <c r="F20" l="1"/>
  <c r="H20" s="1"/>
  <c r="G20"/>
  <c r="H51"/>
  <c r="F5" l="1"/>
  <c r="D5"/>
  <c r="F19"/>
  <c r="F18"/>
  <c r="G18" s="1"/>
  <c r="F17"/>
  <c r="K126" i="1"/>
  <c r="K128"/>
  <c r="H19" i="25" l="1"/>
  <c r="G19"/>
  <c r="H18"/>
  <c r="G17"/>
  <c r="H17" s="1"/>
  <c r="J35" i="35" l="1"/>
  <c r="J36"/>
  <c r="F126"/>
  <c r="F130"/>
  <c r="F35"/>
  <c r="F36"/>
  <c r="F69"/>
  <c r="F20" i="36"/>
  <c r="F21"/>
  <c r="J20"/>
  <c r="J21"/>
  <c r="K2" i="37"/>
  <c r="F23"/>
  <c r="F24"/>
  <c r="F25"/>
  <c r="F2"/>
  <c r="G4" i="25"/>
  <c r="H4"/>
  <c r="D4"/>
  <c r="H43"/>
  <c r="H39"/>
  <c r="G39"/>
  <c r="F39"/>
  <c r="D39"/>
  <c r="F139" i="1"/>
  <c r="M139"/>
  <c r="G139"/>
  <c r="F135"/>
  <c r="G135"/>
  <c r="K151"/>
  <c r="F34" i="35" l="1"/>
  <c r="F103"/>
  <c r="F64"/>
  <c r="F120"/>
  <c r="F128"/>
  <c r="F72"/>
  <c r="F73"/>
  <c r="F2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85"/>
  <c r="F22"/>
  <c r="F23"/>
  <c r="F24"/>
  <c r="F25"/>
  <c r="F26"/>
  <c r="F27"/>
  <c r="F28"/>
  <c r="F29"/>
  <c r="F30"/>
  <c r="F105"/>
  <c r="F119"/>
  <c r="F66"/>
  <c r="F68"/>
  <c r="F124"/>
  <c r="F123"/>
  <c r="F127"/>
  <c r="F79"/>
  <c r="F80"/>
  <c r="F81"/>
  <c r="F82"/>
  <c r="F83"/>
  <c r="F84"/>
  <c r="F86"/>
  <c r="F87"/>
  <c r="F88"/>
  <c r="F104"/>
  <c r="F97"/>
  <c r="F98"/>
  <c r="F106"/>
  <c r="F107"/>
  <c r="F108"/>
  <c r="F109"/>
  <c r="F110"/>
  <c r="F111"/>
  <c r="F112"/>
  <c r="F113"/>
  <c r="F114"/>
  <c r="F115"/>
  <c r="F116"/>
  <c r="F117"/>
  <c r="F118"/>
  <c r="F121"/>
  <c r="F122"/>
  <c r="F125"/>
  <c r="J34"/>
  <c r="H34"/>
  <c r="E21" i="47" l="1"/>
  <c r="G13"/>
  <c r="H13" l="1"/>
  <c r="I13" s="1"/>
  <c r="H23" i="37"/>
  <c r="H24"/>
  <c r="H25"/>
  <c r="H26"/>
  <c r="H2"/>
  <c r="H12"/>
  <c r="H13"/>
  <c r="H27"/>
  <c r="H15"/>
  <c r="H16"/>
  <c r="H17"/>
  <c r="H14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6" i="38"/>
  <c r="H7"/>
  <c r="H8"/>
  <c r="H9"/>
  <c r="J89" i="35"/>
  <c r="J31"/>
  <c r="J32"/>
  <c r="J33"/>
  <c r="C39" i="3"/>
  <c r="F38"/>
  <c r="D38"/>
  <c r="C28"/>
  <c r="F25"/>
  <c r="D25"/>
  <c r="F89" i="35"/>
  <c r="F31"/>
  <c r="F32"/>
  <c r="F33"/>
  <c r="F15" i="25"/>
  <c r="H15" s="1"/>
  <c r="G15"/>
  <c r="F16"/>
  <c r="G16"/>
  <c r="H16" s="1"/>
  <c r="F138" i="1" l="1"/>
  <c r="M138"/>
  <c r="G138"/>
  <c r="H63" i="25" l="1"/>
  <c r="H34"/>
  <c r="H14"/>
  <c r="H13"/>
  <c r="G14"/>
  <c r="G13"/>
  <c r="F14"/>
  <c r="F13"/>
  <c r="H5"/>
  <c r="H6"/>
  <c r="H3"/>
  <c r="J87" i="35"/>
  <c r="J88"/>
  <c r="J28"/>
  <c r="J29"/>
  <c r="J30"/>
  <c r="J4" i="38"/>
  <c r="F4" i="40"/>
  <c r="F5"/>
  <c r="F6"/>
  <c r="F4" i="39"/>
  <c r="F5"/>
  <c r="F6"/>
  <c r="F7"/>
  <c r="F8"/>
  <c r="F9"/>
  <c r="F10"/>
  <c r="F11"/>
  <c r="F12"/>
  <c r="F13"/>
  <c r="F14"/>
  <c r="F15"/>
  <c r="F16"/>
  <c r="F17"/>
  <c r="F18"/>
  <c r="F19"/>
  <c r="F20"/>
  <c r="F21"/>
  <c r="H4"/>
  <c r="H5"/>
  <c r="H6"/>
  <c r="H7"/>
  <c r="H8"/>
  <c r="H9"/>
  <c r="H10"/>
  <c r="H11"/>
  <c r="H12"/>
  <c r="H13"/>
  <c r="H14"/>
  <c r="H15"/>
  <c r="H16"/>
  <c r="H17"/>
  <c r="H18"/>
  <c r="H19"/>
  <c r="H20"/>
  <c r="H21"/>
  <c r="F16" i="38"/>
  <c r="F18"/>
  <c r="F4"/>
  <c r="F5"/>
  <c r="H30" i="35"/>
  <c r="F9" i="37"/>
  <c r="K9"/>
  <c r="G19" i="47"/>
  <c r="G17"/>
  <c r="G15"/>
  <c r="H19" l="1"/>
  <c r="I19" s="1"/>
  <c r="H17"/>
  <c r="I17" s="1"/>
  <c r="H15"/>
  <c r="I15" s="1"/>
  <c r="H24"/>
  <c r="H7" i="25"/>
  <c r="G7" i="47" l="1"/>
  <c r="G11"/>
  <c r="G5"/>
  <c r="G9"/>
  <c r="G3"/>
  <c r="K117" i="1"/>
  <c r="K116"/>
  <c r="F21" i="3"/>
  <c r="H9" i="47" l="1"/>
  <c r="H23"/>
  <c r="H25" s="1"/>
  <c r="G21"/>
  <c r="H3"/>
  <c r="H11"/>
  <c r="I11" s="1"/>
  <c r="H5"/>
  <c r="I5" s="1"/>
  <c r="H7"/>
  <c r="I7" s="1"/>
  <c r="F51" i="25"/>
  <c r="G51" s="1"/>
  <c r="H21" i="47" l="1"/>
  <c r="I9"/>
  <c r="I21" s="1"/>
  <c r="I3"/>
  <c r="H15" i="46"/>
  <c r="H10" s="1"/>
  <c r="E70" l="1"/>
  <c r="E69" s="1"/>
  <c r="J69"/>
  <c r="I69"/>
  <c r="H69"/>
  <c r="B69"/>
  <c r="H51"/>
  <c r="E51"/>
  <c r="E49" s="1"/>
  <c r="J49"/>
  <c r="I49"/>
  <c r="J34"/>
  <c r="I34"/>
  <c r="H34"/>
  <c r="E34"/>
  <c r="J15"/>
  <c r="J10" s="1"/>
  <c r="I15"/>
  <c r="I10" s="1"/>
  <c r="E15"/>
  <c r="J5"/>
  <c r="I5"/>
  <c r="H5"/>
  <c r="F5"/>
  <c r="E5"/>
  <c r="B5"/>
  <c r="B11"/>
  <c r="B10" s="1"/>
  <c r="F50" i="25"/>
  <c r="G50" s="1"/>
  <c r="J33" i="46" l="1"/>
  <c r="I33"/>
  <c r="F34"/>
  <c r="F33" s="1"/>
  <c r="E10"/>
  <c r="H50" i="25"/>
  <c r="F22" i="37"/>
  <c r="F8"/>
  <c r="K8"/>
  <c r="H8"/>
  <c r="H9"/>
  <c r="F25" i="36"/>
  <c r="J25" i="35"/>
  <c r="J26"/>
  <c r="J27"/>
  <c r="J86"/>
  <c r="K7" i="37" l="1"/>
  <c r="F19"/>
  <c r="F21"/>
  <c r="F7"/>
  <c r="F13" i="38"/>
  <c r="H18"/>
  <c r="H19"/>
  <c r="H17"/>
  <c r="H4"/>
  <c r="H5"/>
  <c r="F19" i="36"/>
  <c r="H19"/>
  <c r="H25"/>
  <c r="H30"/>
  <c r="H20"/>
  <c r="H21"/>
  <c r="H22"/>
  <c r="H23"/>
  <c r="H24"/>
  <c r="H27"/>
  <c r="H2"/>
  <c r="H28"/>
  <c r="H29"/>
  <c r="H3"/>
  <c r="H4"/>
  <c r="H5"/>
  <c r="H6"/>
  <c r="H7"/>
  <c r="H7" i="37" l="1"/>
  <c r="F49" i="25" l="1"/>
  <c r="F48"/>
  <c r="G49" l="1"/>
  <c r="H49" s="1"/>
  <c r="G48"/>
  <c r="H48" s="1"/>
  <c r="K135" i="1"/>
  <c r="J3" i="38"/>
  <c r="J20" i="35"/>
  <c r="J21"/>
  <c r="J85"/>
  <c r="J22"/>
  <c r="F3" i="40"/>
  <c r="H3"/>
  <c r="F3" i="38"/>
  <c r="F15"/>
  <c r="F14"/>
  <c r="F6" i="37"/>
  <c r="F20"/>
  <c r="H6"/>
  <c r="H20"/>
  <c r="F137" i="1" l="1"/>
  <c r="M137"/>
  <c r="G137"/>
  <c r="M135" l="1"/>
  <c r="M136"/>
  <c r="G136"/>
  <c r="F136"/>
  <c r="K114" l="1"/>
  <c r="J84" i="35" l="1"/>
  <c r="J19"/>
  <c r="F24" i="3"/>
  <c r="D24"/>
  <c r="F12" i="38"/>
  <c r="F22" i="3" l="1"/>
  <c r="F23"/>
  <c r="D22" l="1"/>
  <c r="D23"/>
  <c r="D37"/>
  <c r="F37"/>
  <c r="F47" i="25" l="1"/>
  <c r="F46"/>
  <c r="F18" i="37"/>
  <c r="J15" i="35"/>
  <c r="J16"/>
  <c r="J17"/>
  <c r="J18"/>
  <c r="F134" i="1"/>
  <c r="M134"/>
  <c r="G134"/>
  <c r="G47" i="25" l="1"/>
  <c r="G46"/>
  <c r="H46" s="1"/>
  <c r="H47" l="1"/>
  <c r="H79" i="35"/>
  <c r="J79"/>
  <c r="F11" i="38"/>
  <c r="H11"/>
  <c r="J11"/>
  <c r="F2" i="40"/>
  <c r="H2"/>
  <c r="J83" i="35"/>
  <c r="K125" i="1"/>
  <c r="F7" i="40" l="1"/>
  <c r="F8"/>
  <c r="F9"/>
  <c r="F10"/>
  <c r="F11"/>
  <c r="F12"/>
  <c r="F13"/>
  <c r="F14"/>
  <c r="F15"/>
  <c r="F16"/>
  <c r="F17"/>
  <c r="F18"/>
  <c r="F19"/>
  <c r="F20"/>
  <c r="F21"/>
  <c r="F22"/>
  <c r="F23"/>
  <c r="F24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12" i="38"/>
  <c r="H3"/>
  <c r="H15"/>
  <c r="H16"/>
  <c r="H14"/>
  <c r="H18" i="37"/>
  <c r="H21"/>
  <c r="H19"/>
  <c r="H22"/>
  <c r="D21" i="3" l="1"/>
  <c r="D32" i="34" l="1"/>
  <c r="H13" i="38"/>
  <c r="J2"/>
  <c r="H2"/>
  <c r="F2"/>
  <c r="K5" i="37"/>
  <c r="H5"/>
  <c r="F5"/>
  <c r="B49" i="46" s="1"/>
  <c r="B33" s="1"/>
  <c r="K11" i="37"/>
  <c r="H11"/>
  <c r="F11"/>
  <c r="K10"/>
  <c r="H10"/>
  <c r="F10"/>
  <c r="K4"/>
  <c r="H4"/>
  <c r="F4"/>
  <c r="K3"/>
  <c r="H3"/>
  <c r="F3"/>
  <c r="J26" i="36"/>
  <c r="H26"/>
  <c r="J18"/>
  <c r="H18"/>
  <c r="F18"/>
  <c r="J17"/>
  <c r="H17"/>
  <c r="F17"/>
  <c r="J16"/>
  <c r="H16"/>
  <c r="F16"/>
  <c r="J15"/>
  <c r="H15"/>
  <c r="F15"/>
  <c r="H49" i="46" s="1"/>
  <c r="H33" s="1"/>
  <c r="J14" i="36"/>
  <c r="H14"/>
  <c r="F14"/>
  <c r="J13"/>
  <c r="H13"/>
  <c r="F13"/>
  <c r="J12"/>
  <c r="H12"/>
  <c r="F12"/>
  <c r="J11"/>
  <c r="H11"/>
  <c r="F11"/>
  <c r="J10"/>
  <c r="H10"/>
  <c r="F10"/>
  <c r="J9"/>
  <c r="H9"/>
  <c r="F9"/>
  <c r="H419" i="35"/>
  <c r="H418"/>
  <c r="H417"/>
  <c r="H416"/>
  <c r="H415"/>
  <c r="H414"/>
  <c r="H413"/>
  <c r="H412"/>
  <c r="H411"/>
  <c r="H410"/>
  <c r="H409"/>
  <c r="H408"/>
  <c r="H407"/>
  <c r="H406"/>
  <c r="H405"/>
  <c r="H404"/>
  <c r="H403"/>
  <c r="H402"/>
  <c r="H401"/>
  <c r="H400"/>
  <c r="H399"/>
  <c r="H398"/>
  <c r="H397"/>
  <c r="H396"/>
  <c r="H395"/>
  <c r="H394"/>
  <c r="H393"/>
  <c r="H392"/>
  <c r="H391"/>
  <c r="H390"/>
  <c r="H389"/>
  <c r="H388"/>
  <c r="H387"/>
  <c r="H386"/>
  <c r="H385"/>
  <c r="H384"/>
  <c r="H383"/>
  <c r="H382"/>
  <c r="H381"/>
  <c r="H380"/>
  <c r="H379"/>
  <c r="H378"/>
  <c r="H377"/>
  <c r="H376"/>
  <c r="H375"/>
  <c r="H374"/>
  <c r="H373"/>
  <c r="H372"/>
  <c r="H371"/>
  <c r="H370"/>
  <c r="H369"/>
  <c r="H368"/>
  <c r="H367"/>
  <c r="H366"/>
  <c r="H365"/>
  <c r="H364"/>
  <c r="H363"/>
  <c r="H362"/>
  <c r="H361"/>
  <c r="H360"/>
  <c r="H359"/>
  <c r="H358"/>
  <c r="H357"/>
  <c r="H356"/>
  <c r="H355"/>
  <c r="H354"/>
  <c r="H353"/>
  <c r="H352"/>
  <c r="H351"/>
  <c r="H350"/>
  <c r="H349"/>
  <c r="H348"/>
  <c r="H347"/>
  <c r="H346"/>
  <c r="H345"/>
  <c r="H344"/>
  <c r="H343"/>
  <c r="H342"/>
  <c r="H341"/>
  <c r="H340"/>
  <c r="H339"/>
  <c r="H338"/>
  <c r="H337"/>
  <c r="H336"/>
  <c r="H335"/>
  <c r="H334"/>
  <c r="H333"/>
  <c r="H332"/>
  <c r="H331"/>
  <c r="H330"/>
  <c r="H329"/>
  <c r="H328"/>
  <c r="H327"/>
  <c r="H326"/>
  <c r="H325"/>
  <c r="H324"/>
  <c r="H323"/>
  <c r="H322"/>
  <c r="H321"/>
  <c r="H320"/>
  <c r="H319"/>
  <c r="H318"/>
  <c r="H317"/>
  <c r="H316"/>
  <c r="H315"/>
  <c r="H314"/>
  <c r="H313"/>
  <c r="H312"/>
  <c r="H311"/>
  <c r="H310"/>
  <c r="H309"/>
  <c r="H308"/>
  <c r="H307"/>
  <c r="H306"/>
  <c r="H305"/>
  <c r="H304"/>
  <c r="H303"/>
  <c r="H302"/>
  <c r="H301"/>
  <c r="H300"/>
  <c r="H299"/>
  <c r="H298"/>
  <c r="H297"/>
  <c r="H296"/>
  <c r="H295"/>
  <c r="H294"/>
  <c r="H293"/>
  <c r="H292"/>
  <c r="H291"/>
  <c r="H290"/>
  <c r="H289"/>
  <c r="H288"/>
  <c r="H287"/>
  <c r="H286"/>
  <c r="H285"/>
  <c r="H284"/>
  <c r="H283"/>
  <c r="H282"/>
  <c r="H281"/>
  <c r="H280"/>
  <c r="H279"/>
  <c r="H278"/>
  <c r="H277"/>
  <c r="H276"/>
  <c r="H275"/>
  <c r="H274"/>
  <c r="H273"/>
  <c r="H272"/>
  <c r="H271"/>
  <c r="H270"/>
  <c r="H269"/>
  <c r="H268"/>
  <c r="H267"/>
  <c r="H266"/>
  <c r="H265"/>
  <c r="H264"/>
  <c r="H263"/>
  <c r="H262"/>
  <c r="H261"/>
  <c r="H260"/>
  <c r="H259"/>
  <c r="H258"/>
  <c r="H257"/>
  <c r="H256"/>
  <c r="H255"/>
  <c r="H254"/>
  <c r="H253"/>
  <c r="H252"/>
  <c r="H251"/>
  <c r="H250"/>
  <c r="H249"/>
  <c r="H248"/>
  <c r="H247"/>
  <c r="H246"/>
  <c r="H245"/>
  <c r="H244"/>
  <c r="H243"/>
  <c r="H242"/>
  <c r="H241"/>
  <c r="H240"/>
  <c r="H239"/>
  <c r="H238"/>
  <c r="H237"/>
  <c r="H236"/>
  <c r="H235"/>
  <c r="H234"/>
  <c r="H233"/>
  <c r="H232"/>
  <c r="H231"/>
  <c r="H230"/>
  <c r="H229"/>
  <c r="H228"/>
  <c r="H227"/>
  <c r="H226"/>
  <c r="H225"/>
  <c r="H224"/>
  <c r="H223"/>
  <c r="H222"/>
  <c r="H221"/>
  <c r="H220"/>
  <c r="H219"/>
  <c r="H218"/>
  <c r="H217"/>
  <c r="H216"/>
  <c r="H215"/>
  <c r="H214"/>
  <c r="H213"/>
  <c r="H212"/>
  <c r="H211"/>
  <c r="H210"/>
  <c r="H209"/>
  <c r="H208"/>
  <c r="H207"/>
  <c r="H206"/>
  <c r="H205"/>
  <c r="H204"/>
  <c r="H203"/>
  <c r="H202"/>
  <c r="H201"/>
  <c r="H200"/>
  <c r="H199"/>
  <c r="H198"/>
  <c r="H197"/>
  <c r="H196"/>
  <c r="H195"/>
  <c r="H194"/>
  <c r="H193"/>
  <c r="H192"/>
  <c r="H191"/>
  <c r="H190"/>
  <c r="H189"/>
  <c r="H188"/>
  <c r="H187"/>
  <c r="H186"/>
  <c r="H185"/>
  <c r="H184"/>
  <c r="H183"/>
  <c r="H18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94"/>
  <c r="H102"/>
  <c r="H101"/>
  <c r="H100"/>
  <c r="H99"/>
  <c r="H96"/>
  <c r="H95"/>
  <c r="H93"/>
  <c r="H67"/>
  <c r="H63"/>
  <c r="H62"/>
  <c r="H61"/>
  <c r="H60"/>
  <c r="H59"/>
  <c r="H58"/>
  <c r="H77"/>
  <c r="H65"/>
  <c r="H76"/>
  <c r="H71"/>
  <c r="H57"/>
  <c r="H56"/>
  <c r="H70"/>
  <c r="H55"/>
  <c r="H54"/>
  <c r="H53"/>
  <c r="H52"/>
  <c r="H51"/>
  <c r="H75"/>
  <c r="H50"/>
  <c r="H49"/>
  <c r="H48"/>
  <c r="H47"/>
  <c r="H92"/>
  <c r="H91"/>
  <c r="H46"/>
  <c r="H45"/>
  <c r="H129"/>
  <c r="H74"/>
  <c r="H78"/>
  <c r="H44"/>
  <c r="H43"/>
  <c r="H42"/>
  <c r="H41"/>
  <c r="H40"/>
  <c r="H39"/>
  <c r="H90"/>
  <c r="H38"/>
  <c r="H37"/>
  <c r="H69"/>
  <c r="H36"/>
  <c r="H35"/>
  <c r="H130"/>
  <c r="H128"/>
  <c r="H33"/>
  <c r="H64"/>
  <c r="H103"/>
  <c r="H32"/>
  <c r="H73"/>
  <c r="H120"/>
  <c r="H31"/>
  <c r="H72"/>
  <c r="H89"/>
  <c r="H66"/>
  <c r="H132"/>
  <c r="H125"/>
  <c r="H123"/>
  <c r="H29"/>
  <c r="H131"/>
  <c r="H28"/>
  <c r="H119"/>
  <c r="H118"/>
  <c r="H88"/>
  <c r="H87"/>
  <c r="H27"/>
  <c r="H26"/>
  <c r="H127"/>
  <c r="H25"/>
  <c r="H86"/>
  <c r="H124"/>
  <c r="H126"/>
  <c r="H105"/>
  <c r="H112"/>
  <c r="H24"/>
  <c r="H23"/>
  <c r="H109"/>
  <c r="H122"/>
  <c r="H22"/>
  <c r="H85"/>
  <c r="H21"/>
  <c r="H20"/>
  <c r="H117"/>
  <c r="H121"/>
  <c r="H97"/>
  <c r="H110"/>
  <c r="H84"/>
  <c r="H19"/>
  <c r="H68"/>
  <c r="H113"/>
  <c r="H115"/>
  <c r="H98"/>
  <c r="H114"/>
  <c r="H18"/>
  <c r="H17"/>
  <c r="H111"/>
  <c r="H16"/>
  <c r="H108"/>
  <c r="H15"/>
  <c r="H83"/>
  <c r="H107"/>
  <c r="H13"/>
  <c r="H106"/>
  <c r="H104"/>
  <c r="H116"/>
  <c r="H12"/>
  <c r="J81"/>
  <c r="H81"/>
  <c r="J80"/>
  <c r="H80"/>
  <c r="H82"/>
  <c r="H14"/>
  <c r="H10"/>
  <c r="J9"/>
  <c r="H9"/>
  <c r="J8"/>
  <c r="H8"/>
  <c r="J7"/>
  <c r="H7"/>
  <c r="J6"/>
  <c r="H6"/>
  <c r="J5"/>
  <c r="H5"/>
  <c r="J4"/>
  <c r="H4"/>
  <c r="J3"/>
  <c r="H3"/>
  <c r="J2"/>
  <c r="H2"/>
  <c r="H11"/>
  <c r="E33" i="46" l="1"/>
  <c r="K113" i="1"/>
  <c r="K123" l="1"/>
  <c r="F133"/>
  <c r="M133"/>
  <c r="G133"/>
  <c r="F132" l="1"/>
  <c r="M132"/>
  <c r="G132"/>
  <c r="K30"/>
  <c r="K26"/>
  <c r="K120"/>
  <c r="B39" i="32" l="1"/>
  <c r="M34"/>
  <c r="G34"/>
  <c r="F34"/>
  <c r="M33"/>
  <c r="G33"/>
  <c r="F33"/>
  <c r="M32"/>
  <c r="G32"/>
  <c r="F32"/>
  <c r="M31"/>
  <c r="G31"/>
  <c r="F31"/>
  <c r="M30"/>
  <c r="G30"/>
  <c r="F30"/>
  <c r="M29"/>
  <c r="G29"/>
  <c r="F29"/>
  <c r="M20"/>
  <c r="G20"/>
  <c r="F20"/>
  <c r="M19"/>
  <c r="G19"/>
  <c r="F19"/>
  <c r="P18"/>
  <c r="M18"/>
  <c r="G18"/>
  <c r="F18"/>
  <c r="P17"/>
  <c r="M17"/>
  <c r="G17"/>
  <c r="F17"/>
  <c r="P16"/>
  <c r="M16"/>
  <c r="B38" s="1"/>
  <c r="G16"/>
  <c r="F16"/>
  <c r="E11"/>
  <c r="C10"/>
  <c r="C8"/>
  <c r="B40" l="1"/>
  <c r="C11"/>
  <c r="B41"/>
  <c r="F43" i="5" l="1"/>
  <c r="G42"/>
  <c r="F131" i="1"/>
  <c r="M131"/>
  <c r="F10" i="46" s="1"/>
  <c r="G131" i="1"/>
  <c r="F130"/>
  <c r="M130"/>
  <c r="G130"/>
  <c r="K118" l="1"/>
  <c r="C76" i="3" l="1"/>
  <c r="C48" l="1"/>
  <c r="K111" i="1" l="1"/>
  <c r="F128" l="1"/>
  <c r="M128"/>
  <c r="G128"/>
  <c r="F129"/>
  <c r="M129"/>
  <c r="G129"/>
  <c r="M119"/>
  <c r="K28" l="1"/>
  <c r="K79"/>
  <c r="F127" l="1"/>
  <c r="M127"/>
  <c r="G127"/>
  <c r="C73" i="3" l="1"/>
  <c r="C31"/>
  <c r="C42"/>
  <c r="K94" i="1" l="1"/>
  <c r="K147"/>
  <c r="C64" i="3"/>
  <c r="F126" i="1"/>
  <c r="M126"/>
  <c r="G126"/>
  <c r="F124"/>
  <c r="M124"/>
  <c r="G124"/>
  <c r="F125"/>
  <c r="M125"/>
  <c r="G125"/>
  <c r="K109"/>
  <c r="B173" l="1"/>
  <c r="C70" i="3"/>
  <c r="F51" i="5"/>
  <c r="G43"/>
  <c r="E43"/>
  <c r="G41"/>
  <c r="G33"/>
  <c r="F34"/>
  <c r="E34"/>
  <c r="F122" i="1"/>
  <c r="M122"/>
  <c r="G122"/>
  <c r="F121"/>
  <c r="C51" i="3" l="1"/>
  <c r="K108" i="1" l="1"/>
  <c r="F8" i="25" l="1"/>
  <c r="F62" s="1"/>
  <c r="F42"/>
  <c r="H42" l="1"/>
  <c r="G8"/>
  <c r="G42"/>
  <c r="G62"/>
  <c r="M121" i="1"/>
  <c r="G121"/>
  <c r="F123"/>
  <c r="M123"/>
  <c r="G123"/>
  <c r="M30"/>
  <c r="C171" s="1"/>
  <c r="G30"/>
  <c r="F30"/>
  <c r="M29"/>
  <c r="G29"/>
  <c r="F29"/>
  <c r="K106"/>
  <c r="H8" i="25" l="1"/>
  <c r="H10" s="1"/>
  <c r="H44"/>
  <c r="H62"/>
  <c r="H64" s="1"/>
  <c r="G119" i="1"/>
  <c r="F120"/>
  <c r="M120"/>
  <c r="G120"/>
  <c r="K105" l="1"/>
  <c r="F118"/>
  <c r="M118"/>
  <c r="B172" s="1"/>
  <c r="G118"/>
  <c r="F23" i="5" l="1"/>
  <c r="E23"/>
  <c r="G22"/>
  <c r="M163" i="1"/>
  <c r="F163"/>
  <c r="G163"/>
  <c r="K104"/>
  <c r="M162" l="1"/>
  <c r="F162"/>
  <c r="G162"/>
  <c r="F117"/>
  <c r="M117"/>
  <c r="G117"/>
  <c r="F116" l="1"/>
  <c r="M116"/>
  <c r="G116"/>
  <c r="F161" l="1"/>
  <c r="M161"/>
  <c r="G161"/>
  <c r="K102"/>
  <c r="F115" l="1"/>
  <c r="M115"/>
  <c r="G115"/>
  <c r="K67"/>
  <c r="F160"/>
  <c r="M160"/>
  <c r="G160"/>
  <c r="F28"/>
  <c r="M28"/>
  <c r="G28"/>
  <c r="K100"/>
  <c r="F114"/>
  <c r="M114"/>
  <c r="G114"/>
  <c r="F113"/>
  <c r="M113"/>
  <c r="G113"/>
  <c r="K23"/>
  <c r="F159"/>
  <c r="G159"/>
  <c r="M159"/>
  <c r="M158"/>
  <c r="F158"/>
  <c r="G158"/>
  <c r="F112"/>
  <c r="M112"/>
  <c r="G112"/>
  <c r="F111"/>
  <c r="M111"/>
  <c r="G111"/>
  <c r="M27" l="1"/>
  <c r="G27"/>
  <c r="F27"/>
  <c r="K99" l="1"/>
  <c r="K24" l="1"/>
  <c r="K98"/>
  <c r="F110"/>
  <c r="M110"/>
  <c r="G110"/>
  <c r="M109" l="1"/>
  <c r="F109"/>
  <c r="G109"/>
  <c r="C35" i="3"/>
  <c r="K96" i="1" l="1"/>
  <c r="F157"/>
  <c r="M157"/>
  <c r="G157"/>
  <c r="F108"/>
  <c r="M108"/>
  <c r="G108"/>
  <c r="M26"/>
  <c r="G26"/>
  <c r="F26"/>
  <c r="F107" l="1"/>
  <c r="M107"/>
  <c r="G107"/>
  <c r="K21" l="1"/>
  <c r="K22"/>
  <c r="K92"/>
  <c r="F106" l="1"/>
  <c r="M106"/>
  <c r="G106"/>
  <c r="F105" l="1"/>
  <c r="M105"/>
  <c r="G105"/>
  <c r="F156"/>
  <c r="M156"/>
  <c r="G156"/>
  <c r="F104" l="1"/>
  <c r="M104"/>
  <c r="G104"/>
  <c r="F103" l="1"/>
  <c r="M103"/>
  <c r="G103"/>
  <c r="K95"/>
  <c r="F155" l="1"/>
  <c r="M155"/>
  <c r="G155"/>
  <c r="F102"/>
  <c r="M102"/>
  <c r="G102"/>
  <c r="K93"/>
  <c r="K91"/>
  <c r="C66" i="3" l="1"/>
  <c r="C67" s="1"/>
  <c r="M153" i="1" l="1"/>
  <c r="G153"/>
  <c r="F153"/>
  <c r="M154"/>
  <c r="G154"/>
  <c r="F154"/>
  <c r="C18" i="3"/>
  <c r="F101" i="1" l="1"/>
  <c r="M101"/>
  <c r="G101"/>
  <c r="K89"/>
  <c r="C15" i="3" l="1"/>
  <c r="K20" i="1" l="1"/>
  <c r="K18"/>
  <c r="K14"/>
  <c r="F25"/>
  <c r="M25"/>
  <c r="G25"/>
  <c r="K90"/>
  <c r="F152" l="1"/>
  <c r="G152"/>
  <c r="K87"/>
  <c r="K83"/>
  <c r="M152"/>
  <c r="K88"/>
  <c r="K63" l="1"/>
  <c r="F151" l="1"/>
  <c r="M151"/>
  <c r="B174" s="1"/>
  <c r="G151"/>
  <c r="F100" l="1"/>
  <c r="M100"/>
  <c r="G100"/>
  <c r="K86" l="1"/>
  <c r="F150"/>
  <c r="M150"/>
  <c r="G150"/>
  <c r="F99"/>
  <c r="M99"/>
  <c r="G99"/>
  <c r="M146"/>
  <c r="M147"/>
  <c r="M148"/>
  <c r="M149"/>
  <c r="M145"/>
  <c r="C12" i="3"/>
  <c r="F149" i="1"/>
  <c r="G149"/>
  <c r="C56" i="3"/>
  <c r="F98" i="1" l="1"/>
  <c r="M98"/>
  <c r="G98"/>
  <c r="F6" i="5"/>
  <c r="F8" s="1"/>
  <c r="E6"/>
  <c r="E8" s="1"/>
  <c r="G5"/>
  <c r="G6" l="1"/>
  <c r="G8" l="1"/>
  <c r="G148" i="1"/>
  <c r="F148"/>
  <c r="G147"/>
  <c r="G146"/>
  <c r="G145"/>
  <c r="F147"/>
  <c r="F146"/>
  <c r="F145"/>
  <c r="D176"/>
  <c r="G48" i="5"/>
  <c r="K76" i="1" l="1"/>
  <c r="C9" i="3"/>
  <c r="F24" i="1"/>
  <c r="G24"/>
  <c r="M23" l="1"/>
  <c r="M24"/>
  <c r="G23"/>
  <c r="F23"/>
  <c r="F97"/>
  <c r="G97"/>
  <c r="F96"/>
  <c r="G96"/>
  <c r="K78"/>
  <c r="K85" l="1"/>
  <c r="G39" i="5"/>
  <c r="G29"/>
  <c r="K73" i="1" l="1"/>
  <c r="G95" l="1"/>
  <c r="F95"/>
  <c r="G22"/>
  <c r="F22"/>
  <c r="M22"/>
  <c r="M97"/>
  <c r="B170" s="1"/>
  <c r="M96"/>
  <c r="K80"/>
  <c r="K59" l="1"/>
  <c r="K37" l="1"/>
  <c r="M94"/>
  <c r="M95"/>
  <c r="G94"/>
  <c r="F94"/>
  <c r="M21"/>
  <c r="G21"/>
  <c r="F21"/>
  <c r="G92" l="1"/>
  <c r="G93"/>
  <c r="F93"/>
  <c r="M93"/>
  <c r="F92"/>
  <c r="M92"/>
  <c r="G47" i="5" l="1"/>
  <c r="G28"/>
  <c r="G19"/>
  <c r="G20"/>
  <c r="G21"/>
  <c r="G38"/>
  <c r="K70" i="1" l="1"/>
  <c r="K66"/>
  <c r="G91"/>
  <c r="F91"/>
  <c r="M91"/>
  <c r="M20"/>
  <c r="G20"/>
  <c r="F20"/>
  <c r="G90" l="1"/>
  <c r="F90"/>
  <c r="M90"/>
  <c r="C45" i="3" l="1"/>
  <c r="M19" i="1"/>
  <c r="G19"/>
  <c r="F19"/>
  <c r="G89"/>
  <c r="F89"/>
  <c r="M89"/>
  <c r="G88" l="1"/>
  <c r="F88"/>
  <c r="M88"/>
  <c r="M18"/>
  <c r="G18"/>
  <c r="F18"/>
  <c r="K50"/>
  <c r="K17"/>
  <c r="G87" l="1"/>
  <c r="F87"/>
  <c r="M87"/>
  <c r="F49" i="5" l="1"/>
  <c r="E49"/>
  <c r="G46"/>
  <c r="G45"/>
  <c r="G44"/>
  <c r="F40"/>
  <c r="E40"/>
  <c r="E51" s="1"/>
  <c r="G37"/>
  <c r="G36"/>
  <c r="G35"/>
  <c r="G32"/>
  <c r="G31"/>
  <c r="F30"/>
  <c r="E30"/>
  <c r="G27"/>
  <c r="G26"/>
  <c r="G25"/>
  <c r="G24"/>
  <c r="G18"/>
  <c r="G17"/>
  <c r="F16"/>
  <c r="E16"/>
  <c r="G15"/>
  <c r="G14"/>
  <c r="G30" l="1"/>
  <c r="G34"/>
  <c r="G16"/>
  <c r="G40"/>
  <c r="G49"/>
  <c r="G23"/>
  <c r="G51" l="1"/>
  <c r="G86" i="1"/>
  <c r="F86"/>
  <c r="M86"/>
  <c r="K16" l="1"/>
  <c r="G85" l="1"/>
  <c r="F85"/>
  <c r="M85"/>
  <c r="K12"/>
  <c r="K77" l="1"/>
  <c r="M17"/>
  <c r="G17"/>
  <c r="F17"/>
  <c r="F73" i="46" l="1"/>
  <c r="G4" s="1"/>
  <c r="G73" s="1"/>
  <c r="G84" i="1"/>
  <c r="F84"/>
  <c r="M84"/>
  <c r="C175" s="1"/>
  <c r="G16" l="1"/>
  <c r="F16"/>
  <c r="M16"/>
  <c r="G83"/>
  <c r="F83"/>
  <c r="M83"/>
  <c r="K74"/>
  <c r="K72" l="1"/>
  <c r="G82"/>
  <c r="F82"/>
  <c r="M82"/>
  <c r="G81" l="1"/>
  <c r="F81"/>
  <c r="M81"/>
  <c r="K57"/>
  <c r="K13"/>
  <c r="K49"/>
  <c r="G80" l="1"/>
  <c r="F80"/>
  <c r="M80"/>
  <c r="K60" l="1"/>
  <c r="K71"/>
  <c r="M79"/>
  <c r="G79"/>
  <c r="F79"/>
  <c r="M78"/>
  <c r="G78"/>
  <c r="F78"/>
  <c r="G76" l="1"/>
  <c r="F76"/>
  <c r="M76"/>
  <c r="F77"/>
  <c r="M77"/>
  <c r="G77"/>
  <c r="K68"/>
  <c r="K65" l="1"/>
  <c r="K55"/>
  <c r="G75" l="1"/>
  <c r="F75"/>
  <c r="M75"/>
  <c r="M74" l="1"/>
  <c r="G74"/>
  <c r="F74"/>
  <c r="M73"/>
  <c r="G73"/>
  <c r="F73"/>
  <c r="M72"/>
  <c r="G72"/>
  <c r="F72" l="1"/>
  <c r="M71"/>
  <c r="G71"/>
  <c r="F71"/>
  <c r="M70"/>
  <c r="F70"/>
  <c r="M69"/>
  <c r="F69"/>
  <c r="M68"/>
  <c r="G68"/>
  <c r="F68"/>
  <c r="M67" l="1"/>
  <c r="G67"/>
  <c r="F67"/>
  <c r="M66"/>
  <c r="F66" l="1"/>
  <c r="M65"/>
  <c r="G65" l="1"/>
  <c r="F65"/>
  <c r="K64"/>
  <c r="M64" s="1"/>
  <c r="G64"/>
  <c r="F64"/>
  <c r="M63"/>
  <c r="G63" l="1"/>
  <c r="F63"/>
  <c r="M62"/>
  <c r="G62"/>
  <c r="F62"/>
  <c r="M61"/>
  <c r="F61"/>
  <c r="M60"/>
  <c r="F60"/>
  <c r="M59"/>
  <c r="G59"/>
  <c r="F59"/>
  <c r="K58"/>
  <c r="M58" s="1"/>
  <c r="F58"/>
  <c r="M57"/>
  <c r="F57"/>
  <c r="M56"/>
  <c r="F56"/>
  <c r="M55"/>
  <c r="F55"/>
  <c r="M54"/>
  <c r="F54"/>
  <c r="M53"/>
  <c r="F53"/>
  <c r="M52"/>
  <c r="G52"/>
  <c r="F52" l="1"/>
  <c r="K51"/>
  <c r="M51" s="1"/>
  <c r="F51"/>
  <c r="M50"/>
  <c r="G50"/>
  <c r="F50"/>
  <c r="M49"/>
  <c r="G49"/>
  <c r="F49" l="1"/>
  <c r="K48"/>
  <c r="M48" s="1"/>
  <c r="G48"/>
  <c r="F48"/>
  <c r="M47"/>
  <c r="G47"/>
  <c r="F47"/>
  <c r="M46"/>
  <c r="G46"/>
  <c r="F46"/>
  <c r="M45"/>
  <c r="F45"/>
  <c r="M44"/>
  <c r="F44"/>
  <c r="K43"/>
  <c r="M43" s="1"/>
  <c r="F43"/>
  <c r="K42" l="1"/>
  <c r="M42" s="1"/>
  <c r="F42"/>
  <c r="M41"/>
  <c r="F41"/>
  <c r="K40"/>
  <c r="M40" s="1"/>
  <c r="F40"/>
  <c r="M39"/>
  <c r="K39"/>
  <c r="F39"/>
  <c r="M38"/>
  <c r="F38"/>
  <c r="M37"/>
  <c r="F37"/>
  <c r="K36" l="1"/>
  <c r="M36" s="1"/>
  <c r="F36"/>
  <c r="M35"/>
  <c r="B171" s="1"/>
  <c r="B176" s="1"/>
  <c r="G35"/>
  <c r="F35"/>
  <c r="M15"/>
  <c r="F15"/>
  <c r="M14"/>
  <c r="F14"/>
  <c r="M13"/>
  <c r="F13"/>
  <c r="M12"/>
  <c r="G12"/>
  <c r="F12"/>
  <c r="M11"/>
  <c r="G11"/>
  <c r="F11"/>
  <c r="K10"/>
  <c r="M10" s="1"/>
  <c r="C176" l="1"/>
  <c r="F10"/>
  <c r="M9"/>
  <c r="G9"/>
  <c r="F9"/>
  <c r="K8"/>
  <c r="M8" s="1"/>
  <c r="F8"/>
  <c r="M7"/>
  <c r="G7"/>
  <c r="F7"/>
  <c r="M6"/>
  <c r="F6"/>
  <c r="M5"/>
  <c r="F5"/>
  <c r="K4"/>
  <c r="M4" s="1"/>
  <c r="J4"/>
  <c r="F4"/>
  <c r="A1" i="3" l="1"/>
  <c r="H73" i="46" l="1"/>
  <c r="I73"/>
  <c r="J4" s="1"/>
  <c r="J73" s="1"/>
  <c r="E73" l="1"/>
  <c r="B73" l="1"/>
</calcChain>
</file>

<file path=xl/comments1.xml><?xml version="1.0" encoding="utf-8"?>
<comments xmlns="http://schemas.openxmlformats.org/spreadsheetml/2006/main">
  <authors>
    <author>AA</author>
  </authors>
  <commentList>
    <comment ref="E13" authorId="0">
      <text>
        <r>
          <rPr>
            <b/>
            <sz val="9"/>
            <color indexed="81"/>
            <rFont val="Tahoma"/>
            <family val="2"/>
          </rPr>
          <t>RECTTE AGENCE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<sst xmlns="http://schemas.openxmlformats.org/spreadsheetml/2006/main" count="4655" uniqueCount="1648">
  <si>
    <t>CLIENT</t>
  </si>
  <si>
    <t>Facture</t>
  </si>
  <si>
    <t>MCNE</t>
  </si>
  <si>
    <t>REGLEMENT</t>
  </si>
  <si>
    <t>DIFFERENCE</t>
  </si>
  <si>
    <t>Numéro</t>
  </si>
  <si>
    <t>Date</t>
  </si>
  <si>
    <t>DEV</t>
  </si>
  <si>
    <t>MONTANT</t>
  </si>
  <si>
    <t>TND</t>
  </si>
  <si>
    <t>Échéance</t>
  </si>
  <si>
    <t>Montant</t>
  </si>
  <si>
    <t>DATE MEP</t>
  </si>
  <si>
    <t>ECHEANCE</t>
  </si>
  <si>
    <t xml:space="preserve">Date </t>
  </si>
  <si>
    <t>MED ENERGY</t>
  </si>
  <si>
    <t>EUR</t>
  </si>
  <si>
    <t>MARIBAT</t>
  </si>
  <si>
    <t>EX150015</t>
  </si>
  <si>
    <t>USD</t>
  </si>
  <si>
    <t>ERRAFIK</t>
  </si>
  <si>
    <t>EL HARAMAINE</t>
  </si>
  <si>
    <t>EX160002</t>
  </si>
  <si>
    <t>EX160003</t>
  </si>
  <si>
    <t>EX160004</t>
  </si>
  <si>
    <t>EX160005</t>
  </si>
  <si>
    <t>FN110017</t>
  </si>
  <si>
    <t>FN150083</t>
  </si>
  <si>
    <t>FN150084</t>
  </si>
  <si>
    <t>FN150085</t>
  </si>
  <si>
    <t>FN160001</t>
  </si>
  <si>
    <t>FN160002</t>
  </si>
  <si>
    <t>FN160003</t>
  </si>
  <si>
    <t>FN160007</t>
  </si>
  <si>
    <t>FN160008</t>
  </si>
  <si>
    <t>FN160009</t>
  </si>
  <si>
    <t>FN160010</t>
  </si>
  <si>
    <t>FN160011</t>
  </si>
  <si>
    <t>FN160012</t>
  </si>
  <si>
    <t>EX160006</t>
  </si>
  <si>
    <t>FN160016</t>
  </si>
  <si>
    <t>FN160017</t>
  </si>
  <si>
    <t>FN160018</t>
  </si>
  <si>
    <t>FN160022</t>
  </si>
  <si>
    <t>EX160007</t>
  </si>
  <si>
    <t>SNA</t>
  </si>
  <si>
    <t>STA</t>
  </si>
  <si>
    <t>EURO</t>
  </si>
  <si>
    <t>DOLLARS</t>
  </si>
  <si>
    <t xml:space="preserve">EN COURS </t>
  </si>
  <si>
    <t>Virement</t>
  </si>
  <si>
    <t>Previsions</t>
  </si>
  <si>
    <t>Vente Devise</t>
  </si>
  <si>
    <t>Maribat</t>
  </si>
  <si>
    <t>El Haramaine</t>
  </si>
  <si>
    <t>Med Energy</t>
  </si>
  <si>
    <t>Errafik</t>
  </si>
  <si>
    <t>Depenses</t>
  </si>
  <si>
    <t>Import</t>
  </si>
  <si>
    <t>STCM</t>
  </si>
  <si>
    <t>Daramic</t>
  </si>
  <si>
    <t>Goonvean</t>
  </si>
  <si>
    <t>Accuma</t>
  </si>
  <si>
    <t>Akumsan</t>
  </si>
  <si>
    <t>Sovema</t>
  </si>
  <si>
    <t>Glatfelter</t>
  </si>
  <si>
    <t>Engagement Banque</t>
  </si>
  <si>
    <t>Autorisation</t>
  </si>
  <si>
    <t>TAUX EURO/TND</t>
  </si>
  <si>
    <t>TAUX USD/TND</t>
  </si>
  <si>
    <t>TAUX GBP/TND</t>
  </si>
  <si>
    <t>S T A</t>
  </si>
  <si>
    <t>FOURNISSEUR</t>
  </si>
  <si>
    <t>MONNAIE</t>
  </si>
  <si>
    <t>MONT DEV.</t>
  </si>
  <si>
    <t>MONT DT</t>
  </si>
  <si>
    <t>DATE FACTURE</t>
  </si>
  <si>
    <t>TOTAL</t>
  </si>
  <si>
    <t>S N A</t>
  </si>
  <si>
    <t>FN160023</t>
  </si>
  <si>
    <t>FN160026</t>
  </si>
  <si>
    <t>FN160027</t>
  </si>
  <si>
    <t>FN160025</t>
  </si>
  <si>
    <t>EX160008</t>
  </si>
  <si>
    <t>EX160009</t>
  </si>
  <si>
    <t>FN160031</t>
  </si>
  <si>
    <t>FN160032</t>
  </si>
  <si>
    <t>FN160033</t>
  </si>
  <si>
    <t>EX160010</t>
  </si>
  <si>
    <t>CMT</t>
  </si>
  <si>
    <t>Fournisseurs</t>
  </si>
  <si>
    <t>Traite SNA</t>
  </si>
  <si>
    <t>Traite STA</t>
  </si>
  <si>
    <t>Leasing</t>
  </si>
  <si>
    <t>Steg</t>
  </si>
  <si>
    <t>Salaires</t>
  </si>
  <si>
    <t>Recette des Finances</t>
  </si>
  <si>
    <t>Local</t>
  </si>
  <si>
    <t>Escompte</t>
  </si>
  <si>
    <t>Espece</t>
  </si>
  <si>
    <t>Cheque</t>
  </si>
  <si>
    <t>STB TH</t>
  </si>
  <si>
    <t>STB MEG</t>
  </si>
  <si>
    <t>SND</t>
  </si>
  <si>
    <t>INT</t>
  </si>
  <si>
    <t>PP</t>
  </si>
  <si>
    <t>Total</t>
  </si>
  <si>
    <t>Intérêt</t>
  </si>
  <si>
    <t>Principal</t>
  </si>
  <si>
    <t>Crédit</t>
  </si>
  <si>
    <t>SNA-NOUR</t>
  </si>
  <si>
    <t>STA-NOUR</t>
  </si>
  <si>
    <t>STA NOUR</t>
  </si>
  <si>
    <t>TIP</t>
  </si>
  <si>
    <t>BTK</t>
  </si>
  <si>
    <t>FN160034</t>
  </si>
  <si>
    <t>FONDERIE</t>
  </si>
  <si>
    <t>Dividendes</t>
  </si>
  <si>
    <t>PHENICIA</t>
  </si>
  <si>
    <t>Fonderie</t>
  </si>
  <si>
    <t>CCA</t>
  </si>
  <si>
    <t>FN160042</t>
  </si>
  <si>
    <t>EX160011</t>
  </si>
  <si>
    <t>EX160012</t>
  </si>
  <si>
    <t>FN160038</t>
  </si>
  <si>
    <t>FN160039</t>
  </si>
  <si>
    <t>FN160040</t>
  </si>
  <si>
    <t>FN160041</t>
  </si>
  <si>
    <t>CNSS</t>
  </si>
  <si>
    <t>VENTE DEVISE</t>
  </si>
  <si>
    <t>Biasin</t>
  </si>
  <si>
    <t>FN160046</t>
  </si>
  <si>
    <t>FN160050</t>
  </si>
  <si>
    <t>FN160051</t>
  </si>
  <si>
    <t>FN160045</t>
  </si>
  <si>
    <t>FN160054</t>
  </si>
  <si>
    <t>FN160053</t>
  </si>
  <si>
    <t>FN160055</t>
  </si>
  <si>
    <t>FN160052</t>
  </si>
  <si>
    <t>FN160058</t>
  </si>
  <si>
    <t>FN160059</t>
  </si>
  <si>
    <t>FN160060</t>
  </si>
  <si>
    <t>EL HARAMAIN</t>
  </si>
  <si>
    <t>FN160066</t>
  </si>
  <si>
    <t>FN160065</t>
  </si>
  <si>
    <t>FN160067</t>
  </si>
  <si>
    <t>FN160068</t>
  </si>
  <si>
    <t>FN160069</t>
  </si>
  <si>
    <t>FN160072</t>
  </si>
  <si>
    <t>FN160075</t>
  </si>
  <si>
    <t>FN160076</t>
  </si>
  <si>
    <t>EX160014</t>
  </si>
  <si>
    <t>FN160077</t>
  </si>
  <si>
    <t>EX160015</t>
  </si>
  <si>
    <t>FN160082</t>
  </si>
  <si>
    <t>FN160084</t>
  </si>
  <si>
    <t>TOTAL 2017</t>
  </si>
  <si>
    <t>REGLEMENT FINAL</t>
  </si>
  <si>
    <t>Total 12/2017</t>
  </si>
  <si>
    <t>FN160090</t>
  </si>
  <si>
    <t>EX170001</t>
  </si>
  <si>
    <t>FN170001</t>
  </si>
  <si>
    <t>FN170006</t>
  </si>
  <si>
    <t xml:space="preserve">ENERTECH </t>
  </si>
  <si>
    <t>EX170002</t>
  </si>
  <si>
    <t>FN170007</t>
  </si>
  <si>
    <t>EX170003</t>
  </si>
  <si>
    <t>FN170008</t>
  </si>
  <si>
    <t>KG</t>
  </si>
  <si>
    <t>FN170013</t>
  </si>
  <si>
    <t>FN170014</t>
  </si>
  <si>
    <t>EX170004</t>
  </si>
  <si>
    <t>FN170017</t>
  </si>
  <si>
    <t>FN170020</t>
  </si>
  <si>
    <t>HEMPE</t>
  </si>
  <si>
    <t>DECHET BATTERIE</t>
  </si>
  <si>
    <t>EX170005</t>
  </si>
  <si>
    <t>FN170024</t>
  </si>
  <si>
    <t>FN170025</t>
  </si>
  <si>
    <t>EX170006</t>
  </si>
  <si>
    <t>EX170007</t>
  </si>
  <si>
    <t xml:space="preserve">HEMPE </t>
  </si>
  <si>
    <t>FH170001</t>
  </si>
  <si>
    <t>FH170002</t>
  </si>
  <si>
    <t>FH170003</t>
  </si>
  <si>
    <t>FH170004</t>
  </si>
  <si>
    <t>ALPHA</t>
  </si>
  <si>
    <t>FN170027</t>
  </si>
  <si>
    <t>Plomb local</t>
  </si>
  <si>
    <t>Placement</t>
  </si>
  <si>
    <t>CEMT</t>
  </si>
  <si>
    <t>TAUX CNY/TND</t>
  </si>
  <si>
    <t>FH170005</t>
  </si>
  <si>
    <t>FN170030</t>
  </si>
  <si>
    <t>FH170006</t>
  </si>
  <si>
    <t>FN170031</t>
  </si>
  <si>
    <t>FH170007</t>
  </si>
  <si>
    <t>FH170008</t>
  </si>
  <si>
    <t>FH170009</t>
  </si>
  <si>
    <t>EX170008</t>
  </si>
  <si>
    <t>FN170038</t>
  </si>
  <si>
    <t>FH170010</t>
  </si>
  <si>
    <t>FN170039</t>
  </si>
  <si>
    <t>FH170011</t>
  </si>
  <si>
    <t>FN170040</t>
  </si>
  <si>
    <t>FN170041</t>
  </si>
  <si>
    <t>NOUR HEMP</t>
  </si>
  <si>
    <t>kg</t>
  </si>
  <si>
    <t>FH170012</t>
  </si>
  <si>
    <t>FN170044</t>
  </si>
  <si>
    <t>FN170046</t>
  </si>
  <si>
    <t>FN170047</t>
  </si>
  <si>
    <t>EX170009</t>
  </si>
  <si>
    <t>FN170048</t>
  </si>
  <si>
    <t>FH170013</t>
  </si>
  <si>
    <t>FN170049</t>
  </si>
  <si>
    <t>FN170050</t>
  </si>
  <si>
    <t>EX170010</t>
  </si>
  <si>
    <t>BILLET DE TRESORERIE</t>
  </si>
  <si>
    <t>FN170057</t>
  </si>
  <si>
    <t>FN170058</t>
  </si>
  <si>
    <t>FH170014</t>
  </si>
  <si>
    <t>FH170015</t>
  </si>
  <si>
    <t>FN170059</t>
  </si>
  <si>
    <t>FN170060</t>
  </si>
  <si>
    <t>EX170011</t>
  </si>
  <si>
    <t>FH170016</t>
  </si>
  <si>
    <t>FN170061</t>
  </si>
  <si>
    <t>FH170017</t>
  </si>
  <si>
    <t>FN180001</t>
  </si>
  <si>
    <t>FN180002</t>
  </si>
  <si>
    <t>FH180001</t>
  </si>
  <si>
    <t>BATTERIEDIENST</t>
  </si>
  <si>
    <t>FH180002</t>
  </si>
  <si>
    <t>ECHEANCIER 2018</t>
  </si>
  <si>
    <t>TOTAL 2018</t>
  </si>
  <si>
    <t>Total 01/2018</t>
  </si>
  <si>
    <t>Total 03/2018</t>
  </si>
  <si>
    <t>Total 06/2018</t>
  </si>
  <si>
    <t>Total 07/2018</t>
  </si>
  <si>
    <t>Total 09/2018</t>
  </si>
  <si>
    <t>Total 12/2018</t>
  </si>
  <si>
    <t>FN180005</t>
  </si>
  <si>
    <t>RESTITUTION TVA</t>
  </si>
  <si>
    <t>NOURAKKUMULATOREN</t>
  </si>
  <si>
    <t>FN180008</t>
  </si>
  <si>
    <t>FN180007</t>
  </si>
  <si>
    <t>NOUR Allemagne</t>
  </si>
  <si>
    <t>EX180002</t>
  </si>
  <si>
    <t>EX180001</t>
  </si>
  <si>
    <t>FN180016</t>
  </si>
  <si>
    <t>FN180014</t>
  </si>
  <si>
    <t>TOTAL CRASSE</t>
  </si>
  <si>
    <t>TOTAL DECHET BATTERIE</t>
  </si>
  <si>
    <t>TOTAL ETAIN</t>
  </si>
  <si>
    <t>TOTAL VIEUX PLOMB</t>
  </si>
  <si>
    <t>REGLEMENT RECU</t>
  </si>
  <si>
    <t>RESTE A PAYER</t>
  </si>
  <si>
    <t>QUANTITE NON FACTURE</t>
  </si>
  <si>
    <t>FN180015</t>
  </si>
  <si>
    <t>Total 10/2018</t>
  </si>
  <si>
    <t>HEMPE 2</t>
  </si>
  <si>
    <t>OBLIGATION DOUANES</t>
  </si>
  <si>
    <t>FN180020</t>
  </si>
  <si>
    <t>FN180019</t>
  </si>
  <si>
    <t>FN180021</t>
  </si>
  <si>
    <t>WIRTZ</t>
  </si>
  <si>
    <t>COPLOSA</t>
  </si>
  <si>
    <t>Allemagne</t>
  </si>
  <si>
    <t>PRIME INVESTISSEMENT</t>
  </si>
  <si>
    <t>FN180022</t>
  </si>
  <si>
    <t>FN180026</t>
  </si>
  <si>
    <t>FN180025</t>
  </si>
  <si>
    <t>TOTAL ALIMINIUM</t>
  </si>
  <si>
    <t>FN180030</t>
  </si>
  <si>
    <t>FN180031</t>
  </si>
  <si>
    <t>Difference</t>
  </si>
  <si>
    <t>PLOMB</t>
  </si>
  <si>
    <t>FN180034</t>
  </si>
  <si>
    <t>Adr fact</t>
  </si>
  <si>
    <t>Nom</t>
  </si>
  <si>
    <t>1r05211</t>
  </si>
  <si>
    <t>STE EL HAMDI PIECES.RECHANGE</t>
  </si>
  <si>
    <t>7R20002</t>
  </si>
  <si>
    <t>HAROUNI HAFSIA BT MOHAMED</t>
  </si>
  <si>
    <t>STE MBABET AUTO</t>
  </si>
  <si>
    <t>6R21178</t>
  </si>
  <si>
    <t>STE B.ABDESSALEM PIECES AUTO</t>
  </si>
  <si>
    <t>1R02235</t>
  </si>
  <si>
    <t>STE COGEPA</t>
  </si>
  <si>
    <t>TAHER MESTIRI</t>
  </si>
  <si>
    <t>6R23139</t>
  </si>
  <si>
    <t>AWADNI MAATOUG</t>
  </si>
  <si>
    <t>6R23155</t>
  </si>
  <si>
    <t>STE EQUIP.INDUSTRIEL &amp; MARIT</t>
  </si>
  <si>
    <t>3R14079</t>
  </si>
  <si>
    <t>BAAZAOUI SALAH</t>
  </si>
  <si>
    <t>7R16041</t>
  </si>
  <si>
    <t>SALEM AGIL</t>
  </si>
  <si>
    <t>4R12227</t>
  </si>
  <si>
    <t>HAKIM BEN SADOK KHEMIS</t>
  </si>
  <si>
    <t>4R13132</t>
  </si>
  <si>
    <t>STE GENERALE EQUIP.MARITIME</t>
  </si>
  <si>
    <t>6R21174</t>
  </si>
  <si>
    <t>SOKOPA</t>
  </si>
  <si>
    <t>6R21179</t>
  </si>
  <si>
    <t>BAHRI GNAOUI</t>
  </si>
  <si>
    <t>IMED BEN ZEKRI</t>
  </si>
  <si>
    <t>1r01551</t>
  </si>
  <si>
    <t>GENERALE ELECT.AUTOMOBILE</t>
  </si>
  <si>
    <t>1R02097</t>
  </si>
  <si>
    <t>ESSAIED SALAH</t>
  </si>
  <si>
    <t>AMEL ZGUIDENE EP SADFI</t>
  </si>
  <si>
    <t>1R02199</t>
  </si>
  <si>
    <t>MOHAMED ZARAGA  Z P A</t>
  </si>
  <si>
    <t>1r02199</t>
  </si>
  <si>
    <t>ABDELKADER MOEZ BEN LAMINE</t>
  </si>
  <si>
    <t>STE DOGHRI AL BARAKA</t>
  </si>
  <si>
    <t>1r02243</t>
  </si>
  <si>
    <t>STE GLOBAL PIECES AUTOS</t>
  </si>
  <si>
    <t>MOHAMED BEN MOHAMED SAMIR</t>
  </si>
  <si>
    <t>MEJRI DE PNEUMATIQUE "SMP"</t>
  </si>
  <si>
    <t>1r05171</t>
  </si>
  <si>
    <t>STE L'HORIZON DE PIECES DE</t>
  </si>
  <si>
    <t>1r06020</t>
  </si>
  <si>
    <t>STE MED ALI DE PIECES DE</t>
  </si>
  <si>
    <t>BOUAZIZ SLAH</t>
  </si>
  <si>
    <t>3R18120</t>
  </si>
  <si>
    <t>BELEL HABIB</t>
  </si>
  <si>
    <t>3R18254</t>
  </si>
  <si>
    <t>MOHAMED KCHAOU</t>
  </si>
  <si>
    <t>3R18336</t>
  </si>
  <si>
    <t>STE PIECES AUTOS JAPONAISES</t>
  </si>
  <si>
    <t>3R18353</t>
  </si>
  <si>
    <t>MOHAMMED BEN NOURI MSAKNI</t>
  </si>
  <si>
    <t>3R18401</t>
  </si>
  <si>
    <t>TAHER BEN AMOR MAHJOUBI</t>
  </si>
  <si>
    <t>7R19030</t>
  </si>
  <si>
    <t>TAIEB JANNETTE</t>
  </si>
  <si>
    <t>4R12104</t>
  </si>
  <si>
    <t>STE.MAGHR. DE PIECES DE RECH</t>
  </si>
  <si>
    <t>4R14056</t>
  </si>
  <si>
    <t>MEHREZ BEN MOHAMED GUIZANI</t>
  </si>
  <si>
    <t>4R15055</t>
  </si>
  <si>
    <t>STATION LAVAGE MONGI B.HSAN</t>
  </si>
  <si>
    <t>6R21118</t>
  </si>
  <si>
    <t>ETS SALAH KOTNI 2</t>
  </si>
  <si>
    <t>6R21155</t>
  </si>
  <si>
    <t>SOCIETE CHAIBI DE CARBURANT</t>
  </si>
  <si>
    <t>6R23048</t>
  </si>
  <si>
    <t>TAIEB GHRIBI</t>
  </si>
  <si>
    <t>8R08037</t>
  </si>
  <si>
    <t>FIDHA AMINE B FATHI B HEDI</t>
  </si>
  <si>
    <t>8R09044</t>
  </si>
  <si>
    <t>KOUKI FAOUZI</t>
  </si>
  <si>
    <t>8R09060</t>
  </si>
  <si>
    <t>SAMIR BEN SLIMEN AOUADI</t>
  </si>
  <si>
    <t>1r01573</t>
  </si>
  <si>
    <t>LAJNAF SALHA</t>
  </si>
  <si>
    <t>1R03074</t>
  </si>
  <si>
    <t>BEJI FAYCEL</t>
  </si>
  <si>
    <t>SOFIENE B RHOUMA "CAP AUTO"</t>
  </si>
  <si>
    <t>3R18053</t>
  </si>
  <si>
    <t>HACHICHA THAMEUR</t>
  </si>
  <si>
    <t>3R18274</t>
  </si>
  <si>
    <t>STE HSOUNA FRIKHA ET FILS</t>
  </si>
  <si>
    <t>HAIKEL BEN MOULDI ESSAHLI</t>
  </si>
  <si>
    <t>HAMDA MALEK BEN JILANI</t>
  </si>
  <si>
    <t>1r01509</t>
  </si>
  <si>
    <t>STE JAMEL AUTO</t>
  </si>
  <si>
    <t>4R12113</t>
  </si>
  <si>
    <t>HATEM BEN SALAH KRAIEM</t>
  </si>
  <si>
    <t>1r02231</t>
  </si>
  <si>
    <t>STE ARFA AUTO PLUS</t>
  </si>
  <si>
    <t>1r03169</t>
  </si>
  <si>
    <t>MOHAMED RACHED AMAMOU</t>
  </si>
  <si>
    <t>STE SAAIDI PIECES  RECHANGE</t>
  </si>
  <si>
    <t>1R06020</t>
  </si>
  <si>
    <t>FAOUZI MECHRGUI</t>
  </si>
  <si>
    <t>STUFEME</t>
  </si>
  <si>
    <t>3R18123</t>
  </si>
  <si>
    <t>WAJDI BOUZGENDA</t>
  </si>
  <si>
    <t>3R18375</t>
  </si>
  <si>
    <t>MOHAMED AMINE BEN AMOR</t>
  </si>
  <si>
    <t>4R13083</t>
  </si>
  <si>
    <t>ETS RACHED KALBOUSSI</t>
  </si>
  <si>
    <t>4R15037</t>
  </si>
  <si>
    <t>STE MAHDIA AUTO</t>
  </si>
  <si>
    <t>8R09054</t>
  </si>
  <si>
    <t>OUESLATI LOTFI B BELGACEM</t>
  </si>
  <si>
    <t>8R10053</t>
  </si>
  <si>
    <t>OUERGHI MOUNIR B ABDELMAJID</t>
  </si>
  <si>
    <t>4R13116</t>
  </si>
  <si>
    <t>AHMED BEN ALI TEKAYA</t>
  </si>
  <si>
    <t>6R23152</t>
  </si>
  <si>
    <t>GHRIBI ABDELMOUTALAB B.AMMAR</t>
  </si>
  <si>
    <t>STE HADJ AUTO</t>
  </si>
  <si>
    <t>1r05071</t>
  </si>
  <si>
    <t>FATHI NAJJAR</t>
  </si>
  <si>
    <t>STE BATTERY CENTER</t>
  </si>
  <si>
    <t>3R18384</t>
  </si>
  <si>
    <t>STE DES PIECES DE RECHANGE</t>
  </si>
  <si>
    <t>MANAI WAHID</t>
  </si>
  <si>
    <t>1r05103</t>
  </si>
  <si>
    <t>JALEL BEN AHMED EL GABSI</t>
  </si>
  <si>
    <t>STE ALBOURAQ PIECES AUTO</t>
  </si>
  <si>
    <t>3R18061</t>
  </si>
  <si>
    <t>COPI  AUTOS</t>
  </si>
  <si>
    <t>3R18321</t>
  </si>
  <si>
    <t>SOCIETE GENERAL DE PIECES</t>
  </si>
  <si>
    <t>ALI BEN AHMED CHAABANI</t>
  </si>
  <si>
    <t>4R12228</t>
  </si>
  <si>
    <t>SOCIETE DARDOUR ET FILS</t>
  </si>
  <si>
    <t>3R18072</t>
  </si>
  <si>
    <t>SIRAJ BEN ZINA</t>
  </si>
  <si>
    <t>STE RESSIFI DES PIECES AUTOS</t>
  </si>
  <si>
    <t>3R18207</t>
  </si>
  <si>
    <t>SMAOUI MOHSEN</t>
  </si>
  <si>
    <t>4R12236</t>
  </si>
  <si>
    <t>STE ELECTRICIA AUTO</t>
  </si>
  <si>
    <t>AMOR BEN ABDRAHMENE BIBANI</t>
  </si>
  <si>
    <t>1r02224</t>
  </si>
  <si>
    <t>STE SO CO PA</t>
  </si>
  <si>
    <t>RIAHI TAREK B HMIDA B MED</t>
  </si>
  <si>
    <t>NOUREDDINE B MOHAMOUD KNIOUA</t>
  </si>
  <si>
    <t>3R18234</t>
  </si>
  <si>
    <t>STE CDTPR</t>
  </si>
  <si>
    <t>6R21173</t>
  </si>
  <si>
    <t>1r02193</t>
  </si>
  <si>
    <t>KHALED DRIDI</t>
  </si>
  <si>
    <t>1R01217</t>
  </si>
  <si>
    <t>BEJI CHEDLY</t>
  </si>
  <si>
    <t>STE MANEL AUTO-SOMA-</t>
  </si>
  <si>
    <t>MONDHER MEFTAH</t>
  </si>
  <si>
    <t>M P R- ESSID LASSAAD</t>
  </si>
  <si>
    <t>1r02097</t>
  </si>
  <si>
    <t>1r02185</t>
  </si>
  <si>
    <t>SOCIETE ULTRA SERVICE</t>
  </si>
  <si>
    <t>LES EQUIPEMENTS MARITIMES DE</t>
  </si>
  <si>
    <t>1r02238</t>
  </si>
  <si>
    <t>SMPA MASMOUDI PIECES AUTOS</t>
  </si>
  <si>
    <t>STE AUTO SERVICE PLUS</t>
  </si>
  <si>
    <t>AVEA MAGHREB</t>
  </si>
  <si>
    <t>BELGACEM BEN BOUBAKER MEJRI</t>
  </si>
  <si>
    <t>JALELEDDINE B SALEM ZERELLI</t>
  </si>
  <si>
    <t>MONGI BEN BRAHIM</t>
  </si>
  <si>
    <t>NEJI EL JAZI</t>
  </si>
  <si>
    <t>1r05173</t>
  </si>
  <si>
    <t>AYMEN BEN HAMMADI BENAMOR</t>
  </si>
  <si>
    <t>STE AFRICA DES PIECES AUTOS</t>
  </si>
  <si>
    <t>SOUHEIL TEKAYA</t>
  </si>
  <si>
    <t>SOUFIANE MANNAI</t>
  </si>
  <si>
    <t>1r09019</t>
  </si>
  <si>
    <t>ALI BEN BRAHIM HAMMAMI</t>
  </si>
  <si>
    <t>BOURAOUI LAMTI</t>
  </si>
  <si>
    <t>3R18317</t>
  </si>
  <si>
    <t>KALLEL HATEM</t>
  </si>
  <si>
    <t>3R18373</t>
  </si>
  <si>
    <t>MAKNI HANEN</t>
  </si>
  <si>
    <t>3R18389</t>
  </si>
  <si>
    <t>STE RANEN.PIECES DE RECHANGE</t>
  </si>
  <si>
    <t>7R16027</t>
  </si>
  <si>
    <t>STE GENERALE AGRICOLE</t>
  </si>
  <si>
    <t>7R17047</t>
  </si>
  <si>
    <t>ARBI BEN ALIU GHARBI</t>
  </si>
  <si>
    <t>MEJDI NAJET BENT IBRAHIM</t>
  </si>
  <si>
    <t>7R22039</t>
  </si>
  <si>
    <t>STE AL BARAKA EQUIP.GENERALE</t>
  </si>
  <si>
    <t>4R12177</t>
  </si>
  <si>
    <t>DOUIK PIECES AUTOS</t>
  </si>
  <si>
    <t>4R12181</t>
  </si>
  <si>
    <t>NEJIB GADHOUM</t>
  </si>
  <si>
    <t>4R12257</t>
  </si>
  <si>
    <t>STE MY CAR DISTRIBUTION</t>
  </si>
  <si>
    <t>4R13041</t>
  </si>
  <si>
    <t>SOCIETE ZARRAD ET CIE</t>
  </si>
  <si>
    <t>4R14007</t>
  </si>
  <si>
    <t>PIECES AUTOS BEN ALAYA MED</t>
  </si>
  <si>
    <t>4R14062</t>
  </si>
  <si>
    <t>PIECES AUTOS MED AZZOUZ</t>
  </si>
  <si>
    <t>4R15052</t>
  </si>
  <si>
    <t>STE ALFATIMYA CARS</t>
  </si>
  <si>
    <t>6R23151</t>
  </si>
  <si>
    <t>STE M W AUTO'S</t>
  </si>
  <si>
    <t>CHENAINA HOUCINE B AHMED</t>
  </si>
  <si>
    <t>8R08026</t>
  </si>
  <si>
    <t>RIDHA BEN ALI MENSI</t>
  </si>
  <si>
    <t>8R08045</t>
  </si>
  <si>
    <t>STE AOULED KHDHIRI SARL</t>
  </si>
  <si>
    <t>8R09020</t>
  </si>
  <si>
    <t>MAKREM ZAMMALI</t>
  </si>
  <si>
    <t>8R10052</t>
  </si>
  <si>
    <t>STE MAIS</t>
  </si>
  <si>
    <t>STE GLE DE FOURNITURE</t>
  </si>
  <si>
    <t>1r01445</t>
  </si>
  <si>
    <t>COMPTOIR METOUIEN AUTOMOBILE</t>
  </si>
  <si>
    <t>MERIEM ABDELKADER</t>
  </si>
  <si>
    <t>1r01492</t>
  </si>
  <si>
    <t>RAMEH JAMILA BEN SADOK</t>
  </si>
  <si>
    <t>STE OCTOBUS</t>
  </si>
  <si>
    <t>1r02141</t>
  </si>
  <si>
    <t>CHEDLY AOUINI</t>
  </si>
  <si>
    <t>SOCIETE BOUJNAH</t>
  </si>
  <si>
    <t>1r02247</t>
  </si>
  <si>
    <t>SO.CO.PI</t>
  </si>
  <si>
    <t>1R02281</t>
  </si>
  <si>
    <t>BESGHAIER WAJDI</t>
  </si>
  <si>
    <t>1r03100</t>
  </si>
  <si>
    <t>SOCIETE HNIA</t>
  </si>
  <si>
    <t>1r03149</t>
  </si>
  <si>
    <t>HASSINI AHMED BEN MOHAMED</t>
  </si>
  <si>
    <t>1r03170</t>
  </si>
  <si>
    <t>STE LEADER COMPTOIR AUTO</t>
  </si>
  <si>
    <t>ABDELKADER B YOUSSEF GHARBI</t>
  </si>
  <si>
    <t>1R05042</t>
  </si>
  <si>
    <t>STE. COMMERCIALE DES PIECES</t>
  </si>
  <si>
    <t>1r05181</t>
  </si>
  <si>
    <t>MAJED BEN MED HAMMAMI</t>
  </si>
  <si>
    <t>STE ELECTRIC AUTO NABEUL</t>
  </si>
  <si>
    <t>TAHER KABOUS ROYAL AUTO</t>
  </si>
  <si>
    <t>STE HADDAD PIECES.RECHANGES</t>
  </si>
  <si>
    <t>SOCIETE AUTOS PIECES</t>
  </si>
  <si>
    <t>CHHIMI HENDA</t>
  </si>
  <si>
    <t>3R18101</t>
  </si>
  <si>
    <t>ETAB. FARHAT BOUJELBAN</t>
  </si>
  <si>
    <t>3R18104</t>
  </si>
  <si>
    <t>ISMAIL TOUNSI</t>
  </si>
  <si>
    <t>3R18119</t>
  </si>
  <si>
    <t>ZOUARI FRERES</t>
  </si>
  <si>
    <t>3R18337</t>
  </si>
  <si>
    <t>SOCIETE ALI PIECES AUTOS</t>
  </si>
  <si>
    <t>STE IDEALE PIECES AUTOS SIPA</t>
  </si>
  <si>
    <t>3R18380</t>
  </si>
  <si>
    <t>STE SLIM VENTE PIECES AUTOS</t>
  </si>
  <si>
    <t>3R18396</t>
  </si>
  <si>
    <t>STE HAJ TAIEB PIECES.RECHANG</t>
  </si>
  <si>
    <t>7R16078</t>
  </si>
  <si>
    <t>4R12212</t>
  </si>
  <si>
    <t>COMPTOIR DOUICK DE PIECES</t>
  </si>
  <si>
    <t>6R21145</t>
  </si>
  <si>
    <t>SOCIETE EL HOUIOUI</t>
  </si>
  <si>
    <t>6R23143</t>
  </si>
  <si>
    <t>HAOUARI CHOKRI</t>
  </si>
  <si>
    <t>6R23146</t>
  </si>
  <si>
    <t>ZAMMOURIA FATMA EPS MANSOURI</t>
  </si>
  <si>
    <t>8R10040</t>
  </si>
  <si>
    <t>ROJDI BEN MOHAMED KRAOUII</t>
  </si>
  <si>
    <t>3R18381</t>
  </si>
  <si>
    <t>STE DREAM CAR</t>
  </si>
  <si>
    <t>4R15046</t>
  </si>
  <si>
    <t>STE AUTO PRO</t>
  </si>
  <si>
    <t>NAMOUCHI MARIEM</t>
  </si>
  <si>
    <t>1R06103</t>
  </si>
  <si>
    <t>SOCIETE PIECE AUTO ESSAID</t>
  </si>
  <si>
    <t>3R15038</t>
  </si>
  <si>
    <t>ANIS BEN KHALIPHA RHAIEM</t>
  </si>
  <si>
    <t>OUN ALLAH SALAHEDDINE</t>
  </si>
  <si>
    <t>STE PIECES.RECH.FRANCAISE</t>
  </si>
  <si>
    <t>AURADIS</t>
  </si>
  <si>
    <t>4R13115</t>
  </si>
  <si>
    <t>SOCIETE WORLD PARTS</t>
  </si>
  <si>
    <t>1R01567</t>
  </si>
  <si>
    <t>STE AVENIR AUTO</t>
  </si>
  <si>
    <t>1r02245</t>
  </si>
  <si>
    <t>STE SUD MOTORS SRVIVES AUTO</t>
  </si>
  <si>
    <t>1r03124</t>
  </si>
  <si>
    <t>STE MEDHIOUB PIECES AUTOS</t>
  </si>
  <si>
    <t>1r05195</t>
  </si>
  <si>
    <t>STE MDIALE PCE AUTOMOBILES</t>
  </si>
  <si>
    <t>1r02233</t>
  </si>
  <si>
    <t>STE ARIJ PIECES AUTOS</t>
  </si>
  <si>
    <t>LAHMAR KAIES</t>
  </si>
  <si>
    <t>3R18367</t>
  </si>
  <si>
    <t>YACOUBI BEN MOULDI EL ABED</t>
  </si>
  <si>
    <t>4R12252</t>
  </si>
  <si>
    <t>STE DITRI-FILTRE</t>
  </si>
  <si>
    <t>4R12262</t>
  </si>
  <si>
    <t>STE CIPA</t>
  </si>
  <si>
    <t>4R14039</t>
  </si>
  <si>
    <t>HAMIDA SHILI</t>
  </si>
  <si>
    <t>MOUHAMED GDEMME</t>
  </si>
  <si>
    <t>6R23098</t>
  </si>
  <si>
    <t>ABICHOU ABDELFATTAH</t>
  </si>
  <si>
    <t>6R23118</t>
  </si>
  <si>
    <t>MOURAD BEN GACEM NALOUTI</t>
  </si>
  <si>
    <t>8R09023</t>
  </si>
  <si>
    <t>SOUADI ABDELKADER</t>
  </si>
  <si>
    <t>8R10059</t>
  </si>
  <si>
    <t>STE MECHERGUI EZZEDINE P.AUT</t>
  </si>
  <si>
    <t>1r03074</t>
  </si>
  <si>
    <t>1R05171</t>
  </si>
  <si>
    <t>1r02174</t>
  </si>
  <si>
    <t>SOCIETE DRIDI AUTO (SDA)</t>
  </si>
  <si>
    <t>1r05166</t>
  </si>
  <si>
    <t>STE GHAMMAM ET CIE</t>
  </si>
  <si>
    <t>4R12231</t>
  </si>
  <si>
    <t>1R04146</t>
  </si>
  <si>
    <t>PROCAR TUNISIE</t>
  </si>
  <si>
    <t>1r02237</t>
  </si>
  <si>
    <t>1R04121</t>
  </si>
  <si>
    <t>COMPTOIR ABDENNADHER</t>
  </si>
  <si>
    <t>3R18264</t>
  </si>
  <si>
    <t>GUIDARA ABDALLAH</t>
  </si>
  <si>
    <t>3R18382</t>
  </si>
  <si>
    <t>STE KZ PIECES AUTOS</t>
  </si>
  <si>
    <t>3R18410</t>
  </si>
  <si>
    <t>SOCIETE C P R A</t>
  </si>
  <si>
    <t>4R14047</t>
  </si>
  <si>
    <t>EL BARAKA VENTE PIECES RECH.</t>
  </si>
  <si>
    <t>BOUCHADDAKH KHALED</t>
  </si>
  <si>
    <t>STE COMPT EQUIP AUTOS</t>
  </si>
  <si>
    <t>3R18406</t>
  </si>
  <si>
    <t>SOSAPIA</t>
  </si>
  <si>
    <t>3R18408</t>
  </si>
  <si>
    <t>BEN ALI HAFEDH</t>
  </si>
  <si>
    <t>SO.TU.PA</t>
  </si>
  <si>
    <t>1r05192</t>
  </si>
  <si>
    <t>1r01050</t>
  </si>
  <si>
    <t>GUIZANI FETHI</t>
  </si>
  <si>
    <t>1r02257</t>
  </si>
  <si>
    <t>STE.GUEDRI MOHSEN ET FRERES</t>
  </si>
  <si>
    <t>7R19061</t>
  </si>
  <si>
    <t>STE GENERALE AUTO DU SUD</t>
  </si>
  <si>
    <t>1r01161</t>
  </si>
  <si>
    <t>ALI YAHYAOUI</t>
  </si>
  <si>
    <t>STE UNIVSEL AUTOMOTIVES PART</t>
  </si>
  <si>
    <t>BEN SALEM MALIKA</t>
  </si>
  <si>
    <t>STE FARAH</t>
  </si>
  <si>
    <t>CHIBANI BEN SALEM TAYEB</t>
  </si>
  <si>
    <t>1R02224</t>
  </si>
  <si>
    <t>1r02225</t>
  </si>
  <si>
    <t>1R02232</t>
  </si>
  <si>
    <t>1r02264</t>
  </si>
  <si>
    <t>AOUINI SAFOUANE</t>
  </si>
  <si>
    <t>1R03131</t>
  </si>
  <si>
    <t>1R03163</t>
  </si>
  <si>
    <t>NAJAHI DES PIECES AUTOS"SNPA</t>
  </si>
  <si>
    <t>1r04098</t>
  </si>
  <si>
    <t>GARA NABIL BEN BECHIR</t>
  </si>
  <si>
    <t>1r04141</t>
  </si>
  <si>
    <t>STE FOURAT DE PIECES AUTO</t>
  </si>
  <si>
    <t>1R05034</t>
  </si>
  <si>
    <t>1r05042</t>
  </si>
  <si>
    <t>STE HAMI AUTO</t>
  </si>
  <si>
    <t>SOCIETE RECTIF</t>
  </si>
  <si>
    <t>STE BOUKHZAR SARL</t>
  </si>
  <si>
    <t>1R06136</t>
  </si>
  <si>
    <t>STE COMPTOIR NORD DE PIECES</t>
  </si>
  <si>
    <t>1r06141</t>
  </si>
  <si>
    <t>1r06146</t>
  </si>
  <si>
    <t>BT SERVICES SURAL</t>
  </si>
  <si>
    <t>1R07047</t>
  </si>
  <si>
    <t>3R18399</t>
  </si>
  <si>
    <t>SPARE PART DISTRIBUTION</t>
  </si>
  <si>
    <t>7R08001</t>
  </si>
  <si>
    <t>NABIL B AHMED B SALAH SMAII</t>
  </si>
  <si>
    <t>EZZEDDINE LETIFI</t>
  </si>
  <si>
    <t>7R17011</t>
  </si>
  <si>
    <t>MOHAMED NACEUR ABDELLI</t>
  </si>
  <si>
    <t>4R13028</t>
  </si>
  <si>
    <t>SOCIETE MANNAI BATIMENT</t>
  </si>
  <si>
    <t>4R13135</t>
  </si>
  <si>
    <t>ZIED ABDELMALEK</t>
  </si>
  <si>
    <t>6R24019</t>
  </si>
  <si>
    <t>8R10051</t>
  </si>
  <si>
    <t>AOUADI ABDELKARIM</t>
  </si>
  <si>
    <t>SALIM AUTOS</t>
  </si>
  <si>
    <t>1r04136</t>
  </si>
  <si>
    <t>MAHDI BEN ELHEDI</t>
  </si>
  <si>
    <t>1R05211</t>
  </si>
  <si>
    <t>STE TOUNSI PIECES AUTO</t>
  </si>
  <si>
    <t>7R19018</t>
  </si>
  <si>
    <t>1r01556</t>
  </si>
  <si>
    <t>6R21181</t>
  </si>
  <si>
    <t>BEDOUI MANEL BT ALI</t>
  </si>
  <si>
    <t>3R18412</t>
  </si>
  <si>
    <t>STE REKIK AUTOS</t>
  </si>
  <si>
    <t>6R21074</t>
  </si>
  <si>
    <t>1R01551</t>
  </si>
  <si>
    <t>1r02176</t>
  </si>
  <si>
    <t>MONCEF ZARRAGA</t>
  </si>
  <si>
    <t>1r03147</t>
  </si>
  <si>
    <t>STE AYARI AUTOS &amp; CIE</t>
  </si>
  <si>
    <t>1r06136</t>
  </si>
  <si>
    <t>1R01389</t>
  </si>
  <si>
    <t>1R01575</t>
  </si>
  <si>
    <t>1R02280</t>
  </si>
  <si>
    <t>MOHSEN ZARAGA</t>
  </si>
  <si>
    <t>1R05166</t>
  </si>
  <si>
    <t>1R05173</t>
  </si>
  <si>
    <t>8R10047</t>
  </si>
  <si>
    <t>DABBOUSSI MUSTAPHA</t>
  </si>
  <si>
    <t>1r06160</t>
  </si>
  <si>
    <t>6R23153</t>
  </si>
  <si>
    <t>1R01550</t>
  </si>
  <si>
    <t>1r03160</t>
  </si>
  <si>
    <t>SOCIETE AYARI AUTOS</t>
  </si>
  <si>
    <t>1R05195</t>
  </si>
  <si>
    <t>1R01518</t>
  </si>
  <si>
    <t>1r01572</t>
  </si>
  <si>
    <t>STE GENERAL PIECES [ANTIT]</t>
  </si>
  <si>
    <t>1R02245</t>
  </si>
  <si>
    <t>1R02185</t>
  </si>
  <si>
    <t>1R01445</t>
  </si>
  <si>
    <t>6r21178</t>
  </si>
  <si>
    <t>Echéance</t>
  </si>
  <si>
    <t>4R14029</t>
  </si>
  <si>
    <t>JAADI MONCEF</t>
  </si>
  <si>
    <t>3R18068</t>
  </si>
  <si>
    <t>MOHAMED GHARIANI</t>
  </si>
  <si>
    <t>1R04037</t>
  </si>
  <si>
    <t>SOCIETE ZAGHLA FRERES</t>
  </si>
  <si>
    <t>1R02226</t>
  </si>
  <si>
    <t>STE CHENIB DE PIECES AUTOS</t>
  </si>
  <si>
    <t>4R12211</t>
  </si>
  <si>
    <t>STE ZORGATI VEHICULE</t>
  </si>
  <si>
    <t>1R03141</t>
  </si>
  <si>
    <t>BEN ALI HAMDI</t>
  </si>
  <si>
    <t>DIVERS ET IMPREVUE</t>
  </si>
  <si>
    <t>DEMETAL</t>
  </si>
  <si>
    <t>HB FULLER</t>
  </si>
  <si>
    <t>POWER CON</t>
  </si>
  <si>
    <t>7R22003</t>
  </si>
  <si>
    <t>BELGACEM BEN SMIDA</t>
  </si>
  <si>
    <t>6R23159</t>
  </si>
  <si>
    <t>HADDAD MAKHLOUF</t>
  </si>
  <si>
    <t>1r01495</t>
  </si>
  <si>
    <t>7R20003</t>
  </si>
  <si>
    <t>1R05159</t>
  </si>
  <si>
    <t>TRABELSI JAMEL</t>
  </si>
  <si>
    <t>0004722</t>
  </si>
  <si>
    <t>6R21162</t>
  </si>
  <si>
    <t>1r02250</t>
  </si>
  <si>
    <t>STE GAMA AUTO</t>
  </si>
  <si>
    <t>1R05209</t>
  </si>
  <si>
    <t>7R19070</t>
  </si>
  <si>
    <t>1R05217</t>
  </si>
  <si>
    <t>1r05200</t>
  </si>
  <si>
    <t>1r01561</t>
  </si>
  <si>
    <t>0000109</t>
  </si>
  <si>
    <t>0000557</t>
  </si>
  <si>
    <t>1r04146</t>
  </si>
  <si>
    <t>1R05203</t>
  </si>
  <si>
    <t>1R04105</t>
  </si>
  <si>
    <t>4R13126</t>
  </si>
  <si>
    <t>JAMMALI SAHBI</t>
  </si>
  <si>
    <t>1r01567</t>
  </si>
  <si>
    <t>4r12262</t>
  </si>
  <si>
    <t>FN180035</t>
  </si>
  <si>
    <t>Banque</t>
  </si>
  <si>
    <t>Antidatée</t>
  </si>
  <si>
    <t>Amount</t>
  </si>
  <si>
    <t>RACHED BEN BRAHIM MAMMACHA</t>
  </si>
  <si>
    <t>STE CHERIF ELECTRICITE AUTO</t>
  </si>
  <si>
    <t>1r05191</t>
  </si>
  <si>
    <t>STE LA RECHANGE AUTOMOBILE</t>
  </si>
  <si>
    <t>1r07013</t>
  </si>
  <si>
    <t>4R12234</t>
  </si>
  <si>
    <t>FAYCEL BEN MOHAMMED ZARROUK</t>
  </si>
  <si>
    <t>1r03118</t>
  </si>
  <si>
    <t>EL HORRY FARES PAWER AUTO</t>
  </si>
  <si>
    <t>1r06125</t>
  </si>
  <si>
    <t>NAJET BENT SALAH ZAMELI</t>
  </si>
  <si>
    <t>1r04147</t>
  </si>
  <si>
    <t>8R10038</t>
  </si>
  <si>
    <t>STE MECHERGUI D'EQUIP. AUTOS</t>
  </si>
  <si>
    <t>6r21169</t>
  </si>
  <si>
    <t>8R09006</t>
  </si>
  <si>
    <t>GHARBI JALEL BEN BRAHIM</t>
  </si>
  <si>
    <t>1R06141</t>
  </si>
  <si>
    <t>1r03176</t>
  </si>
  <si>
    <t>ESSAFI AUTO</t>
  </si>
  <si>
    <t>1R02231</t>
  </si>
  <si>
    <t>1R03160</t>
  </si>
  <si>
    <t>1r02280</t>
  </si>
  <si>
    <t>0004749</t>
  </si>
  <si>
    <t>0004750</t>
  </si>
  <si>
    <t>0004751</t>
  </si>
  <si>
    <t>3r18061</t>
  </si>
  <si>
    <t>0004753</t>
  </si>
  <si>
    <t>0004757</t>
  </si>
  <si>
    <t>TYPE</t>
  </si>
  <si>
    <t>DESIGN</t>
  </si>
  <si>
    <t>OP N°</t>
  </si>
  <si>
    <t>DATE-OP</t>
  </si>
  <si>
    <t>DATE-RECU</t>
  </si>
  <si>
    <t>MT OUV</t>
  </si>
  <si>
    <t>REG</t>
  </si>
  <si>
    <t>MT</t>
  </si>
  <si>
    <t>N° CHQ</t>
  </si>
  <si>
    <t>STATUT</t>
  </si>
  <si>
    <t>CH</t>
  </si>
  <si>
    <t>TUNIMATEC</t>
  </si>
  <si>
    <t>00012269</t>
  </si>
  <si>
    <t>0002246</t>
  </si>
  <si>
    <t>SOGAM</t>
  </si>
  <si>
    <t>00010711</t>
  </si>
  <si>
    <t>0000917</t>
  </si>
  <si>
    <t>SOTUVENT</t>
  </si>
  <si>
    <t>00011145</t>
  </si>
  <si>
    <t>0001292</t>
  </si>
  <si>
    <t>STE TOP ETANCHEITE</t>
  </si>
  <si>
    <t>00011884</t>
  </si>
  <si>
    <t>0001917</t>
  </si>
  <si>
    <t>ROYALTYRE</t>
  </si>
  <si>
    <t>00012048</t>
  </si>
  <si>
    <t>0002057</t>
  </si>
  <si>
    <t>RFT</t>
  </si>
  <si>
    <t>00012067</t>
  </si>
  <si>
    <t>0002076</t>
  </si>
  <si>
    <t>H2M</t>
  </si>
  <si>
    <t>LAD OCEANA LUBRICANTS</t>
  </si>
  <si>
    <t>FIXNGO</t>
  </si>
  <si>
    <t>00012210</t>
  </si>
  <si>
    <t>0002202</t>
  </si>
  <si>
    <t>2RE</t>
  </si>
  <si>
    <t>00012320</t>
  </si>
  <si>
    <t>0002292</t>
  </si>
  <si>
    <t>TR</t>
  </si>
  <si>
    <t>EQUIPEMENT MODERNE HARDWARE</t>
  </si>
  <si>
    <t>BSA</t>
  </si>
  <si>
    <t>FBI</t>
  </si>
  <si>
    <t>STIRELEC COMMERCE</t>
  </si>
  <si>
    <t>ETAP</t>
  </si>
  <si>
    <t>00012444</t>
  </si>
  <si>
    <t>0002391</t>
  </si>
  <si>
    <t>SFAXIEN INDUSTRI.AUTOMOBILE</t>
  </si>
  <si>
    <t>00012240</t>
  </si>
  <si>
    <t>TR01344</t>
  </si>
  <si>
    <t>CHIMEX</t>
  </si>
  <si>
    <t>Ok polysterene</t>
  </si>
  <si>
    <t>00012167</t>
  </si>
  <si>
    <t>TR01330</t>
  </si>
  <si>
    <t>EQUIPEMENT MODERNE</t>
  </si>
  <si>
    <t>TUNISIE VEHICULES INDUSTRIEL</t>
  </si>
  <si>
    <t>SOCIETE REVOLON</t>
  </si>
  <si>
    <t>NORD INDUSTRIE</t>
  </si>
  <si>
    <t>GENERAL INCENDIE</t>
  </si>
  <si>
    <t>Ulysse Spare Parts</t>
  </si>
  <si>
    <t>Boudrant</t>
  </si>
  <si>
    <t>LA DOUANE</t>
  </si>
  <si>
    <t>OB</t>
  </si>
  <si>
    <t>00011834</t>
  </si>
  <si>
    <t>OB00088</t>
  </si>
  <si>
    <t>SALAIRE</t>
  </si>
  <si>
    <t>00012403</t>
  </si>
  <si>
    <t>0002362</t>
  </si>
  <si>
    <t>00012409</t>
  </si>
  <si>
    <t>0002364</t>
  </si>
  <si>
    <t>AIR LIQUIDE TUNISIE</t>
  </si>
  <si>
    <t>STARPACK</t>
  </si>
  <si>
    <t>GENERALE CHIMIE</t>
  </si>
  <si>
    <t>LYS IMPRESSION</t>
  </si>
  <si>
    <t>EL WIFEK</t>
  </si>
  <si>
    <t>ISST</t>
  </si>
  <si>
    <t>00012526</t>
  </si>
  <si>
    <t>0003890</t>
  </si>
  <si>
    <t>00012668</t>
  </si>
  <si>
    <t>0004009</t>
  </si>
  <si>
    <t>STE BEN MASSOUD FRERES</t>
  </si>
  <si>
    <t>00012824</t>
  </si>
  <si>
    <t>0004141</t>
  </si>
  <si>
    <t>MAISON DE LA BALANCE</t>
  </si>
  <si>
    <t>00012911</t>
  </si>
  <si>
    <t>0004223</t>
  </si>
  <si>
    <t>PNA</t>
  </si>
  <si>
    <t>00013212</t>
  </si>
  <si>
    <t>0004490</t>
  </si>
  <si>
    <t>00013315</t>
  </si>
  <si>
    <t>0004562</t>
  </si>
  <si>
    <t>00013381</t>
  </si>
  <si>
    <t>0004620</t>
  </si>
  <si>
    <t>SOCIETE BEN ALIA FRERES</t>
  </si>
  <si>
    <t>00013414</t>
  </si>
  <si>
    <t>0004651</t>
  </si>
  <si>
    <t>00013432</t>
  </si>
  <si>
    <t>0004665</t>
  </si>
  <si>
    <t>00013445</t>
  </si>
  <si>
    <t>0004676</t>
  </si>
  <si>
    <t>00013446</t>
  </si>
  <si>
    <t>0004677</t>
  </si>
  <si>
    <t>HELA SEMMERI</t>
  </si>
  <si>
    <t>00005927</t>
  </si>
  <si>
    <t>MEGRINE</t>
  </si>
  <si>
    <t>0000507</t>
  </si>
  <si>
    <t>00006195</t>
  </si>
  <si>
    <t>0000644</t>
  </si>
  <si>
    <t>ZRIBI MAKRAM</t>
  </si>
  <si>
    <t>00006362</t>
  </si>
  <si>
    <t>0000724</t>
  </si>
  <si>
    <t>00006375</t>
  </si>
  <si>
    <t>0000730</t>
  </si>
  <si>
    <t>00006464</t>
  </si>
  <si>
    <t>0000779</t>
  </si>
  <si>
    <t>STE NOUVELLE DES ACC NOUR</t>
  </si>
  <si>
    <t>00000288</t>
  </si>
  <si>
    <t>0000267</t>
  </si>
  <si>
    <t>FINANCE</t>
  </si>
  <si>
    <t>PROSID</t>
  </si>
  <si>
    <t>00000317</t>
  </si>
  <si>
    <t>TR00047</t>
  </si>
  <si>
    <t>NBI</t>
  </si>
  <si>
    <t>UTCI</t>
  </si>
  <si>
    <t>I ZONE</t>
  </si>
  <si>
    <t>ITN</t>
  </si>
  <si>
    <t>Frs</t>
  </si>
  <si>
    <t>Clts</t>
  </si>
  <si>
    <t>C/C</t>
  </si>
  <si>
    <t>FH</t>
  </si>
  <si>
    <t>FG</t>
  </si>
  <si>
    <t>ACCUMA 25</t>
  </si>
  <si>
    <t>TOTAL 12/2018</t>
  </si>
  <si>
    <t>TOTAL 01/2019</t>
  </si>
  <si>
    <t>TOTAL GENERAL</t>
  </si>
  <si>
    <t>TOTAL 90 JOURS</t>
  </si>
  <si>
    <t>TOTAL &gt; 90 JOURS</t>
  </si>
  <si>
    <t>Cheque PF</t>
  </si>
  <si>
    <t>Cheque V</t>
  </si>
  <si>
    <t>00012544</t>
  </si>
  <si>
    <t>00012536</t>
  </si>
  <si>
    <t>00012532</t>
  </si>
  <si>
    <t>00012516</t>
  </si>
  <si>
    <t>00012514</t>
  </si>
  <si>
    <t>0002475</t>
  </si>
  <si>
    <t>TR01400</t>
  </si>
  <si>
    <t>TR01398</t>
  </si>
  <si>
    <t>TR01391</t>
  </si>
  <si>
    <t>0002455</t>
  </si>
  <si>
    <t>TUNISIE COAL</t>
  </si>
  <si>
    <t>COGEFO</t>
  </si>
  <si>
    <t>LOUKIL VEHICULES INDUSTRIELS</t>
  </si>
  <si>
    <t>EBR METROLOGIE</t>
  </si>
  <si>
    <t>1r03173</t>
  </si>
  <si>
    <t>STE TAHRI STATION SERVICES</t>
  </si>
  <si>
    <t>1R01548</t>
  </si>
  <si>
    <t>1r01389</t>
  </si>
  <si>
    <t>1R01161</t>
  </si>
  <si>
    <t>STE BEN BRAHIM  " SBB "</t>
  </si>
  <si>
    <t>8R11093</t>
  </si>
  <si>
    <t>1r05199</t>
  </si>
  <si>
    <t>1r01456</t>
  </si>
  <si>
    <t>STE MBS SERVICES</t>
  </si>
  <si>
    <t>1r03164</t>
  </si>
  <si>
    <t>HADHRI MOUHED BEN HAMOUDA</t>
  </si>
  <si>
    <t>00012564</t>
  </si>
  <si>
    <t>00012561</t>
  </si>
  <si>
    <t>0002491</t>
  </si>
  <si>
    <t>TR01403</t>
  </si>
  <si>
    <t>00000105</t>
  </si>
  <si>
    <t>ASSURANCE MAGHREBIA</t>
  </si>
  <si>
    <t>00000334</t>
  </si>
  <si>
    <t>0000295</t>
  </si>
  <si>
    <t>00012236</t>
  </si>
  <si>
    <t>0002218</t>
  </si>
  <si>
    <t>MOHSEN BEN ALI BEN CHOUIKHA</t>
  </si>
  <si>
    <t>1R05206</t>
  </si>
  <si>
    <t>1S02073</t>
  </si>
  <si>
    <t>1r05209</t>
  </si>
  <si>
    <t>1R02238</t>
  </si>
  <si>
    <t>1r05196</t>
  </si>
  <si>
    <t>1r05175</t>
  </si>
  <si>
    <t>STE SIPRAMA</t>
  </si>
  <si>
    <t>1R04140</t>
  </si>
  <si>
    <t>MOHAMED JESSER ESSID Z. AUTO</t>
  </si>
  <si>
    <t>STE JEBALI AGRICOLE</t>
  </si>
  <si>
    <t>1R09022</t>
  </si>
  <si>
    <t>KHELIFA BEN TAIEB</t>
  </si>
  <si>
    <t>STE MEKINA</t>
  </si>
  <si>
    <t>3R18378</t>
  </si>
  <si>
    <t>NEGGAZ MONGI</t>
  </si>
  <si>
    <t>4R13090</t>
  </si>
  <si>
    <t>1R01480</t>
  </si>
  <si>
    <t>4R12214</t>
  </si>
  <si>
    <t>4R13134</t>
  </si>
  <si>
    <t>KHALIFI NAIIM</t>
  </si>
  <si>
    <t>4R14074</t>
  </si>
  <si>
    <t>STE HAMIDOU D COMMERCE</t>
  </si>
  <si>
    <t>3R15044</t>
  </si>
  <si>
    <t>STE SOMETRAP</t>
  </si>
  <si>
    <t>3S18067</t>
  </si>
  <si>
    <t>SOZEM</t>
  </si>
  <si>
    <t>3R18354</t>
  </si>
  <si>
    <t>3R18069</t>
  </si>
  <si>
    <t>HAJRI FAYCEL</t>
  </si>
  <si>
    <t>1r06159</t>
  </si>
  <si>
    <t>1r05186</t>
  </si>
  <si>
    <t>1r01550</t>
  </si>
  <si>
    <t>1r01473</t>
  </si>
  <si>
    <t>1r02232</t>
  </si>
  <si>
    <t>8R10056</t>
  </si>
  <si>
    <t>6r23153</t>
  </si>
  <si>
    <t>FN180040</t>
  </si>
  <si>
    <t>ORIGINAL COTE IVOIRE</t>
  </si>
  <si>
    <t>00012605</t>
  </si>
  <si>
    <t>00012587</t>
  </si>
  <si>
    <t>00012586</t>
  </si>
  <si>
    <t>00012583</t>
  </si>
  <si>
    <t>00012581</t>
  </si>
  <si>
    <t>00012579</t>
  </si>
  <si>
    <t>00012575</t>
  </si>
  <si>
    <t>TR01415</t>
  </si>
  <si>
    <t>0002510</t>
  </si>
  <si>
    <t>0002509</t>
  </si>
  <si>
    <t>TR01409</t>
  </si>
  <si>
    <t>0002505</t>
  </si>
  <si>
    <t>TR01407</t>
  </si>
  <si>
    <t>0002503</t>
  </si>
  <si>
    <t>JEC ROLLERS</t>
  </si>
  <si>
    <t>00006541</t>
  </si>
  <si>
    <t>00006540</t>
  </si>
  <si>
    <t>00006537</t>
  </si>
  <si>
    <t>00006536</t>
  </si>
  <si>
    <t>TR00406</t>
  </si>
  <si>
    <t>TR00405</t>
  </si>
  <si>
    <t>TR00402</t>
  </si>
  <si>
    <t>TR00401</t>
  </si>
  <si>
    <t>BOUDRANT</t>
  </si>
  <si>
    <t>CAISSE</t>
  </si>
  <si>
    <t>0000323</t>
  </si>
  <si>
    <t>1r02282</t>
  </si>
  <si>
    <t>8R06002</t>
  </si>
  <si>
    <t>0000852</t>
  </si>
  <si>
    <t>0004762</t>
  </si>
  <si>
    <t>1r02148</t>
  </si>
  <si>
    <t>1R02174</t>
  </si>
  <si>
    <t>0004760</t>
  </si>
  <si>
    <t>6R21182</t>
  </si>
  <si>
    <t>SELLAMI MED TAOUFIK- TOTAL</t>
  </si>
  <si>
    <t>1R02138</t>
  </si>
  <si>
    <t>00012634</t>
  </si>
  <si>
    <t>00012631</t>
  </si>
  <si>
    <t>00012630</t>
  </si>
  <si>
    <t>00012628</t>
  </si>
  <si>
    <t>TR01421</t>
  </si>
  <si>
    <t>TR01418</t>
  </si>
  <si>
    <t>TR01417</t>
  </si>
  <si>
    <t>TR01416</t>
  </si>
  <si>
    <t>DARAMIC</t>
  </si>
  <si>
    <t>ACCUMA 26</t>
  </si>
  <si>
    <t>ACCUMA 27</t>
  </si>
  <si>
    <t>ACCUMA 28</t>
  </si>
  <si>
    <t>COTE D'IVOIRE</t>
  </si>
  <si>
    <t>00000346</t>
  </si>
  <si>
    <t>0000303</t>
  </si>
  <si>
    <t>00012647</t>
  </si>
  <si>
    <t>00012642</t>
  </si>
  <si>
    <t>0002551</t>
  </si>
  <si>
    <t>0002546</t>
  </si>
  <si>
    <t>COMPTOIR AUTO.SVCES RAPIDES</t>
  </si>
  <si>
    <t>3r18401</t>
  </si>
  <si>
    <t>ABDELMAJID BEN HASSEN AMIRI</t>
  </si>
  <si>
    <t>STE S.P.A.M</t>
  </si>
  <si>
    <t>3R18394</t>
  </si>
  <si>
    <t>STE MEMMI-AUTO ET COMPAGNIES</t>
  </si>
  <si>
    <t>STE GOLF EQUIPEMENT MODERNE</t>
  </si>
  <si>
    <t>LIMEME FATHI BEN KHLIFA</t>
  </si>
  <si>
    <t>STE COMPTOIR PCES RCHGS+ELEC</t>
  </si>
  <si>
    <t>STE EZZAHRA HOTEL</t>
  </si>
  <si>
    <t>00012662</t>
  </si>
  <si>
    <t>00012658</t>
  </si>
  <si>
    <t>00012656</t>
  </si>
  <si>
    <t>00012655</t>
  </si>
  <si>
    <t>TR01428</t>
  </si>
  <si>
    <t>TR01425</t>
  </si>
  <si>
    <t>TR01424</t>
  </si>
  <si>
    <t>TR01423</t>
  </si>
  <si>
    <t>CENTRE TECHNIQUE DE LA CHIMIE</t>
  </si>
  <si>
    <t>FN180044</t>
  </si>
  <si>
    <t>FN180045</t>
  </si>
  <si>
    <t>00012702</t>
  </si>
  <si>
    <t>00012699</t>
  </si>
  <si>
    <t>00012697</t>
  </si>
  <si>
    <t>00012685</t>
  </si>
  <si>
    <t>00012683</t>
  </si>
  <si>
    <t>00012672</t>
  </si>
  <si>
    <t>TR01433</t>
  </si>
  <si>
    <t>TR01432</t>
  </si>
  <si>
    <t>0002590</t>
  </si>
  <si>
    <t>0002580</t>
  </si>
  <si>
    <t>0002579</t>
  </si>
  <si>
    <t>0002568</t>
  </si>
  <si>
    <t>STE MOHSEN GUEDRI</t>
  </si>
  <si>
    <t>AZZOUZ BOUKIL</t>
  </si>
  <si>
    <t>SOTUFLEX</t>
  </si>
  <si>
    <t>EEI</t>
  </si>
  <si>
    <t>00006613</t>
  </si>
  <si>
    <t>00006604</t>
  </si>
  <si>
    <t>TR00408</t>
  </si>
  <si>
    <t>0000839</t>
  </si>
  <si>
    <t>00000354</t>
  </si>
  <si>
    <t>00000353</t>
  </si>
  <si>
    <t>00000352</t>
  </si>
  <si>
    <t>00000351</t>
  </si>
  <si>
    <t>TR00054</t>
  </si>
  <si>
    <t>TR00053</t>
  </si>
  <si>
    <t>TR00052</t>
  </si>
  <si>
    <t>0000308</t>
  </si>
  <si>
    <t xml:space="preserve">00000114 </t>
  </si>
  <si>
    <t>TR00002</t>
  </si>
  <si>
    <t>7r17011</t>
  </si>
  <si>
    <t>1r01518</t>
  </si>
  <si>
    <t>STE RAMI.VNTE.PICES.RECHANGE</t>
  </si>
  <si>
    <t>1r05214</t>
  </si>
  <si>
    <t>HOUCINE B. ABDELHAMID BOUONI</t>
  </si>
  <si>
    <t>7R19069</t>
  </si>
  <si>
    <t>JILANI BEN AHMED CHNINA</t>
  </si>
  <si>
    <t>6R24016</t>
  </si>
  <si>
    <t>1r01010</t>
  </si>
  <si>
    <t>1r05159</t>
  </si>
  <si>
    <t>STE DISTR.PICES DE RECHANGE</t>
  </si>
  <si>
    <t>3r18407</t>
  </si>
  <si>
    <t>3R18047</t>
  </si>
  <si>
    <t>1r02263</t>
  </si>
  <si>
    <t>1r01470</t>
  </si>
  <si>
    <t>PERSONNEL  NOUR</t>
  </si>
  <si>
    <t>1P01000</t>
  </si>
  <si>
    <t>3r18408</t>
  </si>
  <si>
    <t>0000485</t>
  </si>
  <si>
    <t>3r18036</t>
  </si>
  <si>
    <t>1R02257</t>
  </si>
  <si>
    <t>1R07043</t>
  </si>
  <si>
    <t>1R01504</t>
  </si>
  <si>
    <t>1r03157</t>
  </si>
  <si>
    <t>ESSKANDER SLIMAN</t>
  </si>
  <si>
    <t>1r05188</t>
  </si>
  <si>
    <t>FAKHREDDINE SAKYES</t>
  </si>
  <si>
    <t>1r01580</t>
  </si>
  <si>
    <t>1r06038</t>
  </si>
  <si>
    <t>1R04144</t>
  </si>
  <si>
    <t>1r12001</t>
  </si>
  <si>
    <t>1r01217</t>
  </si>
  <si>
    <t>STE GHAMMOUR ENAKHIL</t>
  </si>
  <si>
    <t>8R11061</t>
  </si>
  <si>
    <t>8r09006</t>
  </si>
  <si>
    <t>8R09079</t>
  </si>
  <si>
    <t>BELHOULA ABDELKARIM</t>
  </si>
  <si>
    <t>7r19050</t>
  </si>
  <si>
    <t>6r21145</t>
  </si>
  <si>
    <t>RHIM CHEDLY</t>
  </si>
  <si>
    <t>1R05055</t>
  </si>
  <si>
    <t>TOTAL 03/2019</t>
  </si>
  <si>
    <t>TOTAL 02/2019</t>
  </si>
  <si>
    <t>GARSI HADJ AMOR</t>
  </si>
  <si>
    <t>00012733</t>
  </si>
  <si>
    <t>00012729</t>
  </si>
  <si>
    <t>00012727</t>
  </si>
  <si>
    <t>00012726</t>
  </si>
  <si>
    <t>00012720</t>
  </si>
  <si>
    <t>00012719</t>
  </si>
  <si>
    <t>TR01438</t>
  </si>
  <si>
    <t>TR01437</t>
  </si>
  <si>
    <t>TR01435</t>
  </si>
  <si>
    <t>TR01434</t>
  </si>
  <si>
    <t>0002611</t>
  </si>
  <si>
    <t>0002610</t>
  </si>
  <si>
    <t>00013496</t>
  </si>
  <si>
    <t>SIB Kchaou</t>
  </si>
  <si>
    <t>00006630</t>
  </si>
  <si>
    <t>OIL LIBYA</t>
  </si>
  <si>
    <t>00012758</t>
  </si>
  <si>
    <t>00012755</t>
  </si>
  <si>
    <t>00012750</t>
  </si>
  <si>
    <t>00012744</t>
  </si>
  <si>
    <t>00012737</t>
  </si>
  <si>
    <t>0002644</t>
  </si>
  <si>
    <t>0002641</t>
  </si>
  <si>
    <t>TR01439</t>
  </si>
  <si>
    <t>0002631</t>
  </si>
  <si>
    <t>0002623</t>
  </si>
  <si>
    <t>TEI - TUNISIE ELECTRICITE</t>
  </si>
  <si>
    <t>3IA</t>
  </si>
  <si>
    <t>ETS NAJAR ABDESSALEM</t>
  </si>
  <si>
    <t>00013505</t>
  </si>
  <si>
    <t>TR01211</t>
  </si>
  <si>
    <t>00006645</t>
  </si>
  <si>
    <t>0000857</t>
  </si>
  <si>
    <t>1R03169</t>
  </si>
  <si>
    <t>1R03124</t>
  </si>
  <si>
    <t>1r01575</t>
  </si>
  <si>
    <t>1R09019</t>
  </si>
  <si>
    <t>1R02237</t>
  </si>
  <si>
    <t>ETS. FAIZA GARG. &amp; BOUHAMED</t>
  </si>
  <si>
    <t>3R18141</t>
  </si>
  <si>
    <t>3r18234</t>
  </si>
  <si>
    <t>1R06161</t>
  </si>
  <si>
    <t>1R05194</t>
  </si>
  <si>
    <t>S M E A</t>
  </si>
  <si>
    <t>3R18160</t>
  </si>
  <si>
    <t>1R01146</t>
  </si>
  <si>
    <t>1R05184</t>
  </si>
  <si>
    <t>STE BEN ABDERRAZEK NASRI</t>
  </si>
  <si>
    <t>4R14069</t>
  </si>
  <si>
    <t>1R05040</t>
  </si>
  <si>
    <t>ALI JRIBI</t>
  </si>
  <si>
    <t>3R18201</t>
  </si>
  <si>
    <t>1r05210</t>
  </si>
  <si>
    <t>NABIHA REZGUI BEN HABIB</t>
  </si>
  <si>
    <t>1R02194</t>
  </si>
  <si>
    <t>4R14050</t>
  </si>
  <si>
    <t>1R02150</t>
  </si>
  <si>
    <t>GRAJA NIZAR "GENERAL AUTO"</t>
  </si>
  <si>
    <t>4R12263</t>
  </si>
  <si>
    <t>1R02277</t>
  </si>
  <si>
    <t>1r02270</t>
  </si>
  <si>
    <t>MESSAOUD PEINTRE&amp; PIECE AUTO</t>
  </si>
  <si>
    <t>4R15054</t>
  </si>
  <si>
    <t>KHROUF BAGHDADI B BOULBABA</t>
  </si>
  <si>
    <t>STE COMP. GENERAL EQUIPEMENT</t>
  </si>
  <si>
    <t>STATION DE SERVICE SHELL</t>
  </si>
  <si>
    <t>BATTERY ZONE</t>
  </si>
  <si>
    <t>8r09023</t>
  </si>
  <si>
    <t>1R07058</t>
  </si>
  <si>
    <t>1R04141</t>
  </si>
  <si>
    <t>1R03147</t>
  </si>
  <si>
    <t>1R01572</t>
  </si>
  <si>
    <t>YAHMADI AUTO PIECES</t>
  </si>
  <si>
    <t>1r04135</t>
  </si>
  <si>
    <t>1r07041</t>
  </si>
  <si>
    <t>1r04148</t>
  </si>
  <si>
    <t>1r02285</t>
  </si>
  <si>
    <t>1R05192</t>
  </si>
  <si>
    <t>1R02193</t>
  </si>
  <si>
    <t>1R04147</t>
  </si>
  <si>
    <t>1R01509</t>
  </si>
  <si>
    <t>1R01495</t>
  </si>
  <si>
    <t>1R01386</t>
  </si>
  <si>
    <t>Solde au 31/12/2018</t>
  </si>
  <si>
    <t>C C A</t>
  </si>
  <si>
    <t>CREDIT DE GESTION</t>
  </si>
  <si>
    <t>HT</t>
  </si>
  <si>
    <t>TVA</t>
  </si>
  <si>
    <t>TTC</t>
  </si>
  <si>
    <t>QTTE</t>
  </si>
  <si>
    <t>TVA A PAYER</t>
  </si>
  <si>
    <t>3R15037</t>
  </si>
  <si>
    <t>3R18407</t>
  </si>
  <si>
    <t>STE MARIEM AGRICOLE</t>
  </si>
  <si>
    <t>8R08040</t>
  </si>
  <si>
    <t>8R09081</t>
  </si>
  <si>
    <t>7R16055</t>
  </si>
  <si>
    <t>7r19061</t>
  </si>
  <si>
    <t>6R24006</t>
  </si>
  <si>
    <t>1R05218</t>
  </si>
  <si>
    <t>1r01460</t>
  </si>
  <si>
    <t>1R02282</t>
  </si>
  <si>
    <t>STE ELAMAL PIECS AUTOMOBILES</t>
  </si>
  <si>
    <t>1R05191</t>
  </si>
  <si>
    <t>1r02274</t>
  </si>
  <si>
    <t>1R02211</t>
  </si>
  <si>
    <t>ZIED LOUHICHI "LOUHICHI AUTO</t>
  </si>
  <si>
    <t>1r02265</t>
  </si>
  <si>
    <t>STE NEFZAWA EQUIPS GENERALE</t>
  </si>
  <si>
    <t>7R22044</t>
  </si>
  <si>
    <t>00006662</t>
  </si>
  <si>
    <t>0000864</t>
  </si>
  <si>
    <t>SODEXO</t>
  </si>
  <si>
    <t>00012795</t>
  </si>
  <si>
    <t>00012790</t>
  </si>
  <si>
    <t>00012789</t>
  </si>
  <si>
    <t>00012787</t>
  </si>
  <si>
    <t>00012785</t>
  </si>
  <si>
    <t>00012783</t>
  </si>
  <si>
    <t>00012782</t>
  </si>
  <si>
    <t>00012779</t>
  </si>
  <si>
    <t>00012771</t>
  </si>
  <si>
    <t>00012765</t>
  </si>
  <si>
    <t>00012764</t>
  </si>
  <si>
    <t>TR01446</t>
  </si>
  <si>
    <t>TR01445</t>
  </si>
  <si>
    <t>TR01444</t>
  </si>
  <si>
    <t>TR01443</t>
  </si>
  <si>
    <t>0002818</t>
  </si>
  <si>
    <t>TR01442</t>
  </si>
  <si>
    <t>0002816</t>
  </si>
  <si>
    <t>TR01441</t>
  </si>
  <si>
    <t>TR01440</t>
  </si>
  <si>
    <t>0002650</t>
  </si>
  <si>
    <t>0002649</t>
  </si>
  <si>
    <t>SUMP</t>
  </si>
  <si>
    <t>SOTRAM</t>
  </si>
  <si>
    <t>00013513</t>
  </si>
  <si>
    <t>TR01212</t>
  </si>
  <si>
    <t xml:space="preserve">CITROEN AURES </t>
  </si>
  <si>
    <t>00012796</t>
  </si>
  <si>
    <t>0002825</t>
  </si>
  <si>
    <t>00000370</t>
  </si>
  <si>
    <t>00000369</t>
  </si>
  <si>
    <t>00000367</t>
  </si>
  <si>
    <t>00000366</t>
  </si>
  <si>
    <t>00000365</t>
  </si>
  <si>
    <t>TR00058</t>
  </si>
  <si>
    <t>0000318</t>
  </si>
  <si>
    <t>TR00057</t>
  </si>
  <si>
    <t>TR00056</t>
  </si>
  <si>
    <t>TR00055</t>
  </si>
  <si>
    <t>FINANCES</t>
  </si>
  <si>
    <t>SALAIRE HADJI RIHAB</t>
  </si>
  <si>
    <t>SALAIRE BEN LTAIEF MOHAMED ALI</t>
  </si>
  <si>
    <t>FN180051</t>
  </si>
  <si>
    <t>ACCUMA 29</t>
  </si>
  <si>
    <t>00012817</t>
  </si>
  <si>
    <t>00012813</t>
  </si>
  <si>
    <t>00012810</t>
  </si>
  <si>
    <t>00012809</t>
  </si>
  <si>
    <t>00012807</t>
  </si>
  <si>
    <t>00012806</t>
  </si>
  <si>
    <t>00012803</t>
  </si>
  <si>
    <t>00012801</t>
  </si>
  <si>
    <t>00012800</t>
  </si>
  <si>
    <t>00012799</t>
  </si>
  <si>
    <t>TR01453</t>
  </si>
  <si>
    <t>0002836</t>
  </si>
  <si>
    <t>TR01452</t>
  </si>
  <si>
    <t>TR01451</t>
  </si>
  <si>
    <t>0002832</t>
  </si>
  <si>
    <t>TR01449</t>
  </si>
  <si>
    <t>TR01448</t>
  </si>
  <si>
    <t>0002828</t>
  </si>
  <si>
    <t>TR01447</t>
  </si>
  <si>
    <t>0002827</t>
  </si>
  <si>
    <t>LIN</t>
  </si>
  <si>
    <t>SOCIETE TUNISO UKRAINE  TUNO</t>
  </si>
  <si>
    <t>ARNOX ENGINEERING</t>
  </si>
  <si>
    <t>S. T. E. G.</t>
  </si>
  <si>
    <t>BATTERIE USAGE</t>
  </si>
  <si>
    <t>BOUDAYA AZOUZ</t>
  </si>
  <si>
    <t>0002846</t>
  </si>
  <si>
    <t>FN180046</t>
  </si>
  <si>
    <t>FN180052</t>
  </si>
  <si>
    <t>00006695</t>
  </si>
  <si>
    <t>00006691</t>
  </si>
  <si>
    <t>00006690</t>
  </si>
  <si>
    <t>00006689</t>
  </si>
  <si>
    <t>00006688</t>
  </si>
  <si>
    <t>0000878</t>
  </si>
  <si>
    <t>TR00412</t>
  </si>
  <si>
    <t>TR00411</t>
  </si>
  <si>
    <t>TR00410</t>
  </si>
  <si>
    <t>TR00409</t>
  </si>
  <si>
    <t>6r21118</t>
  </si>
  <si>
    <t>NAASRI AHMED B MED HEDI</t>
  </si>
  <si>
    <t>7R17055</t>
  </si>
  <si>
    <t>STE HAMMAMI DE MATER.AGRICOL</t>
  </si>
  <si>
    <t>AOUADI MOHAMED BEN CHAOUKI</t>
  </si>
  <si>
    <t>STE HAMZI COMMERCE GENERALE</t>
  </si>
  <si>
    <t>1r04121</t>
  </si>
  <si>
    <t>STE DISTRIBUTION PIECES AUTO</t>
  </si>
  <si>
    <t>1r01520</t>
  </si>
  <si>
    <t>1r01548</t>
  </si>
  <si>
    <t>SAMI BEN EZZEDINE B ABDALLAH</t>
  </si>
  <si>
    <t>1r05187</t>
  </si>
  <si>
    <t>BEN AHMED AUTO</t>
  </si>
  <si>
    <t>1r01578</t>
  </si>
  <si>
    <t>STE.CARRIERE B.M'BAREK &amp;CIE</t>
  </si>
  <si>
    <t>1S01117</t>
  </si>
  <si>
    <t>STE  BEN TALEB PIECES AUTOS</t>
  </si>
  <si>
    <t>EQUIPEMENT VOITURES    [EVE]</t>
  </si>
  <si>
    <t>1r05148</t>
  </si>
  <si>
    <t>STE ASIE AUTOMOBILE SERVICES</t>
  </si>
  <si>
    <t>1r05208</t>
  </si>
  <si>
    <t>STE M&amp;M EQUIPEMENTS DE PECHE</t>
  </si>
  <si>
    <t>BEN KHALED MOHSEN</t>
  </si>
  <si>
    <t>4R15027</t>
  </si>
  <si>
    <t>ASMA BENT MOKHTAR ESSID</t>
  </si>
  <si>
    <t>4R13138</t>
  </si>
  <si>
    <t>STE COGEP AUTO</t>
  </si>
  <si>
    <t>3R18039</t>
  </si>
  <si>
    <t>3R18132</t>
  </si>
  <si>
    <t>3R15039</t>
  </si>
  <si>
    <t>SALAH FNAIECH</t>
  </si>
  <si>
    <t>3R15025</t>
  </si>
  <si>
    <t>ZIED BEN ALI MABROUKI</t>
  </si>
  <si>
    <t>8R06003</t>
  </si>
  <si>
    <t>HOUCINE LOUSSAIEF</t>
  </si>
  <si>
    <t>8R08023</t>
  </si>
  <si>
    <t>6r23048</t>
  </si>
  <si>
    <t>6r21175</t>
  </si>
  <si>
    <t>6R23125</t>
  </si>
  <si>
    <t>1r03163</t>
  </si>
  <si>
    <t>1r03162</t>
  </si>
  <si>
    <t>1R01540</t>
  </si>
  <si>
    <t>1r07002</t>
  </si>
  <si>
    <t>1r04120</t>
  </si>
  <si>
    <t>1r05034</t>
  </si>
  <si>
    <t>COMPAGNIE TNNE DE REPRESENT.</t>
  </si>
  <si>
    <t>1R03030</t>
  </si>
  <si>
    <t>TOTAL 04/2019</t>
  </si>
  <si>
    <t>00013526</t>
  </si>
  <si>
    <t>00013525</t>
  </si>
  <si>
    <t>0004746</t>
  </si>
  <si>
    <t>0004745</t>
  </si>
  <si>
    <t xml:space="preserve">Maaire  Nabil dabboussi      </t>
  </si>
  <si>
    <t>00012843</t>
  </si>
  <si>
    <t>00012842</t>
  </si>
  <si>
    <t>00012840</t>
  </si>
  <si>
    <t>00012838</t>
  </si>
  <si>
    <t>TR01455</t>
  </si>
  <si>
    <t>0002863</t>
  </si>
  <si>
    <t>0002861</t>
  </si>
  <si>
    <t>TR01454</t>
  </si>
  <si>
    <t>SOGIM</t>
  </si>
  <si>
    <t>ETAIN</t>
  </si>
  <si>
    <t>SITUATION HAZEM 20/11/2018</t>
  </si>
  <si>
    <t>SITUATION SOTRAM 20/11/2018</t>
  </si>
  <si>
    <t>00012872</t>
  </si>
  <si>
    <t>00012870</t>
  </si>
  <si>
    <t>00012869</t>
  </si>
  <si>
    <t>00012867</t>
  </si>
  <si>
    <t>00012864</t>
  </si>
  <si>
    <t>00012863</t>
  </si>
  <si>
    <t>00012855</t>
  </si>
  <si>
    <t>00012854</t>
  </si>
  <si>
    <t>00012850</t>
  </si>
  <si>
    <t>00012849</t>
  </si>
  <si>
    <t>00012848</t>
  </si>
  <si>
    <t>TR01457</t>
  </si>
  <si>
    <t>TR01456</t>
  </si>
  <si>
    <t>0002891</t>
  </si>
  <si>
    <t>0002889</t>
  </si>
  <si>
    <t>0002886</t>
  </si>
  <si>
    <t>0002885</t>
  </si>
  <si>
    <t>0002876</t>
  </si>
  <si>
    <t>0002875</t>
  </si>
  <si>
    <t>0002871</t>
  </si>
  <si>
    <t>0002870</t>
  </si>
  <si>
    <t>0002869</t>
  </si>
  <si>
    <t>LAB EQUIPEMENT</t>
  </si>
  <si>
    <t>SNDP AGIL</t>
  </si>
  <si>
    <t>BEN MBAREK HEDI</t>
  </si>
  <si>
    <t>CRISTAL</t>
  </si>
  <si>
    <t>00013533</t>
  </si>
  <si>
    <t>00013531</t>
  </si>
  <si>
    <t>00013530</t>
  </si>
  <si>
    <t>00013529</t>
  </si>
  <si>
    <t>COCEA Distribution</t>
  </si>
  <si>
    <t>DALMAS</t>
  </si>
  <si>
    <t>00006704</t>
  </si>
  <si>
    <t>0000881</t>
  </si>
  <si>
    <t>00000378</t>
  </si>
  <si>
    <t>00000377</t>
  </si>
  <si>
    <t>00000376</t>
  </si>
  <si>
    <t>00000375</t>
  </si>
  <si>
    <t>TR00059</t>
  </si>
  <si>
    <t>0000325</t>
  </si>
  <si>
    <t>0000324</t>
  </si>
  <si>
    <t>SMGFI</t>
  </si>
  <si>
    <t>6r21182</t>
  </si>
  <si>
    <t>MOHAMED BEN SALAH BENHASSEN</t>
  </si>
  <si>
    <t>6R21144</t>
  </si>
  <si>
    <t>HICHEM BEN IBRAHIM RAHALI</t>
  </si>
  <si>
    <t>8R08042</t>
  </si>
  <si>
    <t>RAMZI B RAHMANI B HJ HAMMADI</t>
  </si>
  <si>
    <t>8R08041</t>
  </si>
  <si>
    <t>1R02247</t>
  </si>
  <si>
    <t>AUTO PARTS TRADING SERVICES</t>
  </si>
  <si>
    <t>1R02264</t>
  </si>
  <si>
    <t>1R02141</t>
  </si>
  <si>
    <t>1R02082</t>
  </si>
  <si>
    <t>INT.PIECES &amp; MATERIELS   IPM</t>
  </si>
  <si>
    <t>AMINE BEN FREDJ MAHMOUD</t>
  </si>
  <si>
    <t>IBRAHIM EL HEDI DIWANI</t>
  </si>
  <si>
    <t>4R14072</t>
  </si>
  <si>
    <t>NAILA BEN AHMED JEMAI</t>
  </si>
  <si>
    <t>1R06126</t>
  </si>
  <si>
    <t>1R02176</t>
  </si>
  <si>
    <t>STE BEN HAMOUDA AUTO</t>
  </si>
  <si>
    <t>1r06142</t>
  </si>
  <si>
    <t>1r06103</t>
  </si>
  <si>
    <t>1R05196</t>
  </si>
  <si>
    <t>1R05181</t>
  </si>
  <si>
    <t>1r01562</t>
  </si>
  <si>
    <t>1R01561</t>
  </si>
  <si>
    <t>KAIS</t>
  </si>
  <si>
    <t>CRASSE</t>
  </si>
  <si>
    <t>SITUATION KAIS 03/12/2018</t>
  </si>
  <si>
    <t>ACCUMA 30</t>
  </si>
  <si>
    <t>00012912</t>
  </si>
  <si>
    <t>00012910</t>
  </si>
  <si>
    <t>00012909</t>
  </si>
  <si>
    <t>00012908</t>
  </si>
  <si>
    <t>00012907</t>
  </si>
  <si>
    <t>00012906</t>
  </si>
  <si>
    <t>00012905</t>
  </si>
  <si>
    <t>00012904</t>
  </si>
  <si>
    <t>00012903</t>
  </si>
  <si>
    <t>00012902</t>
  </si>
  <si>
    <t>00012901</t>
  </si>
  <si>
    <t>00012900</t>
  </si>
  <si>
    <t>00012899</t>
  </si>
  <si>
    <t>00012898</t>
  </si>
  <si>
    <t>00012897</t>
  </si>
  <si>
    <t>00012896</t>
  </si>
  <si>
    <t>00012895</t>
  </si>
  <si>
    <t>00012894</t>
  </si>
  <si>
    <t>00012893</t>
  </si>
  <si>
    <t>00012892</t>
  </si>
  <si>
    <t>00012891</t>
  </si>
  <si>
    <t>00012890</t>
  </si>
  <si>
    <t>00012889</t>
  </si>
  <si>
    <t>00012887</t>
  </si>
  <si>
    <t>00012886</t>
  </si>
  <si>
    <t>00012881</t>
  </si>
  <si>
    <t>00012880</t>
  </si>
  <si>
    <t>00012875</t>
  </si>
  <si>
    <t>0002926</t>
  </si>
  <si>
    <t>0002925</t>
  </si>
  <si>
    <t>0002924</t>
  </si>
  <si>
    <t>0002923</t>
  </si>
  <si>
    <t>0002922</t>
  </si>
  <si>
    <t>0002921</t>
  </si>
  <si>
    <t>0002920</t>
  </si>
  <si>
    <t>TR01464</t>
  </si>
  <si>
    <t>TR01463</t>
  </si>
  <si>
    <t>TR01462</t>
  </si>
  <si>
    <t>TR01461</t>
  </si>
  <si>
    <t>0002919</t>
  </si>
  <si>
    <t>0002918</t>
  </si>
  <si>
    <t>TR01460</t>
  </si>
  <si>
    <t>0002917</t>
  </si>
  <si>
    <t>0002916</t>
  </si>
  <si>
    <t>0002915</t>
  </si>
  <si>
    <t>0002914</t>
  </si>
  <si>
    <t>0002913</t>
  </si>
  <si>
    <t>TR01459</t>
  </si>
  <si>
    <t>0002912</t>
  </si>
  <si>
    <t>0002911</t>
  </si>
  <si>
    <t>0002910</t>
  </si>
  <si>
    <t>0002909</t>
  </si>
  <si>
    <t>0002896</t>
  </si>
  <si>
    <t>0002895</t>
  </si>
  <si>
    <t>0002902</t>
  </si>
  <si>
    <t>0002901</t>
  </si>
  <si>
    <t>TR01458</t>
  </si>
  <si>
    <t>GERMANETTI</t>
  </si>
  <si>
    <t>IMPRIMERIE OFFICIELLE</t>
  </si>
  <si>
    <t>SOCIETE EL KOUKI</t>
  </si>
  <si>
    <t>ok polystyr鈩e</t>
  </si>
  <si>
    <t>IMPRONTA</t>
  </si>
  <si>
    <t>BIOPharm Industrie</t>
  </si>
  <si>
    <t>SAMIR MBAREK</t>
  </si>
  <si>
    <t>ATC Automatisme</t>
  </si>
  <si>
    <t>EN SIGNATURE</t>
  </si>
  <si>
    <t>CARPRO</t>
  </si>
  <si>
    <t>00013548</t>
  </si>
  <si>
    <t>00013547</t>
  </si>
  <si>
    <t>00013546</t>
  </si>
  <si>
    <t>00013545</t>
  </si>
  <si>
    <t>00013544</t>
  </si>
  <si>
    <t>00013543</t>
  </si>
  <si>
    <t>00013542</t>
  </si>
  <si>
    <t>00013541</t>
  </si>
  <si>
    <t>00013540</t>
  </si>
  <si>
    <t>0004766</t>
  </si>
  <si>
    <t>0004765</t>
  </si>
  <si>
    <t>0004764</t>
  </si>
  <si>
    <t>0004763</t>
  </si>
  <si>
    <t>0004756</t>
  </si>
  <si>
    <t>0004759</t>
  </si>
  <si>
    <t>IDEAL DECOR</t>
  </si>
  <si>
    <t>ooredoo</t>
  </si>
  <si>
    <t>TUNISIE TELECOM   ( FIXE )</t>
  </si>
  <si>
    <t>TOTAL TUNISIE</t>
  </si>
  <si>
    <t>00006719</t>
  </si>
  <si>
    <t>00006718</t>
  </si>
  <si>
    <t>00006717</t>
  </si>
  <si>
    <t>00006716</t>
  </si>
  <si>
    <t>00006715</t>
  </si>
  <si>
    <t>00006714</t>
  </si>
  <si>
    <t>0000890</t>
  </si>
  <si>
    <t>0000889</t>
  </si>
  <si>
    <t>0000888</t>
  </si>
  <si>
    <t>0000887</t>
  </si>
  <si>
    <t>rs conseil</t>
  </si>
  <si>
    <t>SOUSSE</t>
  </si>
  <si>
    <t>GAFSA</t>
  </si>
  <si>
    <t>00012921</t>
  </si>
  <si>
    <t>00012920</t>
  </si>
  <si>
    <t>00012919</t>
  </si>
  <si>
    <t>00012918</t>
  </si>
  <si>
    <t>00012917</t>
  </si>
  <si>
    <t>00012916</t>
  </si>
  <si>
    <t>00012915</t>
  </si>
  <si>
    <t>00012913</t>
  </si>
  <si>
    <t>0002906</t>
  </si>
  <si>
    <t>TR01470</t>
  </si>
  <si>
    <t>TR01469</t>
  </si>
  <si>
    <t>TR01468</t>
  </si>
  <si>
    <t>TR01467</t>
  </si>
  <si>
    <t>TR01466</t>
  </si>
  <si>
    <t>TR01465</t>
  </si>
  <si>
    <t>0002907</t>
  </si>
  <si>
    <t>STE VALDEQ</t>
  </si>
  <si>
    <t>KAIS TAYACHI</t>
  </si>
  <si>
    <t>00000382</t>
  </si>
  <si>
    <t>0000327</t>
  </si>
  <si>
    <t>SOLDE au 05/12/2018</t>
  </si>
  <si>
    <t>1r02235</t>
  </si>
  <si>
    <t>S P I R</t>
  </si>
  <si>
    <t>3R18411</t>
  </si>
  <si>
    <t>STE CHARGUI FILS &amp; COMPANIES</t>
  </si>
  <si>
    <t>4R13141</t>
  </si>
  <si>
    <t>1R02225</t>
  </si>
  <si>
    <t>STE CAR PLUS</t>
  </si>
  <si>
    <t>1r01554</t>
  </si>
  <si>
    <t>1r01386</t>
  </si>
  <si>
    <t>STE CENTRE NAOUALI SERVICES</t>
  </si>
  <si>
    <t>4R13137</t>
  </si>
  <si>
    <t>1r06161</t>
  </si>
  <si>
    <t>6R21169</t>
  </si>
  <si>
    <t>1r05194</t>
  </si>
  <si>
    <t>1r05184</t>
  </si>
  <si>
    <t>BRAHIM BEN MOHAMED MEDDEB</t>
  </si>
  <si>
    <t>1r05153</t>
  </si>
  <si>
    <t>ETABLISSEMENT HABIB BEN NASR</t>
  </si>
  <si>
    <t>1r01478</t>
  </si>
  <si>
    <t>1R02250</t>
  </si>
  <si>
    <t>STE ESPACE.ARTS.DECOR.FER</t>
  </si>
  <si>
    <t>1r02138</t>
  </si>
  <si>
    <t>NAIM BERRICH</t>
  </si>
  <si>
    <t>1r01517</t>
  </si>
  <si>
    <t>1R02265</t>
  </si>
  <si>
    <t>KAMMOUN MOHAMED</t>
  </si>
  <si>
    <t>3R18400</t>
  </si>
  <si>
    <t>STE YASSINE PETROLIUM</t>
  </si>
  <si>
    <t>4R15035</t>
  </si>
  <si>
    <t>EQUIP. AUTOS MOKNINE</t>
  </si>
  <si>
    <t>4R13048</t>
  </si>
  <si>
    <t>STE CHIBANI COMMERCE&amp;SERVICE</t>
  </si>
  <si>
    <t>STE EL MABROUK</t>
  </si>
  <si>
    <t>1r05198</t>
  </si>
  <si>
    <t>1r09022</t>
  </si>
  <si>
    <t>STE FREE RENT A CAR</t>
  </si>
  <si>
    <t>1r02278</t>
  </si>
  <si>
    <t>STE OUBAY DE PIECES</t>
  </si>
  <si>
    <t>1r02249</t>
  </si>
  <si>
    <t>STE YOSR DE PIECES AUTOS</t>
  </si>
  <si>
    <t>1r02241</t>
  </si>
  <si>
    <t>KAIES EL KHECHINE</t>
  </si>
  <si>
    <t>4R12210</t>
  </si>
  <si>
    <t>4R12125</t>
  </si>
  <si>
    <t>KHEMAIES BOUDECHE</t>
  </si>
  <si>
    <t>6R21055</t>
  </si>
  <si>
    <t>S.G.P</t>
  </si>
  <si>
    <t>1R02173</t>
  </si>
  <si>
    <t>NOUREDDINE CHENIB</t>
  </si>
  <si>
    <t>PREVU</t>
  </si>
  <si>
    <t>REALISATION</t>
  </si>
  <si>
    <t>PREVISION</t>
  </si>
</sst>
</file>

<file path=xl/styles.xml><?xml version="1.0" encoding="utf-8"?>
<styleSheet xmlns="http://schemas.openxmlformats.org/spreadsheetml/2006/main">
  <numFmts count="11">
    <numFmt numFmtId="43" formatCode="_-* #,##0.00\ _€_-;\-* #,##0.00\ _€_-;_-* &quot;-&quot;??\ _€_-;_-@_-"/>
    <numFmt numFmtId="164" formatCode="#,##0.000"/>
    <numFmt numFmtId="165" formatCode="#,##0.000\ _F"/>
    <numFmt numFmtId="166" formatCode="#,##0;[Red]#,##0"/>
    <numFmt numFmtId="167" formatCode="0.0000000"/>
    <numFmt numFmtId="168" formatCode="[$-40C]d\-mmm\-yy;@"/>
    <numFmt numFmtId="169" formatCode="[$-40C]mmm\-yy;@"/>
    <numFmt numFmtId="170" formatCode="_-* #,##0.0000000\ _€_-;\-* #,##0.0000000\ _€_-;_-* &quot;-&quot;??\ _€_-;_-@_-"/>
    <numFmt numFmtId="171" formatCode="0.000000000%"/>
    <numFmt numFmtId="172" formatCode="0.00000000"/>
    <numFmt numFmtId="173" formatCode="_-* #,##0.000\ _€_-;\-* #,##0.000\ _€_-;_-* &quot;-&quot;???\ _€_-;_-@_-"/>
  </numFmts>
  <fonts count="3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b/>
      <sz val="10"/>
      <name val="Times New Roman"/>
      <family val="1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0"/>
      <name val="Times New Roman"/>
      <family val="1"/>
    </font>
    <font>
      <sz val="11"/>
      <color rgb="FFFF0000"/>
      <name val="Times New Roman"/>
      <family val="1"/>
    </font>
    <font>
      <b/>
      <sz val="11"/>
      <name val="Times New Roman"/>
      <family val="1"/>
    </font>
    <font>
      <sz val="11"/>
      <color theme="0"/>
      <name val="Times New Roman"/>
      <family val="1"/>
    </font>
    <font>
      <b/>
      <sz val="11"/>
      <color theme="0"/>
      <name val="Times New Roman"/>
      <family val="1"/>
    </font>
    <font>
      <b/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sz val="11"/>
      <color rgb="FFFFFF00"/>
      <name val="Times New Roman"/>
      <family val="1"/>
    </font>
    <font>
      <b/>
      <i/>
      <sz val="10"/>
      <color theme="1"/>
      <name val="Times New Roman"/>
      <family val="1"/>
    </font>
    <font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2"/>
      <color rgb="FF953735"/>
      <name val="Arial"/>
      <family val="2"/>
    </font>
    <font>
      <b/>
      <sz val="10"/>
      <color rgb="FFFF0000"/>
      <name val="Arial"/>
      <family val="2"/>
    </font>
    <font>
      <b/>
      <sz val="12"/>
      <color rgb="FF0070C0"/>
      <name val="Arial"/>
      <family val="2"/>
    </font>
    <font>
      <b/>
      <sz val="12"/>
      <color rgb="FF00B050"/>
      <name val="Arial"/>
      <family val="2"/>
    </font>
    <font>
      <b/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D8D8D8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thin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/>
  </cellStyleXfs>
  <cellXfs count="876">
    <xf numFmtId="0" fontId="0" fillId="0" borderId="0" xfId="0"/>
    <xf numFmtId="0" fontId="2" fillId="0" borderId="0" xfId="0" applyFont="1"/>
    <xf numFmtId="4" fontId="2" fillId="0" borderId="0" xfId="0" applyNumberFormat="1" applyFont="1"/>
    <xf numFmtId="164" fontId="2" fillId="0" borderId="0" xfId="0" applyNumberFormat="1" applyFont="1"/>
    <xf numFmtId="0" fontId="3" fillId="0" borderId="0" xfId="0" applyFont="1"/>
    <xf numFmtId="0" fontId="5" fillId="0" borderId="0" xfId="0" applyFont="1"/>
    <xf numFmtId="0" fontId="6" fillId="0" borderId="0" xfId="0" applyFont="1"/>
    <xf numFmtId="43" fontId="2" fillId="0" borderId="0" xfId="1" applyFont="1"/>
    <xf numFmtId="0" fontId="6" fillId="0" borderId="9" xfId="0" applyFont="1" applyBorder="1"/>
    <xf numFmtId="0" fontId="6" fillId="0" borderId="13" xfId="0" applyFont="1" applyBorder="1"/>
    <xf numFmtId="0" fontId="6" fillId="0" borderId="14" xfId="0" applyFont="1" applyBorder="1"/>
    <xf numFmtId="14" fontId="6" fillId="0" borderId="15" xfId="0" applyNumberFormat="1" applyFont="1" applyBorder="1"/>
    <xf numFmtId="0" fontId="6" fillId="0" borderId="15" xfId="0" applyFont="1" applyBorder="1"/>
    <xf numFmtId="4" fontId="6" fillId="0" borderId="15" xfId="0" applyNumberFormat="1" applyFont="1" applyBorder="1"/>
    <xf numFmtId="164" fontId="6" fillId="0" borderId="15" xfId="0" applyNumberFormat="1" applyFont="1" applyBorder="1"/>
    <xf numFmtId="14" fontId="6" fillId="0" borderId="16" xfId="0" applyNumberFormat="1" applyFont="1" applyBorder="1"/>
    <xf numFmtId="164" fontId="6" fillId="0" borderId="14" xfId="0" applyNumberFormat="1" applyFont="1" applyBorder="1"/>
    <xf numFmtId="4" fontId="6" fillId="0" borderId="14" xfId="0" applyNumberFormat="1" applyFont="1" applyBorder="1"/>
    <xf numFmtId="0" fontId="6" fillId="0" borderId="16" xfId="0" applyFont="1" applyBorder="1"/>
    <xf numFmtId="4" fontId="6" fillId="0" borderId="13" xfId="0" applyNumberFormat="1" applyFont="1" applyBorder="1"/>
    <xf numFmtId="0" fontId="6" fillId="0" borderId="21" xfId="0" applyFont="1" applyBorder="1"/>
    <xf numFmtId="14" fontId="6" fillId="0" borderId="21" xfId="0" applyNumberFormat="1" applyFont="1" applyBorder="1"/>
    <xf numFmtId="4" fontId="6" fillId="0" borderId="21" xfId="0" applyNumberFormat="1" applyFont="1" applyBorder="1"/>
    <xf numFmtId="164" fontId="6" fillId="0" borderId="21" xfId="0" applyNumberFormat="1" applyFont="1" applyBorder="1"/>
    <xf numFmtId="4" fontId="2" fillId="0" borderId="21" xfId="0" applyNumberFormat="1" applyFont="1" applyBorder="1"/>
    <xf numFmtId="0" fontId="6" fillId="0" borderId="0" xfId="0" applyFont="1" applyBorder="1"/>
    <xf numFmtId="0" fontId="7" fillId="0" borderId="0" xfId="0" applyFont="1"/>
    <xf numFmtId="164" fontId="4" fillId="2" borderId="27" xfId="0" applyNumberFormat="1" applyFont="1" applyFill="1" applyBorder="1" applyAlignment="1">
      <alignment horizontal="center"/>
    </xf>
    <xf numFmtId="4" fontId="4" fillId="2" borderId="27" xfId="0" applyNumberFormat="1" applyFont="1" applyFill="1" applyBorder="1" applyAlignment="1">
      <alignment horizontal="center"/>
    </xf>
    <xf numFmtId="14" fontId="4" fillId="2" borderId="27" xfId="0" applyNumberFormat="1" applyFont="1" applyFill="1" applyBorder="1" applyAlignment="1">
      <alignment horizontal="center"/>
    </xf>
    <xf numFmtId="0" fontId="10" fillId="0" borderId="0" xfId="0" applyFont="1"/>
    <xf numFmtId="0" fontId="11" fillId="0" borderId="0" xfId="0" applyFont="1"/>
    <xf numFmtId="166" fontId="10" fillId="5" borderId="17" xfId="0" applyNumberFormat="1" applyFont="1" applyFill="1" applyBorder="1"/>
    <xf numFmtId="166" fontId="11" fillId="0" borderId="0" xfId="0" applyNumberFormat="1" applyFont="1"/>
    <xf numFmtId="0" fontId="15" fillId="6" borderId="9" xfId="0" applyFont="1" applyFill="1" applyBorder="1"/>
    <xf numFmtId="0" fontId="10" fillId="0" borderId="9" xfId="0" applyFont="1" applyBorder="1"/>
    <xf numFmtId="0" fontId="10" fillId="0" borderId="9" xfId="0" applyFont="1" applyBorder="1" applyAlignment="1"/>
    <xf numFmtId="14" fontId="7" fillId="0" borderId="0" xfId="0" applyNumberFormat="1" applyFont="1" applyFill="1"/>
    <xf numFmtId="0" fontId="7" fillId="0" borderId="0" xfId="0" applyFont="1" applyFill="1"/>
    <xf numFmtId="14" fontId="4" fillId="0" borderId="30" xfId="0" applyNumberFormat="1" applyFont="1" applyFill="1" applyBorder="1" applyAlignment="1">
      <alignment horizontal="right"/>
    </xf>
    <xf numFmtId="164" fontId="0" fillId="0" borderId="0" xfId="0" applyNumberFormat="1"/>
    <xf numFmtId="43" fontId="3" fillId="0" borderId="0" xfId="1" applyFont="1"/>
    <xf numFmtId="0" fontId="7" fillId="0" borderId="17" xfId="0" applyFont="1" applyFill="1" applyBorder="1" applyAlignment="1">
      <alignment vertical="center"/>
    </xf>
    <xf numFmtId="0" fontId="7" fillId="0" borderId="18" xfId="0" applyFont="1" applyFill="1" applyBorder="1" applyAlignment="1">
      <alignment horizontal="center"/>
    </xf>
    <xf numFmtId="14" fontId="7" fillId="0" borderId="19" xfId="0" applyNumberFormat="1" applyFont="1" applyFill="1" applyBorder="1" applyAlignment="1">
      <alignment horizontal="center"/>
    </xf>
    <xf numFmtId="0" fontId="7" fillId="0" borderId="19" xfId="0" applyFont="1" applyFill="1" applyBorder="1"/>
    <xf numFmtId="4" fontId="7" fillId="0" borderId="19" xfId="0" applyNumberFormat="1" applyFont="1" applyFill="1" applyBorder="1" applyAlignment="1">
      <alignment horizontal="center"/>
    </xf>
    <xf numFmtId="164" fontId="7" fillId="0" borderId="19" xfId="0" applyNumberFormat="1" applyFont="1" applyFill="1" applyBorder="1" applyAlignment="1">
      <alignment horizontal="center"/>
    </xf>
    <xf numFmtId="14" fontId="7" fillId="0" borderId="20" xfId="0" applyNumberFormat="1" applyFont="1" applyFill="1" applyBorder="1" applyAlignment="1">
      <alignment horizontal="center"/>
    </xf>
    <xf numFmtId="164" fontId="7" fillId="0" borderId="18" xfId="0" applyNumberFormat="1" applyFont="1" applyFill="1" applyBorder="1" applyAlignment="1">
      <alignment horizontal="center"/>
    </xf>
    <xf numFmtId="4" fontId="7" fillId="0" borderId="18" xfId="0" applyNumberFormat="1" applyFont="1" applyFill="1" applyBorder="1" applyAlignment="1">
      <alignment horizontal="center"/>
    </xf>
    <xf numFmtId="14" fontId="7" fillId="0" borderId="20" xfId="0" applyNumberFormat="1" applyFont="1" applyFill="1" applyBorder="1" applyAlignment="1">
      <alignment vertical="center"/>
    </xf>
    <xf numFmtId="4" fontId="7" fillId="0" borderId="17" xfId="0" applyNumberFormat="1" applyFont="1" applyFill="1" applyBorder="1"/>
    <xf numFmtId="43" fontId="2" fillId="0" borderId="0" xfId="1" applyFont="1" applyFill="1"/>
    <xf numFmtId="0" fontId="4" fillId="0" borderId="0" xfId="0" applyFont="1" applyFill="1"/>
    <xf numFmtId="0" fontId="2" fillId="0" borderId="23" xfId="0" applyFont="1" applyFill="1" applyBorder="1"/>
    <xf numFmtId="0" fontId="2" fillId="0" borderId="24" xfId="0" applyFont="1" applyFill="1" applyBorder="1"/>
    <xf numFmtId="14" fontId="2" fillId="0" borderId="25" xfId="0" applyNumberFormat="1" applyFont="1" applyFill="1" applyBorder="1"/>
    <xf numFmtId="4" fontId="2" fillId="0" borderId="25" xfId="0" applyNumberFormat="1" applyFont="1" applyFill="1" applyBorder="1"/>
    <xf numFmtId="164" fontId="2" fillId="0" borderId="25" xfId="0" applyNumberFormat="1" applyFont="1" applyFill="1" applyBorder="1"/>
    <xf numFmtId="14" fontId="2" fillId="0" borderId="26" xfId="1" applyNumberFormat="1" applyFont="1" applyFill="1" applyBorder="1"/>
    <xf numFmtId="0" fontId="2" fillId="0" borderId="25" xfId="0" applyFont="1" applyFill="1" applyBorder="1"/>
    <xf numFmtId="0" fontId="2" fillId="0" borderId="26" xfId="0" applyFont="1" applyFill="1" applyBorder="1"/>
    <xf numFmtId="4" fontId="2" fillId="0" borderId="24" xfId="0" applyNumberFormat="1" applyFont="1" applyFill="1" applyBorder="1"/>
    <xf numFmtId="0" fontId="3" fillId="0" borderId="0" xfId="0" applyFont="1" applyFill="1"/>
    <xf numFmtId="0" fontId="2" fillId="0" borderId="0" xfId="0" applyFont="1" applyFill="1"/>
    <xf numFmtId="0" fontId="2" fillId="0" borderId="13" xfId="0" applyFont="1" applyFill="1" applyBorder="1"/>
    <xf numFmtId="0" fontId="2" fillId="0" borderId="14" xfId="0" applyFont="1" applyFill="1" applyBorder="1"/>
    <xf numFmtId="0" fontId="2" fillId="0" borderId="15" xfId="0" applyFont="1" applyFill="1" applyBorder="1"/>
    <xf numFmtId="4" fontId="2" fillId="0" borderId="15" xfId="0" applyNumberFormat="1" applyFont="1" applyFill="1" applyBorder="1"/>
    <xf numFmtId="164" fontId="2" fillId="0" borderId="15" xfId="0" applyNumberFormat="1" applyFont="1" applyFill="1" applyBorder="1"/>
    <xf numFmtId="43" fontId="2" fillId="0" borderId="16" xfId="1" applyFont="1" applyFill="1" applyBorder="1"/>
    <xf numFmtId="164" fontId="2" fillId="0" borderId="14" xfId="0" applyNumberFormat="1" applyFont="1" applyFill="1" applyBorder="1"/>
    <xf numFmtId="0" fontId="2" fillId="0" borderId="16" xfId="0" applyFont="1" applyFill="1" applyBorder="1"/>
    <xf numFmtId="4" fontId="2" fillId="0" borderId="14" xfId="0" applyNumberFormat="1" applyFont="1" applyFill="1" applyBorder="1"/>
    <xf numFmtId="0" fontId="5" fillId="0" borderId="0" xfId="0" applyFont="1" applyFill="1"/>
    <xf numFmtId="43" fontId="6" fillId="0" borderId="0" xfId="1" applyFont="1" applyFill="1"/>
    <xf numFmtId="0" fontId="6" fillId="0" borderId="0" xfId="0" applyFont="1" applyFill="1"/>
    <xf numFmtId="4" fontId="6" fillId="0" borderId="0" xfId="0" applyNumberFormat="1" applyFont="1"/>
    <xf numFmtId="3" fontId="11" fillId="0" borderId="0" xfId="0" applyNumberFormat="1" applyFont="1"/>
    <xf numFmtId="3" fontId="11" fillId="0" borderId="12" xfId="0" applyNumberFormat="1" applyFont="1" applyBorder="1" applyAlignment="1">
      <alignment horizontal="right" indent="1"/>
    </xf>
    <xf numFmtId="3" fontId="11" fillId="0" borderId="10" xfId="0" applyNumberFormat="1" applyFont="1" applyBorder="1" applyAlignment="1">
      <alignment horizontal="right" indent="1"/>
    </xf>
    <xf numFmtId="3" fontId="10" fillId="0" borderId="12" xfId="0" applyNumberFormat="1" applyFont="1" applyBorder="1"/>
    <xf numFmtId="3" fontId="10" fillId="0" borderId="10" xfId="0" applyNumberFormat="1" applyFont="1" applyBorder="1"/>
    <xf numFmtId="3" fontId="10" fillId="0" borderId="12" xfId="0" applyNumberFormat="1" applyFont="1" applyBorder="1" applyAlignment="1">
      <alignment horizontal="right"/>
    </xf>
    <xf numFmtId="3" fontId="10" fillId="0" borderId="10" xfId="0" applyNumberFormat="1" applyFont="1" applyBorder="1" applyAlignment="1">
      <alignment horizontal="right"/>
    </xf>
    <xf numFmtId="0" fontId="10" fillId="0" borderId="9" xfId="0" applyFont="1" applyBorder="1" applyAlignment="1">
      <alignment horizontal="left"/>
    </xf>
    <xf numFmtId="3" fontId="11" fillId="0" borderId="12" xfId="0" applyNumberFormat="1" applyFont="1" applyBorder="1"/>
    <xf numFmtId="3" fontId="11" fillId="0" borderId="10" xfId="0" applyNumberFormat="1" applyFont="1" applyBorder="1" applyAlignment="1">
      <alignment horizontal="center"/>
    </xf>
    <xf numFmtId="14" fontId="0" fillId="0" borderId="0" xfId="0" applyNumberFormat="1"/>
    <xf numFmtId="4" fontId="0" fillId="0" borderId="0" xfId="0" applyNumberFormat="1"/>
    <xf numFmtId="0" fontId="17" fillId="0" borderId="0" xfId="0" applyFont="1"/>
    <xf numFmtId="0" fontId="0" fillId="0" borderId="0" xfId="0" applyFill="1"/>
    <xf numFmtId="3" fontId="11" fillId="0" borderId="11" xfId="0" applyNumberFormat="1" applyFont="1" applyBorder="1"/>
    <xf numFmtId="3" fontId="10" fillId="0" borderId="11" xfId="0" applyNumberFormat="1" applyFont="1" applyBorder="1"/>
    <xf numFmtId="3" fontId="10" fillId="0" borderId="11" xfId="0" applyNumberFormat="1" applyFont="1" applyBorder="1" applyAlignment="1">
      <alignment horizontal="right"/>
    </xf>
    <xf numFmtId="3" fontId="11" fillId="0" borderId="11" xfId="0" applyNumberFormat="1" applyFont="1" applyBorder="1" applyAlignment="1">
      <alignment horizontal="right" indent="1"/>
    </xf>
    <xf numFmtId="0" fontId="4" fillId="4" borderId="9" xfId="0" applyFont="1" applyFill="1" applyBorder="1"/>
    <xf numFmtId="0" fontId="4" fillId="4" borderId="10" xfId="0" applyFont="1" applyFill="1" applyBorder="1"/>
    <xf numFmtId="14" fontId="4" fillId="4" borderId="11" xfId="0" applyNumberFormat="1" applyFont="1" applyFill="1" applyBorder="1"/>
    <xf numFmtId="0" fontId="4" fillId="4" borderId="11" xfId="0" applyFont="1" applyFill="1" applyBorder="1"/>
    <xf numFmtId="4" fontId="4" fillId="4" borderId="11" xfId="0" applyNumberFormat="1" applyFont="1" applyFill="1" applyBorder="1"/>
    <xf numFmtId="164" fontId="4" fillId="4" borderId="11" xfId="0" applyNumberFormat="1" applyFont="1" applyFill="1" applyBorder="1"/>
    <xf numFmtId="14" fontId="4" fillId="4" borderId="12" xfId="0" applyNumberFormat="1" applyFont="1" applyFill="1" applyBorder="1"/>
    <xf numFmtId="164" fontId="4" fillId="4" borderId="10" xfId="0" applyNumberFormat="1" applyFont="1" applyFill="1" applyBorder="1"/>
    <xf numFmtId="0" fontId="4" fillId="4" borderId="12" xfId="0" applyFont="1" applyFill="1" applyBorder="1"/>
    <xf numFmtId="4" fontId="4" fillId="4" borderId="10" xfId="0" applyNumberFormat="1" applyFont="1" applyFill="1" applyBorder="1"/>
    <xf numFmtId="4" fontId="4" fillId="4" borderId="9" xfId="0" applyNumberFormat="1" applyFont="1" applyFill="1" applyBorder="1"/>
    <xf numFmtId="3" fontId="11" fillId="0" borderId="11" xfId="0" applyNumberFormat="1" applyFont="1" applyFill="1" applyBorder="1" applyAlignment="1">
      <alignment horizontal="right" indent="1"/>
    </xf>
    <xf numFmtId="3" fontId="11" fillId="0" borderId="11" xfId="0" applyNumberFormat="1" applyFont="1" applyFill="1" applyBorder="1"/>
    <xf numFmtId="3" fontId="10" fillId="7" borderId="10" xfId="0" applyNumberFormat="1" applyFont="1" applyFill="1" applyBorder="1" applyAlignment="1">
      <alignment horizontal="center"/>
    </xf>
    <xf numFmtId="3" fontId="11" fillId="7" borderId="11" xfId="0" applyNumberFormat="1" applyFont="1" applyFill="1" applyBorder="1"/>
    <xf numFmtId="3" fontId="11" fillId="7" borderId="12" xfId="0" applyNumberFormat="1" applyFont="1" applyFill="1" applyBorder="1"/>
    <xf numFmtId="14" fontId="4" fillId="4" borderId="12" xfId="1" applyNumberFormat="1" applyFont="1" applyFill="1" applyBorder="1"/>
    <xf numFmtId="3" fontId="11" fillId="0" borderId="12" xfId="0" applyNumberFormat="1" applyFont="1" applyFill="1" applyBorder="1" applyAlignment="1">
      <alignment horizontal="right" indent="1"/>
    </xf>
    <xf numFmtId="4" fontId="4" fillId="0" borderId="7" xfId="0" applyNumberFormat="1" applyFont="1" applyFill="1" applyBorder="1"/>
    <xf numFmtId="4" fontId="5" fillId="0" borderId="0" xfId="0" applyNumberFormat="1" applyFont="1"/>
    <xf numFmtId="0" fontId="7" fillId="4" borderId="13" xfId="0" applyFont="1" applyFill="1" applyBorder="1"/>
    <xf numFmtId="0" fontId="7" fillId="4" borderId="14" xfId="0" applyFont="1" applyFill="1" applyBorder="1"/>
    <xf numFmtId="14" fontId="7" fillId="4" borderId="15" xfId="0" applyNumberFormat="1" applyFont="1" applyFill="1" applyBorder="1"/>
    <xf numFmtId="0" fontId="7" fillId="4" borderId="15" xfId="0" applyFont="1" applyFill="1" applyBorder="1"/>
    <xf numFmtId="4" fontId="7" fillId="4" borderId="15" xfId="0" applyNumberFormat="1" applyFont="1" applyFill="1" applyBorder="1"/>
    <xf numFmtId="164" fontId="7" fillId="4" borderId="15" xfId="0" applyNumberFormat="1" applyFont="1" applyFill="1" applyBorder="1"/>
    <xf numFmtId="14" fontId="7" fillId="4" borderId="16" xfId="0" applyNumberFormat="1" applyFont="1" applyFill="1" applyBorder="1"/>
    <xf numFmtId="164" fontId="7" fillId="4" borderId="14" xfId="0" applyNumberFormat="1" applyFont="1" applyFill="1" applyBorder="1"/>
    <xf numFmtId="0" fontId="7" fillId="4" borderId="16" xfId="0" applyFont="1" applyFill="1" applyBorder="1"/>
    <xf numFmtId="4" fontId="7" fillId="4" borderId="14" xfId="0" applyNumberFormat="1" applyFont="1" applyFill="1" applyBorder="1"/>
    <xf numFmtId="4" fontId="7" fillId="4" borderId="13" xfId="0" applyNumberFormat="1" applyFont="1" applyFill="1" applyBorder="1"/>
    <xf numFmtId="0" fontId="4" fillId="4" borderId="23" xfId="0" applyFont="1" applyFill="1" applyBorder="1"/>
    <xf numFmtId="0" fontId="4" fillId="4" borderId="24" xfId="0" applyFont="1" applyFill="1" applyBorder="1"/>
    <xf numFmtId="14" fontId="4" fillId="4" borderId="25" xfId="0" applyNumberFormat="1" applyFont="1" applyFill="1" applyBorder="1"/>
    <xf numFmtId="0" fontId="4" fillId="4" borderId="25" xfId="0" applyFont="1" applyFill="1" applyBorder="1"/>
    <xf numFmtId="4" fontId="4" fillId="4" borderId="25" xfId="0" applyNumberFormat="1" applyFont="1" applyFill="1" applyBorder="1"/>
    <xf numFmtId="164" fontId="4" fillId="4" borderId="25" xfId="0" applyNumberFormat="1" applyFont="1" applyFill="1" applyBorder="1"/>
    <xf numFmtId="14" fontId="4" fillId="4" borderId="26" xfId="0" applyNumberFormat="1" applyFont="1" applyFill="1" applyBorder="1"/>
    <xf numFmtId="164" fontId="4" fillId="4" borderId="24" xfId="0" applyNumberFormat="1" applyFont="1" applyFill="1" applyBorder="1"/>
    <xf numFmtId="4" fontId="4" fillId="4" borderId="24" xfId="0" applyNumberFormat="1" applyFont="1" applyFill="1" applyBorder="1"/>
    <xf numFmtId="0" fontId="4" fillId="4" borderId="26" xfId="0" applyFont="1" applyFill="1" applyBorder="1"/>
    <xf numFmtId="4" fontId="4" fillId="4" borderId="23" xfId="0" applyNumberFormat="1" applyFont="1" applyFill="1" applyBorder="1"/>
    <xf numFmtId="0" fontId="4" fillId="4" borderId="17" xfId="0" applyFont="1" applyFill="1" applyBorder="1"/>
    <xf numFmtId="0" fontId="4" fillId="4" borderId="18" xfId="0" applyFont="1" applyFill="1" applyBorder="1"/>
    <xf numFmtId="14" fontId="4" fillId="4" borderId="19" xfId="0" applyNumberFormat="1" applyFont="1" applyFill="1" applyBorder="1"/>
    <xf numFmtId="0" fontId="4" fillId="4" borderId="19" xfId="0" applyFont="1" applyFill="1" applyBorder="1"/>
    <xf numFmtId="4" fontId="4" fillId="4" borderId="19" xfId="0" applyNumberFormat="1" applyFont="1" applyFill="1" applyBorder="1"/>
    <xf numFmtId="164" fontId="4" fillId="4" borderId="19" xfId="0" applyNumberFormat="1" applyFont="1" applyFill="1" applyBorder="1"/>
    <xf numFmtId="14" fontId="4" fillId="4" borderId="20" xfId="0" applyNumberFormat="1" applyFont="1" applyFill="1" applyBorder="1"/>
    <xf numFmtId="164" fontId="4" fillId="4" borderId="18" xfId="0" applyNumberFormat="1" applyFont="1" applyFill="1" applyBorder="1"/>
    <xf numFmtId="4" fontId="4" fillId="4" borderId="18" xfId="0" applyNumberFormat="1" applyFont="1" applyFill="1" applyBorder="1"/>
    <xf numFmtId="0" fontId="4" fillId="4" borderId="20" xfId="0" applyFont="1" applyFill="1" applyBorder="1"/>
    <xf numFmtId="4" fontId="4" fillId="4" borderId="17" xfId="0" applyNumberFormat="1" applyFont="1" applyFill="1" applyBorder="1"/>
    <xf numFmtId="0" fontId="7" fillId="0" borderId="14" xfId="0" applyFont="1" applyFill="1" applyBorder="1"/>
    <xf numFmtId="4" fontId="7" fillId="0" borderId="15" xfId="0" applyNumberFormat="1" applyFont="1" applyFill="1" applyBorder="1"/>
    <xf numFmtId="43" fontId="5" fillId="0" borderId="0" xfId="1" applyFont="1"/>
    <xf numFmtId="0" fontId="5" fillId="0" borderId="23" xfId="0" applyFont="1" applyFill="1" applyBorder="1"/>
    <xf numFmtId="0" fontId="5" fillId="0" borderId="24" xfId="0" applyFont="1" applyFill="1" applyBorder="1"/>
    <xf numFmtId="14" fontId="5" fillId="0" borderId="25" xfId="0" applyNumberFormat="1" applyFont="1" applyFill="1" applyBorder="1"/>
    <xf numFmtId="4" fontId="5" fillId="0" borderId="25" xfId="0" applyNumberFormat="1" applyFont="1" applyFill="1" applyBorder="1"/>
    <xf numFmtId="164" fontId="5" fillId="0" borderId="25" xfId="0" applyNumberFormat="1" applyFont="1" applyFill="1" applyBorder="1"/>
    <xf numFmtId="14" fontId="5" fillId="0" borderId="26" xfId="1" applyNumberFormat="1" applyFont="1" applyFill="1" applyBorder="1"/>
    <xf numFmtId="164" fontId="5" fillId="0" borderId="24" xfId="0" applyNumberFormat="1" applyFont="1" applyFill="1" applyBorder="1"/>
    <xf numFmtId="0" fontId="5" fillId="0" borderId="25" xfId="0" applyFont="1" applyFill="1" applyBorder="1"/>
    <xf numFmtId="4" fontId="5" fillId="0" borderId="24" xfId="0" applyNumberFormat="1" applyFont="1" applyFill="1" applyBorder="1"/>
    <xf numFmtId="0" fontId="5" fillId="0" borderId="26" xfId="0" applyFont="1" applyFill="1" applyBorder="1"/>
    <xf numFmtId="43" fontId="5" fillId="0" borderId="0" xfId="1" applyFont="1" applyFill="1"/>
    <xf numFmtId="0" fontId="3" fillId="0" borderId="25" xfId="0" applyFont="1" applyFill="1" applyBorder="1"/>
    <xf numFmtId="164" fontId="3" fillId="0" borderId="24" xfId="0" applyNumberFormat="1" applyFont="1" applyFill="1" applyBorder="1"/>
    <xf numFmtId="0" fontId="3" fillId="0" borderId="26" xfId="0" applyFont="1" applyFill="1" applyBorder="1"/>
    <xf numFmtId="4" fontId="3" fillId="0" borderId="24" xfId="0" applyNumberFormat="1" applyFont="1" applyFill="1" applyBorder="1"/>
    <xf numFmtId="43" fontId="3" fillId="0" borderId="0" xfId="1" applyFont="1" applyFill="1"/>
    <xf numFmtId="0" fontId="7" fillId="4" borderId="17" xfId="0" applyFont="1" applyFill="1" applyBorder="1"/>
    <xf numFmtId="0" fontId="7" fillId="4" borderId="18" xfId="0" applyFont="1" applyFill="1" applyBorder="1"/>
    <xf numFmtId="14" fontId="7" fillId="4" borderId="19" xfId="0" applyNumberFormat="1" applyFont="1" applyFill="1" applyBorder="1"/>
    <xf numFmtId="0" fontId="7" fillId="4" borderId="19" xfId="0" applyFont="1" applyFill="1" applyBorder="1"/>
    <xf numFmtId="4" fontId="7" fillId="4" borderId="19" xfId="0" applyNumberFormat="1" applyFont="1" applyFill="1" applyBorder="1"/>
    <xf numFmtId="164" fontId="7" fillId="4" borderId="19" xfId="0" applyNumberFormat="1" applyFont="1" applyFill="1" applyBorder="1"/>
    <xf numFmtId="14" fontId="7" fillId="4" borderId="20" xfId="0" applyNumberFormat="1" applyFont="1" applyFill="1" applyBorder="1"/>
    <xf numFmtId="164" fontId="7" fillId="4" borderId="18" xfId="0" applyNumberFormat="1" applyFont="1" applyFill="1" applyBorder="1"/>
    <xf numFmtId="4" fontId="7" fillId="4" borderId="18" xfId="0" applyNumberFormat="1" applyFont="1" applyFill="1" applyBorder="1"/>
    <xf numFmtId="4" fontId="7" fillId="4" borderId="17" xfId="0" applyNumberFormat="1" applyFont="1" applyFill="1" applyBorder="1"/>
    <xf numFmtId="0" fontId="7" fillId="4" borderId="9" xfId="0" applyFont="1" applyFill="1" applyBorder="1"/>
    <xf numFmtId="0" fontId="7" fillId="4" borderId="10" xfId="0" applyFont="1" applyFill="1" applyBorder="1"/>
    <xf numFmtId="14" fontId="7" fillId="4" borderId="11" xfId="0" applyNumberFormat="1" applyFont="1" applyFill="1" applyBorder="1"/>
    <xf numFmtId="0" fontId="7" fillId="4" borderId="11" xfId="0" applyFont="1" applyFill="1" applyBorder="1"/>
    <xf numFmtId="4" fontId="7" fillId="4" borderId="11" xfId="0" applyNumberFormat="1" applyFont="1" applyFill="1" applyBorder="1"/>
    <xf numFmtId="164" fontId="7" fillId="4" borderId="11" xfId="0" applyNumberFormat="1" applyFont="1" applyFill="1" applyBorder="1"/>
    <xf numFmtId="14" fontId="7" fillId="4" borderId="12" xfId="1" applyNumberFormat="1" applyFont="1" applyFill="1" applyBorder="1"/>
    <xf numFmtId="164" fontId="7" fillId="4" borderId="10" xfId="0" applyNumberFormat="1" applyFont="1" applyFill="1" applyBorder="1"/>
    <xf numFmtId="14" fontId="7" fillId="4" borderId="12" xfId="0" applyNumberFormat="1" applyFont="1" applyFill="1" applyBorder="1"/>
    <xf numFmtId="4" fontId="7" fillId="4" borderId="10" xfId="0" applyNumberFormat="1" applyFont="1" applyFill="1" applyBorder="1"/>
    <xf numFmtId="0" fontId="7" fillId="4" borderId="12" xfId="0" applyFont="1" applyFill="1" applyBorder="1"/>
    <xf numFmtId="4" fontId="7" fillId="4" borderId="9" xfId="0" applyNumberFormat="1" applyFont="1" applyFill="1" applyBorder="1"/>
    <xf numFmtId="14" fontId="2" fillId="0" borderId="26" xfId="0" applyNumberFormat="1" applyFont="1" applyFill="1" applyBorder="1"/>
    <xf numFmtId="164" fontId="2" fillId="0" borderId="24" xfId="0" applyNumberFormat="1" applyFont="1" applyFill="1" applyBorder="1"/>
    <xf numFmtId="43" fontId="4" fillId="0" borderId="0" xfId="1" applyFont="1" applyFill="1"/>
    <xf numFmtId="0" fontId="2" fillId="4" borderId="23" xfId="0" applyFont="1" applyFill="1" applyBorder="1"/>
    <xf numFmtId="0" fontId="2" fillId="4" borderId="24" xfId="0" applyFont="1" applyFill="1" applyBorder="1"/>
    <xf numFmtId="14" fontId="2" fillId="4" borderId="25" xfId="0" applyNumberFormat="1" applyFont="1" applyFill="1" applyBorder="1"/>
    <xf numFmtId="0" fontId="2" fillId="4" borderId="25" xfId="0" applyFont="1" applyFill="1" applyBorder="1"/>
    <xf numFmtId="4" fontId="2" fillId="4" borderId="25" xfId="0" applyNumberFormat="1" applyFont="1" applyFill="1" applyBorder="1"/>
    <xf numFmtId="164" fontId="2" fillId="4" borderId="25" xfId="0" applyNumberFormat="1" applyFont="1" applyFill="1" applyBorder="1"/>
    <xf numFmtId="0" fontId="2" fillId="4" borderId="26" xfId="0" applyFont="1" applyFill="1" applyBorder="1"/>
    <xf numFmtId="4" fontId="2" fillId="4" borderId="24" xfId="0" applyNumberFormat="1" applyFont="1" applyFill="1" applyBorder="1"/>
    <xf numFmtId="4" fontId="6" fillId="0" borderId="10" xfId="0" applyNumberFormat="1" applyFont="1" applyBorder="1"/>
    <xf numFmtId="0" fontId="6" fillId="0" borderId="11" xfId="0" applyFont="1" applyBorder="1"/>
    <xf numFmtId="4" fontId="6" fillId="0" borderId="11" xfId="0" applyNumberFormat="1" applyFont="1" applyBorder="1"/>
    <xf numFmtId="164" fontId="6" fillId="0" borderId="11" xfId="0" applyNumberFormat="1" applyFont="1" applyBorder="1"/>
    <xf numFmtId="0" fontId="6" fillId="0" borderId="1" xfId="0" applyFont="1" applyBorder="1"/>
    <xf numFmtId="0" fontId="2" fillId="0" borderId="4" xfId="0" applyFont="1" applyBorder="1"/>
    <xf numFmtId="0" fontId="2" fillId="0" borderId="42" xfId="0" applyFont="1" applyBorder="1"/>
    <xf numFmtId="4" fontId="6" fillId="0" borderId="5" xfId="0" applyNumberFormat="1" applyFont="1" applyBorder="1"/>
    <xf numFmtId="4" fontId="6" fillId="0" borderId="6" xfId="0" applyNumberFormat="1" applyFont="1" applyBorder="1"/>
    <xf numFmtId="0" fontId="2" fillId="0" borderId="28" xfId="0" applyFont="1" applyBorder="1"/>
    <xf numFmtId="0" fontId="2" fillId="0" borderId="35" xfId="0" applyFont="1" applyBorder="1"/>
    <xf numFmtId="11" fontId="6" fillId="0" borderId="5" xfId="0" applyNumberFormat="1" applyFont="1" applyBorder="1" applyAlignment="1">
      <alignment horizontal="center"/>
    </xf>
    <xf numFmtId="43" fontId="5" fillId="0" borderId="0" xfId="0" applyNumberFormat="1" applyFont="1"/>
    <xf numFmtId="43" fontId="5" fillId="0" borderId="0" xfId="0" applyNumberFormat="1" applyFont="1" applyFill="1"/>
    <xf numFmtId="43" fontId="6" fillId="0" borderId="0" xfId="0" applyNumberFormat="1" applyFont="1" applyFill="1"/>
    <xf numFmtId="164" fontId="2" fillId="4" borderId="24" xfId="0" applyNumberFormat="1" applyFont="1" applyFill="1" applyBorder="1"/>
    <xf numFmtId="14" fontId="2" fillId="4" borderId="26" xfId="0" applyNumberFormat="1" applyFont="1" applyFill="1" applyBorder="1"/>
    <xf numFmtId="4" fontId="5" fillId="0" borderId="23" xfId="0" applyNumberFormat="1" applyFont="1" applyFill="1" applyBorder="1"/>
    <xf numFmtId="4" fontId="3" fillId="0" borderId="23" xfId="0" applyNumberFormat="1" applyFont="1" applyFill="1" applyBorder="1"/>
    <xf numFmtId="4" fontId="2" fillId="4" borderId="23" xfId="0" applyNumberFormat="1" applyFont="1" applyFill="1" applyBorder="1"/>
    <xf numFmtId="14" fontId="4" fillId="4" borderId="26" xfId="1" applyNumberFormat="1" applyFont="1" applyFill="1" applyBorder="1"/>
    <xf numFmtId="2" fontId="5" fillId="0" borderId="0" xfId="0" applyNumberFormat="1" applyFont="1"/>
    <xf numFmtId="3" fontId="13" fillId="0" borderId="0" xfId="0" applyNumberFormat="1" applyFont="1"/>
    <xf numFmtId="0" fontId="13" fillId="0" borderId="0" xfId="0" applyFont="1"/>
    <xf numFmtId="3" fontId="19" fillId="0" borderId="0" xfId="0" applyNumberFormat="1" applyFont="1"/>
    <xf numFmtId="164" fontId="7" fillId="4" borderId="24" xfId="0" applyNumberFormat="1" applyFont="1" applyFill="1" applyBorder="1"/>
    <xf numFmtId="0" fontId="7" fillId="4" borderId="25" xfId="0" applyFont="1" applyFill="1" applyBorder="1"/>
    <xf numFmtId="14" fontId="7" fillId="4" borderId="26" xfId="0" applyNumberFormat="1" applyFont="1" applyFill="1" applyBorder="1"/>
    <xf numFmtId="0" fontId="7" fillId="0" borderId="15" xfId="0" applyFont="1" applyFill="1" applyBorder="1"/>
    <xf numFmtId="14" fontId="2" fillId="0" borderId="0" xfId="0" applyNumberFormat="1" applyFont="1"/>
    <xf numFmtId="14" fontId="2" fillId="0" borderId="0" xfId="1" applyNumberFormat="1" applyFont="1"/>
    <xf numFmtId="3" fontId="19" fillId="0" borderId="11" xfId="0" applyNumberFormat="1" applyFont="1" applyFill="1" applyBorder="1" applyAlignment="1">
      <alignment horizontal="right" indent="1"/>
    </xf>
    <xf numFmtId="4" fontId="7" fillId="0" borderId="0" xfId="0" applyNumberFormat="1" applyFont="1" applyFill="1"/>
    <xf numFmtId="0" fontId="7" fillId="0" borderId="10" xfId="0" applyFont="1" applyFill="1" applyBorder="1"/>
    <xf numFmtId="4" fontId="4" fillId="0" borderId="0" xfId="0" applyNumberFormat="1" applyFont="1" applyFill="1"/>
    <xf numFmtId="3" fontId="18" fillId="0" borderId="11" xfId="0" applyNumberFormat="1" applyFont="1" applyFill="1" applyBorder="1"/>
    <xf numFmtId="4" fontId="2" fillId="0" borderId="23" xfId="0" applyNumberFormat="1" applyFont="1" applyFill="1" applyBorder="1"/>
    <xf numFmtId="0" fontId="7" fillId="0" borderId="0" xfId="0" applyFont="1" applyFill="1" applyBorder="1"/>
    <xf numFmtId="0" fontId="7" fillId="0" borderId="16" xfId="0" applyFont="1" applyFill="1" applyBorder="1"/>
    <xf numFmtId="164" fontId="7" fillId="0" borderId="0" xfId="0" applyNumberFormat="1" applyFont="1" applyFill="1"/>
    <xf numFmtId="164" fontId="4" fillId="0" borderId="6" xfId="0" applyNumberFormat="1" applyFont="1" applyFill="1" applyBorder="1" applyAlignment="1">
      <alignment horizontal="center"/>
    </xf>
    <xf numFmtId="164" fontId="7" fillId="0" borderId="11" xfId="0" applyNumberFormat="1" applyFont="1" applyFill="1" applyBorder="1"/>
    <xf numFmtId="164" fontId="4" fillId="0" borderId="29" xfId="0" applyNumberFormat="1" applyFont="1" applyFill="1" applyBorder="1"/>
    <xf numFmtId="164" fontId="7" fillId="0" borderId="15" xfId="0" applyNumberFormat="1" applyFont="1" applyFill="1" applyBorder="1"/>
    <xf numFmtId="164" fontId="4" fillId="0" borderId="0" xfId="0" applyNumberFormat="1" applyFont="1" applyFill="1" applyBorder="1"/>
    <xf numFmtId="14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center"/>
    </xf>
    <xf numFmtId="4" fontId="4" fillId="0" borderId="0" xfId="0" applyNumberFormat="1" applyFont="1" applyFill="1" applyBorder="1"/>
    <xf numFmtId="164" fontId="7" fillId="0" borderId="0" xfId="0" applyNumberFormat="1" applyFont="1" applyFill="1" applyBorder="1"/>
    <xf numFmtId="0" fontId="4" fillId="0" borderId="0" xfId="0" applyFont="1" applyFill="1" applyBorder="1"/>
    <xf numFmtId="14" fontId="5" fillId="0" borderId="26" xfId="0" applyNumberFormat="1" applyFont="1" applyFill="1" applyBorder="1"/>
    <xf numFmtId="0" fontId="7" fillId="0" borderId="11" xfId="0" applyFont="1" applyFill="1" applyBorder="1"/>
    <xf numFmtId="4" fontId="7" fillId="0" borderId="11" xfId="0" applyNumberFormat="1" applyFont="1" applyFill="1" applyBorder="1"/>
    <xf numFmtId="4" fontId="2" fillId="0" borderId="13" xfId="0" applyNumberFormat="1" applyFont="1" applyFill="1" applyBorder="1"/>
    <xf numFmtId="14" fontId="6" fillId="0" borderId="0" xfId="1" applyNumberFormat="1" applyFont="1" applyFill="1"/>
    <xf numFmtId="4" fontId="3" fillId="0" borderId="0" xfId="0" applyNumberFormat="1" applyFont="1" applyFill="1"/>
    <xf numFmtId="4" fontId="6" fillId="0" borderId="0" xfId="0" applyNumberFormat="1" applyFont="1" applyFill="1"/>
    <xf numFmtId="0" fontId="7" fillId="4" borderId="26" xfId="0" applyFont="1" applyFill="1" applyBorder="1"/>
    <xf numFmtId="0" fontId="7" fillId="0" borderId="24" xfId="0" applyFont="1" applyFill="1" applyBorder="1"/>
    <xf numFmtId="164" fontId="7" fillId="0" borderId="25" xfId="0" applyNumberFormat="1" applyFont="1" applyFill="1" applyBorder="1"/>
    <xf numFmtId="0" fontId="3" fillId="0" borderId="24" xfId="0" applyFont="1" applyFill="1" applyBorder="1"/>
    <xf numFmtId="164" fontId="3" fillId="0" borderId="25" xfId="0" applyNumberFormat="1" applyFont="1" applyFill="1" applyBorder="1"/>
    <xf numFmtId="0" fontId="3" fillId="0" borderId="23" xfId="0" applyFont="1" applyFill="1" applyBorder="1"/>
    <xf numFmtId="14" fontId="3" fillId="0" borderId="25" xfId="0" applyNumberFormat="1" applyFont="1" applyFill="1" applyBorder="1"/>
    <xf numFmtId="4" fontId="3" fillId="0" borderId="25" xfId="0" applyNumberFormat="1" applyFont="1" applyFill="1" applyBorder="1"/>
    <xf numFmtId="14" fontId="3" fillId="0" borderId="26" xfId="1" applyNumberFormat="1" applyFont="1" applyFill="1" applyBorder="1"/>
    <xf numFmtId="14" fontId="3" fillId="0" borderId="26" xfId="0" applyNumberFormat="1" applyFont="1" applyFill="1" applyBorder="1"/>
    <xf numFmtId="4" fontId="4" fillId="0" borderId="49" xfId="0" applyNumberFormat="1" applyFont="1" applyFill="1" applyBorder="1"/>
    <xf numFmtId="4" fontId="3" fillId="0" borderId="0" xfId="0" applyNumberFormat="1" applyFont="1"/>
    <xf numFmtId="4" fontId="5" fillId="0" borderId="0" xfId="0" applyNumberFormat="1" applyFont="1" applyFill="1"/>
    <xf numFmtId="4" fontId="5" fillId="0" borderId="0" xfId="0" applyNumberFormat="1" applyFont="1" applyBorder="1"/>
    <xf numFmtId="4" fontId="7" fillId="0" borderId="0" xfId="0" applyNumberFormat="1" applyFont="1"/>
    <xf numFmtId="0" fontId="6" fillId="0" borderId="23" xfId="0" applyFont="1" applyBorder="1"/>
    <xf numFmtId="164" fontId="6" fillId="0" borderId="25" xfId="0" applyNumberFormat="1" applyFont="1" applyBorder="1"/>
    <xf numFmtId="4" fontId="6" fillId="0" borderId="24" xfId="0" applyNumberFormat="1" applyFont="1" applyBorder="1"/>
    <xf numFmtId="43" fontId="6" fillId="0" borderId="0" xfId="1" applyFont="1"/>
    <xf numFmtId="0" fontId="7" fillId="4" borderId="23" xfId="0" applyFont="1" applyFill="1" applyBorder="1"/>
    <xf numFmtId="0" fontId="7" fillId="4" borderId="24" xfId="0" applyFont="1" applyFill="1" applyBorder="1"/>
    <xf numFmtId="14" fontId="7" fillId="4" borderId="25" xfId="0" applyNumberFormat="1" applyFont="1" applyFill="1" applyBorder="1"/>
    <xf numFmtId="4" fontId="7" fillId="4" borderId="25" xfId="0" applyNumberFormat="1" applyFont="1" applyFill="1" applyBorder="1"/>
    <xf numFmtId="164" fontId="7" fillId="4" borderId="25" xfId="0" applyNumberFormat="1" applyFont="1" applyFill="1" applyBorder="1"/>
    <xf numFmtId="14" fontId="7" fillId="4" borderId="26" xfId="1" applyNumberFormat="1" applyFont="1" applyFill="1" applyBorder="1"/>
    <xf numFmtId="4" fontId="7" fillId="4" borderId="24" xfId="0" applyNumberFormat="1" applyFont="1" applyFill="1" applyBorder="1"/>
    <xf numFmtId="4" fontId="7" fillId="4" borderId="23" xfId="0" applyNumberFormat="1" applyFont="1" applyFill="1" applyBorder="1"/>
    <xf numFmtId="3" fontId="11" fillId="0" borderId="10" xfId="0" applyNumberFormat="1" applyFont="1" applyBorder="1"/>
    <xf numFmtId="3" fontId="11" fillId="7" borderId="10" xfId="0" applyNumberFormat="1" applyFont="1" applyFill="1" applyBorder="1"/>
    <xf numFmtId="3" fontId="20" fillId="0" borderId="12" xfId="0" applyNumberFormat="1" applyFont="1" applyFill="1" applyBorder="1" applyAlignment="1">
      <alignment horizontal="right" indent="1"/>
    </xf>
    <xf numFmtId="3" fontId="10" fillId="0" borderId="11" xfId="0" applyNumberFormat="1" applyFont="1" applyFill="1" applyBorder="1"/>
    <xf numFmtId="0" fontId="7" fillId="0" borderId="18" xfId="0" applyFont="1" applyFill="1" applyBorder="1"/>
    <xf numFmtId="4" fontId="7" fillId="0" borderId="19" xfId="0" applyNumberFormat="1" applyFont="1" applyFill="1" applyBorder="1"/>
    <xf numFmtId="164" fontId="7" fillId="0" borderId="19" xfId="0" applyNumberFormat="1" applyFont="1" applyFill="1" applyBorder="1"/>
    <xf numFmtId="11" fontId="6" fillId="0" borderId="6" xfId="0" applyNumberFormat="1" applyFont="1" applyBorder="1" applyAlignment="1">
      <alignment horizontal="center"/>
    </xf>
    <xf numFmtId="43" fontId="7" fillId="0" borderId="0" xfId="1" applyFont="1"/>
    <xf numFmtId="0" fontId="7" fillId="0" borderId="23" xfId="0" applyFont="1" applyFill="1" applyBorder="1"/>
    <xf numFmtId="14" fontId="7" fillId="0" borderId="25" xfId="0" applyNumberFormat="1" applyFont="1" applyFill="1" applyBorder="1"/>
    <xf numFmtId="0" fontId="7" fillId="0" borderId="25" xfId="0" applyFont="1" applyFill="1" applyBorder="1"/>
    <xf numFmtId="4" fontId="7" fillId="0" borderId="25" xfId="0" applyNumberFormat="1" applyFont="1" applyFill="1" applyBorder="1"/>
    <xf numFmtId="14" fontId="7" fillId="0" borderId="26" xfId="0" applyNumberFormat="1" applyFont="1" applyFill="1" applyBorder="1"/>
    <xf numFmtId="164" fontId="7" fillId="0" borderId="24" xfId="0" applyNumberFormat="1" applyFont="1" applyFill="1" applyBorder="1"/>
    <xf numFmtId="4" fontId="7" fillId="0" borderId="24" xfId="0" applyNumberFormat="1" applyFont="1" applyFill="1" applyBorder="1"/>
    <xf numFmtId="0" fontId="7" fillId="0" borderId="26" xfId="0" applyFont="1" applyFill="1" applyBorder="1"/>
    <xf numFmtId="4" fontId="7" fillId="0" borderId="23" xfId="0" applyNumberFormat="1" applyFont="1" applyFill="1" applyBorder="1"/>
    <xf numFmtId="4" fontId="7" fillId="0" borderId="20" xfId="0" applyNumberFormat="1" applyFont="1" applyFill="1" applyBorder="1"/>
    <xf numFmtId="4" fontId="7" fillId="0" borderId="12" xfId="0" applyNumberFormat="1" applyFont="1" applyFill="1" applyBorder="1"/>
    <xf numFmtId="3" fontId="11" fillId="0" borderId="10" xfId="0" applyNumberFormat="1" applyFont="1" applyFill="1" applyBorder="1"/>
    <xf numFmtId="3" fontId="11" fillId="0" borderId="12" xfId="0" applyNumberFormat="1" applyFont="1" applyFill="1" applyBorder="1"/>
    <xf numFmtId="3" fontId="11" fillId="0" borderId="10" xfId="0" applyNumberFormat="1" applyFont="1" applyFill="1" applyBorder="1" applyAlignment="1">
      <alignment horizontal="right" indent="1"/>
    </xf>
    <xf numFmtId="9" fontId="7" fillId="0" borderId="19" xfId="0" applyNumberFormat="1" applyFont="1" applyFill="1" applyBorder="1"/>
    <xf numFmtId="9" fontId="7" fillId="0" borderId="11" xfId="0" applyNumberFormat="1" applyFont="1" applyFill="1" applyBorder="1"/>
    <xf numFmtId="169" fontId="7" fillId="0" borderId="20" xfId="0" applyNumberFormat="1" applyFont="1" applyFill="1" applyBorder="1"/>
    <xf numFmtId="169" fontId="7" fillId="0" borderId="12" xfId="0" applyNumberFormat="1" applyFont="1" applyFill="1" applyBorder="1"/>
    <xf numFmtId="164" fontId="7" fillId="0" borderId="0" xfId="0" applyNumberFormat="1" applyFont="1"/>
    <xf numFmtId="168" fontId="7" fillId="0" borderId="0" xfId="0" applyNumberFormat="1" applyFont="1" applyAlignment="1">
      <alignment horizontal="center"/>
    </xf>
    <xf numFmtId="0" fontId="4" fillId="0" borderId="0" xfId="0" applyFont="1"/>
    <xf numFmtId="3" fontId="18" fillId="7" borderId="14" xfId="0" applyNumberFormat="1" applyFont="1" applyFill="1" applyBorder="1"/>
    <xf numFmtId="3" fontId="18" fillId="7" borderId="15" xfId="0" applyNumberFormat="1" applyFont="1" applyFill="1" applyBorder="1"/>
    <xf numFmtId="3" fontId="18" fillId="7" borderId="16" xfId="0" applyNumberFormat="1" applyFont="1" applyFill="1" applyBorder="1"/>
    <xf numFmtId="3" fontId="10" fillId="0" borderId="18" xfId="0" applyNumberFormat="1" applyFont="1" applyBorder="1" applyAlignment="1">
      <alignment horizontal="right"/>
    </xf>
    <xf numFmtId="3" fontId="10" fillId="0" borderId="19" xfId="0" applyNumberFormat="1" applyFont="1" applyBorder="1" applyAlignment="1">
      <alignment horizontal="right"/>
    </xf>
    <xf numFmtId="3" fontId="10" fillId="0" borderId="20" xfId="0" applyNumberFormat="1" applyFont="1" applyBorder="1" applyAlignment="1">
      <alignment horizontal="right"/>
    </xf>
    <xf numFmtId="3" fontId="19" fillId="0" borderId="10" xfId="0" applyNumberFormat="1" applyFont="1" applyFill="1" applyBorder="1" applyAlignment="1">
      <alignment horizontal="right" indent="1"/>
    </xf>
    <xf numFmtId="3" fontId="11" fillId="0" borderId="10" xfId="0" applyNumberFormat="1" applyFont="1" applyFill="1" applyBorder="1" applyAlignment="1">
      <alignment horizontal="center"/>
    </xf>
    <xf numFmtId="3" fontId="19" fillId="0" borderId="11" xfId="0" applyNumberFormat="1" applyFont="1" applyFill="1" applyBorder="1"/>
    <xf numFmtId="4" fontId="11" fillId="0" borderId="0" xfId="0" applyNumberFormat="1" applyFont="1"/>
    <xf numFmtId="170" fontId="6" fillId="0" borderId="0" xfId="1" applyNumberFormat="1" applyFont="1" applyFill="1"/>
    <xf numFmtId="0" fontId="7" fillId="0" borderId="0" xfId="0" applyFont="1" applyFill="1" applyBorder="1" applyAlignment="1">
      <alignment horizontal="center"/>
    </xf>
    <xf numFmtId="4" fontId="7" fillId="0" borderId="0" xfId="0" applyNumberFormat="1" applyFont="1" applyFill="1" applyBorder="1"/>
    <xf numFmtId="4" fontId="4" fillId="0" borderId="0" xfId="0" applyNumberFormat="1" applyFont="1"/>
    <xf numFmtId="43" fontId="4" fillId="0" borderId="0" xfId="1" applyFont="1"/>
    <xf numFmtId="0" fontId="11" fillId="0" borderId="0" xfId="0" applyFont="1" applyFill="1"/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168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" fontId="7" fillId="0" borderId="0" xfId="0" applyNumberFormat="1" applyFont="1" applyFill="1" applyBorder="1" applyAlignment="1">
      <alignment vertical="center"/>
    </xf>
    <xf numFmtId="164" fontId="7" fillId="0" borderId="0" xfId="0" applyNumberFormat="1" applyFont="1" applyFill="1" applyBorder="1" applyAlignment="1">
      <alignment vertical="center"/>
    </xf>
    <xf numFmtId="14" fontId="7" fillId="0" borderId="0" xfId="0" applyNumberFormat="1" applyFont="1" applyFill="1" applyBorder="1" applyAlignment="1">
      <alignment vertical="center"/>
    </xf>
    <xf numFmtId="0" fontId="3" fillId="0" borderId="5" xfId="0" applyFont="1" applyFill="1" applyBorder="1"/>
    <xf numFmtId="0" fontId="3" fillId="0" borderId="6" xfId="0" applyFont="1" applyFill="1" applyBorder="1"/>
    <xf numFmtId="4" fontId="3" fillId="0" borderId="6" xfId="0" applyNumberFormat="1" applyFont="1" applyFill="1" applyBorder="1"/>
    <xf numFmtId="164" fontId="3" fillId="0" borderId="6" xfId="0" applyNumberFormat="1" applyFont="1" applyFill="1" applyBorder="1"/>
    <xf numFmtId="14" fontId="3" fillId="0" borderId="6" xfId="0" applyNumberFormat="1" applyFont="1" applyFill="1" applyBorder="1"/>
    <xf numFmtId="14" fontId="3" fillId="0" borderId="7" xfId="0" applyNumberFormat="1" applyFont="1" applyFill="1" applyBorder="1" applyAlignment="1">
      <alignment horizontal="right"/>
    </xf>
    <xf numFmtId="171" fontId="7" fillId="0" borderId="0" xfId="5" applyNumberFormat="1" applyFont="1"/>
    <xf numFmtId="167" fontId="2" fillId="0" borderId="0" xfId="0" applyNumberFormat="1" applyFont="1"/>
    <xf numFmtId="3" fontId="16" fillId="6" borderId="5" xfId="0" applyNumberFormat="1" applyFont="1" applyFill="1" applyBorder="1" applyAlignment="1">
      <alignment horizontal="center"/>
    </xf>
    <xf numFmtId="3" fontId="16" fillId="6" borderId="7" xfId="0" applyNumberFormat="1" applyFont="1" applyFill="1" applyBorder="1" applyAlignment="1">
      <alignment horizontal="center"/>
    </xf>
    <xf numFmtId="3" fontId="16" fillId="6" borderId="6" xfId="0" applyNumberFormat="1" applyFont="1" applyFill="1" applyBorder="1" applyAlignment="1">
      <alignment horizontal="center"/>
    </xf>
    <xf numFmtId="0" fontId="7" fillId="0" borderId="5" xfId="0" applyFont="1" applyFill="1" applyBorder="1"/>
    <xf numFmtId="0" fontId="7" fillId="0" borderId="6" xfId="0" applyFont="1" applyFill="1" applyBorder="1"/>
    <xf numFmtId="4" fontId="7" fillId="0" borderId="6" xfId="0" applyNumberFormat="1" applyFont="1" applyFill="1" applyBorder="1"/>
    <xf numFmtId="164" fontId="7" fillId="0" borderId="6" xfId="0" applyNumberFormat="1" applyFont="1" applyFill="1" applyBorder="1"/>
    <xf numFmtId="14" fontId="7" fillId="0" borderId="6" xfId="0" applyNumberFormat="1" applyFont="1" applyFill="1" applyBorder="1"/>
    <xf numFmtId="14" fontId="2" fillId="4" borderId="26" xfId="1" applyNumberFormat="1" applyFont="1" applyFill="1" applyBorder="1"/>
    <xf numFmtId="0" fontId="0" fillId="0" borderId="0" xfId="0"/>
    <xf numFmtId="43" fontId="7" fillId="0" borderId="0" xfId="1" applyFont="1" applyFill="1"/>
    <xf numFmtId="0" fontId="6" fillId="4" borderId="9" xfId="0" applyFont="1" applyFill="1" applyBorder="1"/>
    <xf numFmtId="0" fontId="2" fillId="4" borderId="9" xfId="0" applyFont="1" applyFill="1" applyBorder="1"/>
    <xf numFmtId="0" fontId="6" fillId="4" borderId="10" xfId="0" applyFont="1" applyFill="1" applyBorder="1"/>
    <xf numFmtId="14" fontId="6" fillId="4" borderId="11" xfId="0" applyNumberFormat="1" applyFont="1" applyFill="1" applyBorder="1"/>
    <xf numFmtId="0" fontId="6" fillId="4" borderId="11" xfId="0" applyFont="1" applyFill="1" applyBorder="1"/>
    <xf numFmtId="4" fontId="6" fillId="4" borderId="11" xfId="0" applyNumberFormat="1" applyFont="1" applyFill="1" applyBorder="1"/>
    <xf numFmtId="164" fontId="6" fillId="4" borderId="11" xfId="0" applyNumberFormat="1" applyFont="1" applyFill="1" applyBorder="1"/>
    <xf numFmtId="14" fontId="6" fillId="4" borderId="12" xfId="0" applyNumberFormat="1" applyFont="1" applyFill="1" applyBorder="1"/>
    <xf numFmtId="0" fontId="2" fillId="4" borderId="10" xfId="0" applyFont="1" applyFill="1" applyBorder="1"/>
    <xf numFmtId="14" fontId="2" fillId="4" borderId="11" xfId="0" applyNumberFormat="1" applyFont="1" applyFill="1" applyBorder="1"/>
    <xf numFmtId="0" fontId="2" fillId="4" borderId="11" xfId="0" applyFont="1" applyFill="1" applyBorder="1"/>
    <xf numFmtId="4" fontId="2" fillId="4" borderId="11" xfId="0" applyNumberFormat="1" applyFont="1" applyFill="1" applyBorder="1"/>
    <xf numFmtId="164" fontId="2" fillId="4" borderId="11" xfId="0" applyNumberFormat="1" applyFont="1" applyFill="1" applyBorder="1"/>
    <xf numFmtId="14" fontId="2" fillId="4" borderId="12" xfId="0" applyNumberFormat="1" applyFont="1" applyFill="1" applyBorder="1"/>
    <xf numFmtId="164" fontId="6" fillId="4" borderId="10" xfId="0" applyNumberFormat="1" applyFont="1" applyFill="1" applyBorder="1"/>
    <xf numFmtId="164" fontId="2" fillId="4" borderId="10" xfId="0" applyNumberFormat="1" applyFont="1" applyFill="1" applyBorder="1"/>
    <xf numFmtId="0" fontId="6" fillId="4" borderId="12" xfId="0" applyFont="1" applyFill="1" applyBorder="1"/>
    <xf numFmtId="4" fontId="2" fillId="4" borderId="10" xfId="0" applyNumberFormat="1" applyFont="1" applyFill="1" applyBorder="1"/>
    <xf numFmtId="0" fontId="2" fillId="4" borderId="12" xfId="0" applyFont="1" applyFill="1" applyBorder="1"/>
    <xf numFmtId="4" fontId="6" fillId="4" borderId="9" xfId="0" applyNumberFormat="1" applyFont="1" applyFill="1" applyBorder="1"/>
    <xf numFmtId="4" fontId="2" fillId="4" borderId="9" xfId="0" applyNumberFormat="1" applyFont="1" applyFill="1" applyBorder="1"/>
    <xf numFmtId="4" fontId="6" fillId="0" borderId="9" xfId="0" applyNumberFormat="1" applyFont="1" applyFill="1" applyBorder="1"/>
    <xf numFmtId="4" fontId="6" fillId="0" borderId="13" xfId="0" applyNumberFormat="1" applyFont="1" applyFill="1" applyBorder="1"/>
    <xf numFmtId="14" fontId="7" fillId="0" borderId="19" xfId="0" applyNumberFormat="1" applyFont="1" applyFill="1" applyBorder="1"/>
    <xf numFmtId="14" fontId="7" fillId="0" borderId="15" xfId="0" applyNumberFormat="1" applyFont="1" applyFill="1" applyBorder="1"/>
    <xf numFmtId="14" fontId="7" fillId="0" borderId="16" xfId="0" applyNumberFormat="1" applyFont="1" applyFill="1" applyBorder="1" applyAlignment="1">
      <alignment horizontal="right"/>
    </xf>
    <xf numFmtId="3" fontId="19" fillId="0" borderId="10" xfId="0" applyNumberFormat="1" applyFont="1" applyFill="1" applyBorder="1"/>
    <xf numFmtId="3" fontId="19" fillId="0" borderId="11" xfId="0" applyNumberFormat="1" applyFont="1" applyBorder="1" applyAlignment="1">
      <alignment horizontal="right" indent="1"/>
    </xf>
    <xf numFmtId="0" fontId="6" fillId="0" borderId="24" xfId="0" applyFont="1" applyBorder="1"/>
    <xf numFmtId="14" fontId="6" fillId="0" borderId="25" xfId="0" applyNumberFormat="1" applyFont="1" applyBorder="1"/>
    <xf numFmtId="0" fontId="6" fillId="0" borderId="25" xfId="0" applyFont="1" applyBorder="1"/>
    <xf numFmtId="4" fontId="6" fillId="0" borderId="25" xfId="0" applyNumberFormat="1" applyFont="1" applyBorder="1"/>
    <xf numFmtId="14" fontId="6" fillId="0" borderId="26" xfId="0" applyNumberFormat="1" applyFont="1" applyBorder="1"/>
    <xf numFmtId="164" fontId="6" fillId="0" borderId="24" xfId="0" applyNumberFormat="1" applyFont="1" applyBorder="1"/>
    <xf numFmtId="0" fontId="6" fillId="0" borderId="26" xfId="0" applyFont="1" applyBorder="1"/>
    <xf numFmtId="4" fontId="6" fillId="0" borderId="0" xfId="0" applyNumberFormat="1" applyFont="1" applyBorder="1"/>
    <xf numFmtId="4" fontId="2" fillId="0" borderId="0" xfId="0" applyNumberFormat="1" applyFont="1" applyFill="1"/>
    <xf numFmtId="9" fontId="2" fillId="0" borderId="0" xfId="0" applyNumberFormat="1" applyFont="1" applyFill="1"/>
    <xf numFmtId="164" fontId="2" fillId="0" borderId="0" xfId="0" applyNumberFormat="1" applyFont="1" applyFill="1"/>
    <xf numFmtId="0" fontId="2" fillId="0" borderId="18" xfId="0" applyFont="1" applyFill="1" applyBorder="1"/>
    <xf numFmtId="0" fontId="2" fillId="0" borderId="10" xfId="0" applyFont="1" applyFill="1" applyBorder="1"/>
    <xf numFmtId="0" fontId="2" fillId="0" borderId="20" xfId="0" applyFont="1" applyFill="1" applyBorder="1"/>
    <xf numFmtId="0" fontId="2" fillId="0" borderId="12" xfId="0" applyFont="1" applyFill="1" applyBorder="1"/>
    <xf numFmtId="0" fontId="7" fillId="0" borderId="19" xfId="0" applyFont="1" applyBorder="1" applyAlignment="1">
      <alignment horizontal="center"/>
    </xf>
    <xf numFmtId="164" fontId="7" fillId="0" borderId="19" xfId="0" applyNumberFormat="1" applyFont="1" applyBorder="1"/>
    <xf numFmtId="164" fontId="7" fillId="0" borderId="20" xfId="0" applyNumberFormat="1" applyFont="1" applyBorder="1"/>
    <xf numFmtId="0" fontId="7" fillId="0" borderId="11" xfId="0" applyFont="1" applyBorder="1" applyAlignment="1">
      <alignment horizontal="center"/>
    </xf>
    <xf numFmtId="164" fontId="7" fillId="0" borderId="11" xfId="0" applyNumberFormat="1" applyFont="1" applyBorder="1"/>
    <xf numFmtId="164" fontId="7" fillId="0" borderId="12" xfId="0" applyNumberFormat="1" applyFont="1" applyBorder="1"/>
    <xf numFmtId="164" fontId="4" fillId="0" borderId="11" xfId="0" applyNumberFormat="1" applyFont="1" applyBorder="1"/>
    <xf numFmtId="164" fontId="4" fillId="0" borderId="12" xfId="0" applyNumberFormat="1" applyFont="1" applyBorder="1"/>
    <xf numFmtId="164" fontId="4" fillId="0" borderId="16" xfId="0" applyNumberFormat="1" applyFont="1" applyBorder="1"/>
    <xf numFmtId="0" fontId="4" fillId="0" borderId="5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2" borderId="27" xfId="0" applyFont="1" applyFill="1" applyBorder="1" applyAlignment="1">
      <alignment horizontal="center"/>
    </xf>
    <xf numFmtId="165" fontId="4" fillId="2" borderId="27" xfId="0" applyNumberFormat="1" applyFont="1" applyFill="1" applyBorder="1" applyAlignment="1">
      <alignment horizontal="center"/>
    </xf>
    <xf numFmtId="14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3" fontId="4" fillId="0" borderId="0" xfId="0" applyNumberFormat="1" applyFont="1" applyAlignment="1">
      <alignment horizontal="right"/>
    </xf>
    <xf numFmtId="0" fontId="12" fillId="8" borderId="6" xfId="0" applyFont="1" applyFill="1" applyBorder="1" applyAlignment="1">
      <alignment horizontal="right"/>
    </xf>
    <xf numFmtId="3" fontId="12" fillId="8" borderId="6" xfId="0" applyNumberFormat="1" applyFont="1" applyFill="1" applyBorder="1" applyAlignment="1">
      <alignment horizontal="center"/>
    </xf>
    <xf numFmtId="14" fontId="12" fillId="8" borderId="6" xfId="0" applyNumberFormat="1" applyFont="1" applyFill="1" applyBorder="1" applyAlignment="1">
      <alignment horizontal="center"/>
    </xf>
    <xf numFmtId="14" fontId="12" fillId="8" borderId="7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4" borderId="14" xfId="0" applyFont="1" applyFill="1" applyBorder="1"/>
    <xf numFmtId="3" fontId="2" fillId="4" borderId="38" xfId="0" applyNumberFormat="1" applyFont="1" applyFill="1" applyBorder="1"/>
    <xf numFmtId="14" fontId="7" fillId="4" borderId="13" xfId="0" applyNumberFormat="1" applyFont="1" applyFill="1" applyBorder="1" applyAlignment="1">
      <alignment horizontal="center"/>
    </xf>
    <xf numFmtId="3" fontId="7" fillId="4" borderId="46" xfId="0" applyNumberFormat="1" applyFont="1" applyFill="1" applyBorder="1" applyAlignment="1">
      <alignment horizontal="right"/>
    </xf>
    <xf numFmtId="3" fontId="7" fillId="4" borderId="12" xfId="0" applyNumberFormat="1" applyFont="1" applyFill="1" applyBorder="1" applyAlignment="1">
      <alignment horizontal="right"/>
    </xf>
    <xf numFmtId="3" fontId="2" fillId="4" borderId="16" xfId="0" applyNumberFormat="1" applyFont="1" applyFill="1" applyBorder="1"/>
    <xf numFmtId="0" fontId="2" fillId="4" borderId="14" xfId="0" applyFont="1" applyFill="1" applyBorder="1" applyAlignment="1">
      <alignment horizontal="center"/>
    </xf>
    <xf numFmtId="0" fontId="2" fillId="4" borderId="16" xfId="0" applyFont="1" applyFill="1" applyBorder="1" applyAlignment="1">
      <alignment horizontal="center"/>
    </xf>
    <xf numFmtId="3" fontId="6" fillId="9" borderId="5" xfId="0" applyNumberFormat="1" applyFont="1" applyFill="1" applyBorder="1" applyAlignment="1">
      <alignment horizontal="right"/>
    </xf>
    <xf numFmtId="14" fontId="2" fillId="9" borderId="5" xfId="0" applyNumberFormat="1" applyFont="1" applyFill="1" applyBorder="1" applyAlignment="1">
      <alignment horizontal="right"/>
    </xf>
    <xf numFmtId="14" fontId="2" fillId="9" borderId="7" xfId="0" applyNumberFormat="1" applyFont="1" applyFill="1" applyBorder="1" applyAlignment="1">
      <alignment horizontal="right"/>
    </xf>
    <xf numFmtId="0" fontId="2" fillId="0" borderId="0" xfId="0" applyFont="1" applyFill="1" applyBorder="1"/>
    <xf numFmtId="3" fontId="2" fillId="0" borderId="0" xfId="0" applyNumberFormat="1" applyFont="1" applyFill="1" applyBorder="1"/>
    <xf numFmtId="0" fontId="2" fillId="0" borderId="0" xfId="0" applyFont="1" applyFill="1" applyBorder="1" applyAlignment="1">
      <alignment horizontal="right"/>
    </xf>
    <xf numFmtId="3" fontId="21" fillId="0" borderId="44" xfId="0" applyNumberFormat="1" applyFont="1" applyFill="1" applyBorder="1" applyAlignment="1">
      <alignment horizontal="right"/>
    </xf>
    <xf numFmtId="0" fontId="21" fillId="0" borderId="31" xfId="0" applyFont="1" applyFill="1" applyBorder="1"/>
    <xf numFmtId="0" fontId="21" fillId="0" borderId="0" xfId="0" applyFont="1" applyFill="1" applyBorder="1"/>
    <xf numFmtId="3" fontId="2" fillId="0" borderId="0" xfId="0" applyNumberFormat="1" applyFont="1" applyAlignment="1">
      <alignment horizontal="right"/>
    </xf>
    <xf numFmtId="0" fontId="2" fillId="0" borderId="0" xfId="0" applyFont="1" applyFill="1" applyAlignment="1">
      <alignment horizontal="right"/>
    </xf>
    <xf numFmtId="0" fontId="2" fillId="4" borderId="18" xfId="0" applyFont="1" applyFill="1" applyBorder="1"/>
    <xf numFmtId="3" fontId="2" fillId="4" borderId="20" xfId="0" applyNumberFormat="1" applyFont="1" applyFill="1" applyBorder="1"/>
    <xf numFmtId="14" fontId="2" fillId="4" borderId="18" xfId="0" applyNumberFormat="1" applyFont="1" applyFill="1" applyBorder="1" applyAlignment="1">
      <alignment horizontal="right"/>
    </xf>
    <xf numFmtId="3" fontId="7" fillId="4" borderId="19" xfId="0" applyNumberFormat="1" applyFont="1" applyFill="1" applyBorder="1" applyAlignment="1">
      <alignment horizontal="right"/>
    </xf>
    <xf numFmtId="3" fontId="7" fillId="4" borderId="18" xfId="0" applyNumberFormat="1" applyFont="1" applyFill="1" applyBorder="1" applyAlignment="1">
      <alignment horizontal="right"/>
    </xf>
    <xf numFmtId="0" fontId="2" fillId="4" borderId="20" xfId="0" applyFont="1" applyFill="1" applyBorder="1"/>
    <xf numFmtId="14" fontId="2" fillId="4" borderId="14" xfId="0" applyNumberFormat="1" applyFont="1" applyFill="1" applyBorder="1" applyAlignment="1">
      <alignment horizontal="right"/>
    </xf>
    <xf numFmtId="3" fontId="7" fillId="4" borderId="15" xfId="0" applyNumberFormat="1" applyFont="1" applyFill="1" applyBorder="1" applyAlignment="1">
      <alignment horizontal="right"/>
    </xf>
    <xf numFmtId="3" fontId="7" fillId="4" borderId="14" xfId="0" applyNumberFormat="1" applyFont="1" applyFill="1" applyBorder="1" applyAlignment="1">
      <alignment horizontal="right"/>
    </xf>
    <xf numFmtId="3" fontId="7" fillId="4" borderId="16" xfId="0" applyNumberFormat="1" applyFont="1" applyFill="1" applyBorder="1" applyAlignment="1">
      <alignment horizontal="right"/>
    </xf>
    <xf numFmtId="3" fontId="6" fillId="9" borderId="44" xfId="0" applyNumberFormat="1" applyFont="1" applyFill="1" applyBorder="1" applyAlignment="1">
      <alignment horizontal="right"/>
    </xf>
    <xf numFmtId="3" fontId="6" fillId="9" borderId="40" xfId="0" applyNumberFormat="1" applyFont="1" applyFill="1" applyBorder="1" applyAlignment="1">
      <alignment horizontal="right"/>
    </xf>
    <xf numFmtId="3" fontId="4" fillId="9" borderId="5" xfId="0" applyNumberFormat="1" applyFont="1" applyFill="1" applyBorder="1" applyAlignment="1">
      <alignment horizontal="right"/>
    </xf>
    <xf numFmtId="14" fontId="2" fillId="9" borderId="6" xfId="0" applyNumberFormat="1" applyFont="1" applyFill="1" applyBorder="1" applyAlignment="1">
      <alignment horizontal="right"/>
    </xf>
    <xf numFmtId="3" fontId="2" fillId="0" borderId="45" xfId="0" applyNumberFormat="1" applyFont="1" applyFill="1" applyBorder="1"/>
    <xf numFmtId="14" fontId="7" fillId="0" borderId="18" xfId="0" applyNumberFormat="1" applyFont="1" applyFill="1" applyBorder="1" applyAlignment="1">
      <alignment horizontal="right"/>
    </xf>
    <xf numFmtId="3" fontId="7" fillId="0" borderId="19" xfId="0" applyNumberFormat="1" applyFont="1" applyFill="1" applyBorder="1" applyAlignment="1">
      <alignment horizontal="right"/>
    </xf>
    <xf numFmtId="3" fontId="2" fillId="0" borderId="20" xfId="0" applyNumberFormat="1" applyFont="1" applyFill="1" applyBorder="1"/>
    <xf numFmtId="164" fontId="2" fillId="0" borderId="0" xfId="0" applyNumberFormat="1" applyFont="1" applyAlignment="1">
      <alignment horizontal="right"/>
    </xf>
    <xf numFmtId="0" fontId="2" fillId="0" borderId="0" xfId="0" applyNumberFormat="1" applyFont="1"/>
    <xf numFmtId="3" fontId="2" fillId="0" borderId="36" xfId="0" applyNumberFormat="1" applyFont="1" applyFill="1" applyBorder="1"/>
    <xf numFmtId="14" fontId="7" fillId="0" borderId="10" xfId="0" applyNumberFormat="1" applyFont="1" applyFill="1" applyBorder="1" applyAlignment="1">
      <alignment horizontal="right"/>
    </xf>
    <xf numFmtId="3" fontId="7" fillId="0" borderId="11" xfId="0" applyNumberFormat="1" applyFont="1" applyFill="1" applyBorder="1" applyAlignment="1">
      <alignment horizontal="right"/>
    </xf>
    <xf numFmtId="3" fontId="2" fillId="0" borderId="12" xfId="0" applyNumberFormat="1" applyFont="1" applyFill="1" applyBorder="1"/>
    <xf numFmtId="14" fontId="6" fillId="0" borderId="0" xfId="0" applyNumberFormat="1" applyFont="1"/>
    <xf numFmtId="0" fontId="6" fillId="0" borderId="0" xfId="0" applyNumberFormat="1" applyFont="1"/>
    <xf numFmtId="164" fontId="6" fillId="0" borderId="0" xfId="0" applyNumberFormat="1" applyFont="1"/>
    <xf numFmtId="3" fontId="2" fillId="0" borderId="50" xfId="0" applyNumberFormat="1" applyFont="1" applyFill="1" applyBorder="1"/>
    <xf numFmtId="3" fontId="7" fillId="0" borderId="25" xfId="0" applyNumberFormat="1" applyFont="1" applyFill="1" applyBorder="1" applyAlignment="1">
      <alignment horizontal="right"/>
    </xf>
    <xf numFmtId="14" fontId="7" fillId="0" borderId="24" xfId="0" applyNumberFormat="1" applyFont="1" applyFill="1" applyBorder="1" applyAlignment="1">
      <alignment horizontal="right"/>
    </xf>
    <xf numFmtId="3" fontId="2" fillId="0" borderId="26" xfId="0" applyNumberFormat="1" applyFont="1" applyFill="1" applyBorder="1"/>
    <xf numFmtId="3" fontId="6" fillId="9" borderId="6" xfId="0" applyNumberFormat="1" applyFont="1" applyFill="1" applyBorder="1" applyAlignment="1">
      <alignment horizontal="right"/>
    </xf>
    <xf numFmtId="3" fontId="4" fillId="9" borderId="7" xfId="0" applyNumberFormat="1" applyFont="1" applyFill="1" applyBorder="1" applyAlignment="1">
      <alignment horizontal="right"/>
    </xf>
    <xf numFmtId="14" fontId="2" fillId="9" borderId="44" xfId="0" applyNumberFormat="1" applyFont="1" applyFill="1" applyBorder="1" applyAlignment="1">
      <alignment horizontal="right"/>
    </xf>
    <xf numFmtId="14" fontId="7" fillId="0" borderId="11" xfId="0" applyNumberFormat="1" applyFont="1" applyFill="1" applyBorder="1"/>
    <xf numFmtId="4" fontId="7" fillId="0" borderId="7" xfId="0" applyNumberFormat="1" applyFont="1" applyFill="1" applyBorder="1"/>
    <xf numFmtId="0" fontId="18" fillId="3" borderId="9" xfId="0" applyFont="1" applyFill="1" applyBorder="1"/>
    <xf numFmtId="0" fontId="18" fillId="0" borderId="0" xfId="0" applyFont="1"/>
    <xf numFmtId="3" fontId="18" fillId="0" borderId="0" xfId="0" applyNumberFormat="1" applyFont="1"/>
    <xf numFmtId="167" fontId="7" fillId="0" borderId="0" xfId="0" applyNumberFormat="1" applyFont="1" applyFill="1"/>
    <xf numFmtId="172" fontId="7" fillId="0" borderId="0" xfId="0" applyNumberFormat="1" applyFont="1" applyFill="1"/>
    <xf numFmtId="0" fontId="7" fillId="0" borderId="0" xfId="0" applyFont="1" applyFill="1" applyAlignment="1">
      <alignment horizontal="center"/>
    </xf>
    <xf numFmtId="0" fontId="4" fillId="0" borderId="0" xfId="0" applyFont="1" applyFill="1" applyAlignment="1">
      <alignment vertical="center" wrapText="1"/>
    </xf>
    <xf numFmtId="0" fontId="7" fillId="0" borderId="21" xfId="0" applyFont="1" applyFill="1" applyBorder="1"/>
    <xf numFmtId="0" fontId="7" fillId="0" borderId="21" xfId="0" applyFont="1" applyFill="1" applyBorder="1" applyAlignment="1">
      <alignment horizontal="center"/>
    </xf>
    <xf numFmtId="4" fontId="7" fillId="0" borderId="21" xfId="0" applyNumberFormat="1" applyFont="1" applyFill="1" applyBorder="1"/>
    <xf numFmtId="164" fontId="7" fillId="0" borderId="21" xfId="0" applyNumberFormat="1" applyFont="1" applyFill="1" applyBorder="1"/>
    <xf numFmtId="168" fontId="7" fillId="0" borderId="34" xfId="0" applyNumberFormat="1" applyFont="1" applyFill="1" applyBorder="1" applyAlignment="1">
      <alignment horizontal="right"/>
    </xf>
    <xf numFmtId="168" fontId="7" fillId="0" borderId="31" xfId="0" applyNumberFormat="1" applyFont="1" applyFill="1" applyBorder="1" applyAlignment="1">
      <alignment horizontal="center" vertical="center"/>
    </xf>
    <xf numFmtId="164" fontId="7" fillId="0" borderId="53" xfId="0" applyNumberFormat="1" applyFont="1" applyFill="1" applyBorder="1" applyAlignment="1">
      <alignment vertical="center"/>
    </xf>
    <xf numFmtId="168" fontId="7" fillId="0" borderId="34" xfId="0" applyNumberFormat="1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vertical="center"/>
    </xf>
    <xf numFmtId="0" fontId="7" fillId="0" borderId="21" xfId="0" applyFont="1" applyFill="1" applyBorder="1" applyAlignment="1">
      <alignment horizontal="center" vertical="center"/>
    </xf>
    <xf numFmtId="4" fontId="7" fillId="0" borderId="21" xfId="0" applyNumberFormat="1" applyFont="1" applyFill="1" applyBorder="1" applyAlignment="1">
      <alignment vertical="center"/>
    </xf>
    <xf numFmtId="164" fontId="7" fillId="0" borderId="21" xfId="0" applyNumberFormat="1" applyFont="1" applyFill="1" applyBorder="1" applyAlignment="1">
      <alignment vertical="center"/>
    </xf>
    <xf numFmtId="164" fontId="7" fillId="0" borderId="33" xfId="0" applyNumberFormat="1" applyFont="1" applyFill="1" applyBorder="1" applyAlignment="1">
      <alignment vertical="center"/>
    </xf>
    <xf numFmtId="0" fontId="4" fillId="0" borderId="30" xfId="0" applyFont="1" applyFill="1" applyBorder="1" applyAlignment="1">
      <alignment horizontal="center"/>
    </xf>
    <xf numFmtId="4" fontId="4" fillId="0" borderId="30" xfId="0" applyNumberFormat="1" applyFont="1" applyFill="1" applyBorder="1"/>
    <xf numFmtId="167" fontId="7" fillId="0" borderId="0" xfId="0" applyNumberFormat="1" applyFont="1" applyFill="1" applyBorder="1"/>
    <xf numFmtId="4" fontId="6" fillId="4" borderId="10" xfId="0" applyNumberFormat="1" applyFont="1" applyFill="1" applyBorder="1"/>
    <xf numFmtId="0" fontId="3" fillId="0" borderId="18" xfId="0" applyFont="1" applyFill="1" applyBorder="1"/>
    <xf numFmtId="0" fontId="3" fillId="0" borderId="19" xfId="0" applyFont="1" applyFill="1" applyBorder="1"/>
    <xf numFmtId="4" fontId="3" fillId="0" borderId="19" xfId="0" applyNumberFormat="1" applyFont="1" applyFill="1" applyBorder="1"/>
    <xf numFmtId="164" fontId="3" fillId="0" borderId="19" xfId="0" applyNumberFormat="1" applyFont="1" applyFill="1" applyBorder="1"/>
    <xf numFmtId="14" fontId="3" fillId="0" borderId="19" xfId="0" applyNumberFormat="1" applyFont="1" applyFill="1" applyBorder="1"/>
    <xf numFmtId="14" fontId="3" fillId="0" borderId="20" xfId="0" applyNumberFormat="1" applyFont="1" applyFill="1" applyBorder="1" applyAlignment="1">
      <alignment horizontal="right"/>
    </xf>
    <xf numFmtId="0" fontId="3" fillId="0" borderId="7" xfId="0" applyFont="1" applyFill="1" applyBorder="1"/>
    <xf numFmtId="3" fontId="2" fillId="4" borderId="36" xfId="0" applyNumberFormat="1" applyFont="1" applyFill="1" applyBorder="1"/>
    <xf numFmtId="14" fontId="7" fillId="4" borderId="10" xfId="0" applyNumberFormat="1" applyFont="1" applyFill="1" applyBorder="1" applyAlignment="1">
      <alignment horizontal="right"/>
    </xf>
    <xf numFmtId="3" fontId="7" fillId="4" borderId="11" xfId="0" applyNumberFormat="1" applyFont="1" applyFill="1" applyBorder="1" applyAlignment="1">
      <alignment horizontal="right"/>
    </xf>
    <xf numFmtId="3" fontId="2" fillId="4" borderId="12" xfId="0" applyNumberFormat="1" applyFont="1" applyFill="1" applyBorder="1"/>
    <xf numFmtId="0" fontId="2" fillId="4" borderId="46" xfId="0" applyFont="1" applyFill="1" applyBorder="1"/>
    <xf numFmtId="164" fontId="6" fillId="0" borderId="0" xfId="0" applyNumberFormat="1" applyFont="1" applyFill="1"/>
    <xf numFmtId="0" fontId="7" fillId="0" borderId="0" xfId="0" applyFont="1" applyAlignment="1">
      <alignment horizontal="center"/>
    </xf>
    <xf numFmtId="3" fontId="2" fillId="4" borderId="45" xfId="0" applyNumberFormat="1" applyFont="1" applyFill="1" applyBorder="1"/>
    <xf numFmtId="14" fontId="7" fillId="4" borderId="18" xfId="0" applyNumberFormat="1" applyFont="1" applyFill="1" applyBorder="1" applyAlignment="1">
      <alignment horizontal="right"/>
    </xf>
    <xf numFmtId="0" fontId="2" fillId="4" borderId="43" xfId="0" applyFont="1" applyFill="1" applyBorder="1"/>
    <xf numFmtId="0" fontId="3" fillId="4" borderId="10" xfId="0" applyFont="1" applyFill="1" applyBorder="1"/>
    <xf numFmtId="3" fontId="3" fillId="4" borderId="36" xfId="0" applyNumberFormat="1" applyFont="1" applyFill="1" applyBorder="1"/>
    <xf numFmtId="14" fontId="3" fillId="4" borderId="10" xfId="0" applyNumberFormat="1" applyFont="1" applyFill="1" applyBorder="1" applyAlignment="1">
      <alignment horizontal="right"/>
    </xf>
    <xf numFmtId="3" fontId="3" fillId="4" borderId="11" xfId="0" applyNumberFormat="1" applyFont="1" applyFill="1" applyBorder="1" applyAlignment="1">
      <alignment horizontal="right"/>
    </xf>
    <xf numFmtId="3" fontId="3" fillId="4" borderId="12" xfId="0" applyNumberFormat="1" applyFont="1" applyFill="1" applyBorder="1"/>
    <xf numFmtId="0" fontId="3" fillId="4" borderId="46" xfId="0" applyFont="1" applyFill="1" applyBorder="1"/>
    <xf numFmtId="0" fontId="3" fillId="4" borderId="12" xfId="0" applyFont="1" applyFill="1" applyBorder="1"/>
    <xf numFmtId="3" fontId="2" fillId="4" borderId="50" xfId="0" applyNumberFormat="1" applyFont="1" applyFill="1" applyBorder="1"/>
    <xf numFmtId="3" fontId="7" fillId="4" borderId="25" xfId="0" applyNumberFormat="1" applyFont="1" applyFill="1" applyBorder="1" applyAlignment="1">
      <alignment horizontal="right"/>
    </xf>
    <xf numFmtId="0" fontId="2" fillId="4" borderId="51" xfId="0" applyFont="1" applyFill="1" applyBorder="1"/>
    <xf numFmtId="14" fontId="7" fillId="4" borderId="24" xfId="0" applyNumberFormat="1" applyFont="1" applyFill="1" applyBorder="1" applyAlignment="1">
      <alignment horizontal="right"/>
    </xf>
    <xf numFmtId="3" fontId="2" fillId="4" borderId="26" xfId="0" applyNumberFormat="1" applyFont="1" applyFill="1" applyBorder="1"/>
    <xf numFmtId="3" fontId="7" fillId="4" borderId="45" xfId="0" applyNumberFormat="1" applyFont="1" applyFill="1" applyBorder="1"/>
    <xf numFmtId="3" fontId="7" fillId="4" borderId="20" xfId="0" applyNumberFormat="1" applyFont="1" applyFill="1" applyBorder="1"/>
    <xf numFmtId="0" fontId="7" fillId="4" borderId="43" xfId="0" applyFont="1" applyFill="1" applyBorder="1"/>
    <xf numFmtId="0" fontId="7" fillId="4" borderId="20" xfId="0" applyFont="1" applyFill="1" applyBorder="1"/>
    <xf numFmtId="3" fontId="7" fillId="4" borderId="36" xfId="0" applyNumberFormat="1" applyFont="1" applyFill="1" applyBorder="1"/>
    <xf numFmtId="3" fontId="7" fillId="4" borderId="12" xfId="0" applyNumberFormat="1" applyFont="1" applyFill="1" applyBorder="1"/>
    <xf numFmtId="0" fontId="7" fillId="4" borderId="46" xfId="0" applyFont="1" applyFill="1" applyBorder="1"/>
    <xf numFmtId="3" fontId="7" fillId="4" borderId="50" xfId="0" applyNumberFormat="1" applyFont="1" applyFill="1" applyBorder="1"/>
    <xf numFmtId="0" fontId="7" fillId="4" borderId="51" xfId="0" applyFont="1" applyFill="1" applyBorder="1"/>
    <xf numFmtId="3" fontId="7" fillId="4" borderId="26" xfId="0" applyNumberFormat="1" applyFont="1" applyFill="1" applyBorder="1"/>
    <xf numFmtId="0" fontId="4" fillId="0" borderId="47" xfId="0" applyFont="1" applyFill="1" applyBorder="1" applyAlignment="1">
      <alignment horizontal="center"/>
    </xf>
    <xf numFmtId="0" fontId="4" fillId="0" borderId="48" xfId="0" applyFont="1" applyFill="1" applyBorder="1" applyAlignment="1">
      <alignment horizontal="center"/>
    </xf>
    <xf numFmtId="0" fontId="4" fillId="2" borderId="27" xfId="0" applyFont="1" applyFill="1" applyBorder="1" applyAlignment="1">
      <alignment horizontal="center"/>
    </xf>
    <xf numFmtId="165" fontId="4" fillId="2" borderId="27" xfId="0" applyNumberFormat="1" applyFont="1" applyFill="1" applyBorder="1" applyAlignment="1">
      <alignment horizontal="center"/>
    </xf>
    <xf numFmtId="4" fontId="2" fillId="0" borderId="0" xfId="0" applyNumberFormat="1" applyFont="1" applyFill="1" applyBorder="1"/>
    <xf numFmtId="11" fontId="6" fillId="0" borderId="27" xfId="0" applyNumberFormat="1" applyFont="1" applyBorder="1" applyAlignment="1">
      <alignment horizontal="center"/>
    </xf>
    <xf numFmtId="0" fontId="6" fillId="0" borderId="58" xfId="0" applyFont="1" applyBorder="1"/>
    <xf numFmtId="4" fontId="6" fillId="0" borderId="42" xfId="0" applyNumberFormat="1" applyFont="1" applyBorder="1"/>
    <xf numFmtId="0" fontId="6" fillId="0" borderId="56" xfId="0" applyFont="1" applyBorder="1"/>
    <xf numFmtId="4" fontId="6" fillId="0" borderId="9" xfId="0" applyNumberFormat="1" applyFont="1" applyBorder="1"/>
    <xf numFmtId="0" fontId="6" fillId="0" borderId="59" xfId="0" applyFont="1" applyBorder="1"/>
    <xf numFmtId="4" fontId="6" fillId="0" borderId="23" xfId="0" applyNumberFormat="1" applyFont="1" applyBorder="1"/>
    <xf numFmtId="4" fontId="6" fillId="0" borderId="27" xfId="0" applyNumberFormat="1" applyFont="1" applyBorder="1"/>
    <xf numFmtId="0" fontId="23" fillId="0" borderId="0" xfId="0" applyFont="1"/>
    <xf numFmtId="49" fontId="0" fillId="0" borderId="0" xfId="0" applyNumberFormat="1"/>
    <xf numFmtId="49" fontId="22" fillId="0" borderId="0" xfId="0" applyNumberFormat="1" applyFont="1"/>
    <xf numFmtId="0" fontId="25" fillId="6" borderId="0" xfId="6" applyFont="1" applyFill="1" applyBorder="1" applyAlignment="1">
      <alignment horizontal="center"/>
    </xf>
    <xf numFmtId="49" fontId="25" fillId="6" borderId="0" xfId="6" applyNumberFormat="1" applyFont="1" applyFill="1" applyBorder="1" applyAlignment="1">
      <alignment horizontal="center"/>
    </xf>
    <xf numFmtId="14" fontId="25" fillId="6" borderId="0" xfId="6" applyNumberFormat="1" applyFont="1" applyFill="1" applyBorder="1" applyAlignment="1">
      <alignment horizontal="center"/>
    </xf>
    <xf numFmtId="173" fontId="25" fillId="6" borderId="0" xfId="6" applyNumberFormat="1" applyFont="1" applyFill="1" applyBorder="1" applyAlignment="1">
      <alignment horizontal="right"/>
    </xf>
    <xf numFmtId="164" fontId="25" fillId="6" borderId="0" xfId="6" applyNumberFormat="1" applyFont="1" applyFill="1" applyBorder="1" applyAlignment="1">
      <alignment horizontal="center"/>
    </xf>
    <xf numFmtId="49" fontId="26" fillId="6" borderId="0" xfId="6" applyNumberFormat="1" applyFont="1" applyFill="1" applyBorder="1" applyAlignment="1">
      <alignment horizontal="center"/>
    </xf>
    <xf numFmtId="0" fontId="27" fillId="0" borderId="0" xfId="0" applyFont="1" applyBorder="1"/>
    <xf numFmtId="0" fontId="0" fillId="0" borderId="0" xfId="0" applyBorder="1"/>
    <xf numFmtId="49" fontId="0" fillId="0" borderId="0" xfId="0" applyNumberFormat="1" applyBorder="1"/>
    <xf numFmtId="14" fontId="0" fillId="0" borderId="0" xfId="0" applyNumberFormat="1" applyBorder="1"/>
    <xf numFmtId="164" fontId="9" fillId="0" borderId="0" xfId="6" applyNumberFormat="1" applyFont="1" applyFill="1" applyBorder="1" applyAlignment="1">
      <alignment horizontal="right"/>
    </xf>
    <xf numFmtId="0" fontId="28" fillId="4" borderId="0" xfId="6" applyFont="1" applyFill="1" applyBorder="1" applyAlignment="1">
      <alignment horizontal="center"/>
    </xf>
    <xf numFmtId="164" fontId="0" fillId="0" borderId="0" xfId="0" applyNumberFormat="1" applyBorder="1"/>
    <xf numFmtId="0" fontId="29" fillId="0" borderId="0" xfId="0" applyFont="1" applyBorder="1"/>
    <xf numFmtId="0" fontId="29" fillId="0" borderId="0" xfId="0" applyFont="1" applyFill="1" applyBorder="1"/>
    <xf numFmtId="0" fontId="0" fillId="0" borderId="0" xfId="0" applyFill="1" applyBorder="1"/>
    <xf numFmtId="14" fontId="0" fillId="10" borderId="0" xfId="0" applyNumberFormat="1" applyFill="1" applyBorder="1"/>
    <xf numFmtId="164" fontId="9" fillId="10" borderId="0" xfId="6" applyNumberFormat="1" applyFont="1" applyFill="1" applyBorder="1" applyAlignment="1">
      <alignment horizontal="right"/>
    </xf>
    <xf numFmtId="164" fontId="25" fillId="6" borderId="0" xfId="6" applyNumberFormat="1" applyFont="1" applyFill="1" applyBorder="1" applyAlignment="1">
      <alignment horizontal="right"/>
    </xf>
    <xf numFmtId="0" fontId="24" fillId="6" borderId="0" xfId="0" applyFont="1" applyFill="1"/>
    <xf numFmtId="0" fontId="0" fillId="4" borderId="0" xfId="0" applyFill="1"/>
    <xf numFmtId="0" fontId="29" fillId="0" borderId="0" xfId="0" applyFont="1"/>
    <xf numFmtId="0" fontId="24" fillId="0" borderId="0" xfId="0" applyFont="1"/>
    <xf numFmtId="0" fontId="30" fillId="0" borderId="27" xfId="0" applyFont="1" applyBorder="1" applyAlignment="1">
      <alignment horizontal="center"/>
    </xf>
    <xf numFmtId="0" fontId="30" fillId="0" borderId="41" xfId="0" applyFont="1" applyBorder="1" applyAlignment="1">
      <alignment horizontal="center"/>
    </xf>
    <xf numFmtId="0" fontId="30" fillId="11" borderId="41" xfId="0" applyFont="1" applyFill="1" applyBorder="1" applyAlignment="1">
      <alignment horizontal="center"/>
    </xf>
    <xf numFmtId="0" fontId="32" fillId="0" borderId="3" xfId="0" applyFont="1" applyBorder="1"/>
    <xf numFmtId="0" fontId="27" fillId="12" borderId="32" xfId="0" applyFont="1" applyFill="1" applyBorder="1"/>
    <xf numFmtId="4" fontId="27" fillId="0" borderId="33" xfId="0" applyNumberFormat="1" applyFont="1" applyBorder="1" applyAlignment="1">
      <alignment horizontal="right"/>
    </xf>
    <xf numFmtId="0" fontId="27" fillId="0" borderId="33" xfId="0" applyFont="1" applyBorder="1"/>
    <xf numFmtId="0" fontId="27" fillId="11" borderId="33" xfId="0" applyFont="1" applyFill="1" applyBorder="1"/>
    <xf numFmtId="0" fontId="33" fillId="0" borderId="21" xfId="0" applyFont="1" applyBorder="1"/>
    <xf numFmtId="4" fontId="27" fillId="0" borderId="0" xfId="0" applyNumberFormat="1" applyFont="1" applyAlignment="1">
      <alignment horizontal="right"/>
    </xf>
    <xf numFmtId="0" fontId="27" fillId="0" borderId="32" xfId="0" applyFont="1" applyBorder="1"/>
    <xf numFmtId="0" fontId="27" fillId="11" borderId="32" xfId="0" applyFont="1" applyFill="1" applyBorder="1"/>
    <xf numFmtId="4" fontId="27" fillId="11" borderId="33" xfId="0" applyNumberFormat="1" applyFont="1" applyFill="1" applyBorder="1" applyAlignment="1">
      <alignment horizontal="right"/>
    </xf>
    <xf numFmtId="0" fontId="30" fillId="0" borderId="21" xfId="0" applyFont="1" applyBorder="1"/>
    <xf numFmtId="0" fontId="27" fillId="0" borderId="41" xfId="0" applyFont="1" applyBorder="1"/>
    <xf numFmtId="4" fontId="27" fillId="0" borderId="41" xfId="0" applyNumberFormat="1" applyFont="1" applyBorder="1" applyAlignment="1">
      <alignment horizontal="right"/>
    </xf>
    <xf numFmtId="0" fontId="32" fillId="0" borderId="21" xfId="0" applyFont="1" applyBorder="1"/>
    <xf numFmtId="0" fontId="27" fillId="12" borderId="33" xfId="0" applyFont="1" applyFill="1" applyBorder="1"/>
    <xf numFmtId="4" fontId="27" fillId="0" borderId="32" xfId="0" applyNumberFormat="1" applyFont="1" applyBorder="1" applyAlignment="1">
      <alignment horizontal="right"/>
    </xf>
    <xf numFmtId="4" fontId="34" fillId="0" borderId="32" xfId="0" applyNumberFormat="1" applyFont="1" applyBorder="1" applyAlignment="1">
      <alignment horizontal="right"/>
    </xf>
    <xf numFmtId="0" fontId="30" fillId="0" borderId="0" xfId="0" applyFont="1"/>
    <xf numFmtId="0" fontId="27" fillId="0" borderId="4" xfId="0" applyFont="1" applyBorder="1"/>
    <xf numFmtId="0" fontId="27" fillId="0" borderId="53" xfId="0" applyFont="1" applyBorder="1"/>
    <xf numFmtId="4" fontId="27" fillId="11" borderId="53" xfId="0" applyNumberFormat="1" applyFont="1" applyFill="1" applyBorder="1" applyAlignment="1">
      <alignment horizontal="right"/>
    </xf>
    <xf numFmtId="0" fontId="27" fillId="12" borderId="53" xfId="0" applyFont="1" applyFill="1" applyBorder="1"/>
    <xf numFmtId="0" fontId="27" fillId="11" borderId="53" xfId="0" applyFont="1" applyFill="1" applyBorder="1"/>
    <xf numFmtId="0" fontId="31" fillId="0" borderId="32" xfId="0" applyFont="1" applyBorder="1" applyAlignment="1">
      <alignment horizontal="center"/>
    </xf>
    <xf numFmtId="0" fontId="30" fillId="0" borderId="41" xfId="0" applyFont="1" applyBorder="1"/>
    <xf numFmtId="4" fontId="27" fillId="11" borderId="41" xfId="0" applyNumberFormat="1" applyFont="1" applyFill="1" applyBorder="1" applyAlignment="1">
      <alignment horizontal="right"/>
    </xf>
    <xf numFmtId="4" fontId="5" fillId="0" borderId="19" xfId="0" applyNumberFormat="1" applyFont="1" applyFill="1" applyBorder="1"/>
    <xf numFmtId="0" fontId="3" fillId="0" borderId="14" xfId="0" applyFont="1" applyFill="1" applyBorder="1"/>
    <xf numFmtId="0" fontId="3" fillId="0" borderId="15" xfId="0" applyFont="1" applyFill="1" applyBorder="1"/>
    <xf numFmtId="4" fontId="5" fillId="0" borderId="15" xfId="0" applyNumberFormat="1" applyFont="1" applyFill="1" applyBorder="1"/>
    <xf numFmtId="164" fontId="3" fillId="0" borderId="15" xfId="0" applyNumberFormat="1" applyFont="1" applyFill="1" applyBorder="1"/>
    <xf numFmtId="14" fontId="3" fillId="0" borderId="15" xfId="0" applyNumberFormat="1" applyFont="1" applyFill="1" applyBorder="1"/>
    <xf numFmtId="14" fontId="3" fillId="0" borderId="16" xfId="0" applyNumberFormat="1" applyFont="1" applyFill="1" applyBorder="1" applyAlignment="1">
      <alignment horizontal="right"/>
    </xf>
    <xf numFmtId="164" fontId="23" fillId="0" borderId="7" xfId="0" applyNumberFormat="1" applyFont="1" applyBorder="1"/>
    <xf numFmtId="0" fontId="17" fillId="0" borderId="5" xfId="0" applyFont="1" applyBorder="1" applyAlignment="1">
      <alignment horizontal="center"/>
    </xf>
    <xf numFmtId="0" fontId="17" fillId="0" borderId="6" xfId="0" applyFont="1" applyBorder="1" applyAlignment="1">
      <alignment horizontal="center"/>
    </xf>
    <xf numFmtId="164" fontId="17" fillId="0" borderId="7" xfId="0" applyNumberFormat="1" applyFont="1" applyBorder="1" applyAlignment="1">
      <alignment horizontal="center"/>
    </xf>
    <xf numFmtId="0" fontId="17" fillId="0" borderId="0" xfId="0" applyFont="1" applyAlignment="1">
      <alignment horizontal="center"/>
    </xf>
    <xf numFmtId="0" fontId="23" fillId="0" borderId="5" xfId="0" applyFont="1" applyBorder="1" applyAlignment="1">
      <alignment horizontal="center"/>
    </xf>
    <xf numFmtId="0" fontId="23" fillId="0" borderId="6" xfId="0" applyFont="1" applyBorder="1" applyAlignment="1">
      <alignment horizontal="center"/>
    </xf>
    <xf numFmtId="164" fontId="23" fillId="0" borderId="7" xfId="0" applyNumberFormat="1" applyFont="1" applyBorder="1" applyAlignment="1">
      <alignment horizontal="center"/>
    </xf>
    <xf numFmtId="0" fontId="16" fillId="6" borderId="9" xfId="0" applyFont="1" applyFill="1" applyBorder="1"/>
    <xf numFmtId="0" fontId="11" fillId="0" borderId="9" xfId="0" applyFont="1" applyBorder="1"/>
    <xf numFmtId="3" fontId="14" fillId="3" borderId="10" xfId="0" applyNumberFormat="1" applyFont="1" applyFill="1" applyBorder="1"/>
    <xf numFmtId="3" fontId="14" fillId="3" borderId="11" xfId="0" applyNumberFormat="1" applyFont="1" applyFill="1" applyBorder="1"/>
    <xf numFmtId="3" fontId="14" fillId="3" borderId="12" xfId="0" applyNumberFormat="1" applyFont="1" applyFill="1" applyBorder="1"/>
    <xf numFmtId="0" fontId="11" fillId="0" borderId="9" xfId="0" applyFont="1" applyBorder="1" applyAlignment="1">
      <alignment horizontal="left" indent="2"/>
    </xf>
    <xf numFmtId="0" fontId="11" fillId="0" borderId="9" xfId="0" applyFont="1" applyFill="1" applyBorder="1" applyAlignment="1">
      <alignment horizontal="left" indent="2"/>
    </xf>
    <xf numFmtId="0" fontId="11" fillId="0" borderId="9" xfId="0" applyFont="1" applyFill="1" applyBorder="1"/>
    <xf numFmtId="0" fontId="18" fillId="7" borderId="9" xfId="0" applyFont="1" applyFill="1" applyBorder="1"/>
    <xf numFmtId="0" fontId="11" fillId="0" borderId="9" xfId="0" applyFont="1" applyBorder="1" applyAlignment="1">
      <alignment horizontal="left" indent="1"/>
    </xf>
    <xf numFmtId="3" fontId="10" fillId="0" borderId="10" xfId="0" applyNumberFormat="1" applyFont="1" applyBorder="1" applyAlignment="1">
      <alignment horizontal="right" indent="1"/>
    </xf>
    <xf numFmtId="0" fontId="10" fillId="0" borderId="9" xfId="0" applyFont="1" applyBorder="1" applyAlignment="1">
      <alignment horizontal="left" indent="1"/>
    </xf>
    <xf numFmtId="3" fontId="10" fillId="0" borderId="11" xfId="0" applyNumberFormat="1" applyFont="1" applyBorder="1" applyAlignment="1">
      <alignment horizontal="right" indent="1"/>
    </xf>
    <xf numFmtId="3" fontId="10" fillId="0" borderId="12" xfId="0" applyNumberFormat="1" applyFont="1" applyBorder="1" applyAlignment="1">
      <alignment horizontal="right" indent="1"/>
    </xf>
    <xf numFmtId="166" fontId="14" fillId="4" borderId="13" xfId="0" applyNumberFormat="1" applyFont="1" applyFill="1" applyBorder="1"/>
    <xf numFmtId="0" fontId="19" fillId="0" borderId="0" xfId="0" applyFont="1"/>
    <xf numFmtId="4" fontId="31" fillId="0" borderId="33" xfId="0" applyNumberFormat="1" applyFont="1" applyBorder="1" applyAlignment="1">
      <alignment horizontal="right"/>
    </xf>
    <xf numFmtId="2" fontId="7" fillId="0" borderId="0" xfId="0" applyNumberFormat="1" applyFont="1"/>
    <xf numFmtId="0" fontId="7" fillId="0" borderId="34" xfId="0" applyFont="1" applyBorder="1"/>
    <xf numFmtId="0" fontId="7" fillId="0" borderId="21" xfId="0" applyFont="1" applyBorder="1"/>
    <xf numFmtId="0" fontId="7" fillId="0" borderId="33" xfId="0" applyFont="1" applyBorder="1"/>
    <xf numFmtId="0" fontId="3" fillId="4" borderId="5" xfId="0" applyFont="1" applyFill="1" applyBorder="1"/>
    <xf numFmtId="0" fontId="3" fillId="4" borderId="6" xfId="0" applyFont="1" applyFill="1" applyBorder="1"/>
    <xf numFmtId="164" fontId="3" fillId="4" borderId="6" xfId="0" applyNumberFormat="1" applyFont="1" applyFill="1" applyBorder="1"/>
    <xf numFmtId="14" fontId="3" fillId="4" borderId="6" xfId="0" applyNumberFormat="1" applyFont="1" applyFill="1" applyBorder="1"/>
    <xf numFmtId="14" fontId="2" fillId="4" borderId="10" xfId="0" applyNumberFormat="1" applyFont="1" applyFill="1" applyBorder="1" applyAlignment="1">
      <alignment horizontal="right"/>
    </xf>
    <xf numFmtId="0" fontId="2" fillId="4" borderId="16" xfId="0" applyFont="1" applyFill="1" applyBorder="1"/>
    <xf numFmtId="0" fontId="25" fillId="6" borderId="0" xfId="6" applyFont="1" applyFill="1" applyBorder="1" applyAlignment="1">
      <alignment horizontal="center"/>
    </xf>
    <xf numFmtId="164" fontId="4" fillId="0" borderId="0" xfId="0" applyNumberFormat="1" applyFont="1" applyFill="1" applyBorder="1" applyAlignment="1">
      <alignment vertical="center"/>
    </xf>
    <xf numFmtId="4" fontId="5" fillId="4" borderId="6" xfId="0" applyNumberFormat="1" applyFont="1" applyFill="1" applyBorder="1"/>
    <xf numFmtId="14" fontId="3" fillId="4" borderId="7" xfId="0" applyNumberFormat="1" applyFont="1" applyFill="1" applyBorder="1" applyAlignment="1">
      <alignment horizontal="left"/>
    </xf>
    <xf numFmtId="14" fontId="7" fillId="0" borderId="20" xfId="0" applyNumberFormat="1" applyFont="1" applyFill="1" applyBorder="1" applyAlignment="1">
      <alignment horizontal="right"/>
    </xf>
    <xf numFmtId="164" fontId="0" fillId="10" borderId="0" xfId="0" applyNumberFormat="1" applyFill="1" applyBorder="1"/>
    <xf numFmtId="14" fontId="29" fillId="10" borderId="0" xfId="0" applyNumberFormat="1" applyFont="1" applyFill="1" applyBorder="1"/>
    <xf numFmtId="49" fontId="0" fillId="10" borderId="0" xfId="0" applyNumberFormat="1" applyFill="1" applyBorder="1"/>
    <xf numFmtId="0" fontId="0" fillId="10" borderId="0" xfId="0" applyFill="1" applyBorder="1"/>
    <xf numFmtId="168" fontId="7" fillId="0" borderId="29" xfId="0" applyNumberFormat="1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vertical="center"/>
    </xf>
    <xf numFmtId="0" fontId="7" fillId="0" borderId="30" xfId="0" applyFont="1" applyFill="1" applyBorder="1" applyAlignment="1">
      <alignment horizontal="center" vertical="center"/>
    </xf>
    <xf numFmtId="4" fontId="7" fillId="0" borderId="30" xfId="0" applyNumberFormat="1" applyFont="1" applyFill="1" applyBorder="1" applyAlignment="1">
      <alignment vertical="center"/>
    </xf>
    <xf numFmtId="164" fontId="7" fillId="0" borderId="30" xfId="0" applyNumberFormat="1" applyFont="1" applyFill="1" applyBorder="1" applyAlignment="1">
      <alignment vertical="center"/>
    </xf>
    <xf numFmtId="164" fontId="7" fillId="0" borderId="52" xfId="0" applyNumberFormat="1" applyFont="1" applyFill="1" applyBorder="1" applyAlignment="1">
      <alignment vertical="center"/>
    </xf>
    <xf numFmtId="0" fontId="23" fillId="0" borderId="0" xfId="0" applyFont="1" applyBorder="1" applyAlignment="1">
      <alignment horizontal="center"/>
    </xf>
    <xf numFmtId="164" fontId="23" fillId="0" borderId="0" xfId="0" applyNumberFormat="1" applyFont="1" applyBorder="1"/>
    <xf numFmtId="168" fontId="7" fillId="0" borderId="0" xfId="0" applyNumberFormat="1" applyFont="1" applyFill="1" applyBorder="1" applyAlignment="1">
      <alignment vertical="center"/>
    </xf>
    <xf numFmtId="0" fontId="29" fillId="0" borderId="0" xfId="0" applyFont="1" applyFill="1"/>
    <xf numFmtId="14" fontId="7" fillId="0" borderId="12" xfId="0" applyNumberFormat="1" applyFont="1" applyFill="1" applyBorder="1" applyAlignment="1">
      <alignment horizontal="right"/>
    </xf>
    <xf numFmtId="0" fontId="25" fillId="6" borderId="0" xfId="6" applyFont="1" applyFill="1" applyBorder="1" applyAlignment="1">
      <alignment horizontal="center"/>
    </xf>
    <xf numFmtId="168" fontId="7" fillId="0" borderId="0" xfId="0" applyNumberFormat="1" applyFont="1" applyFill="1" applyBorder="1" applyAlignment="1">
      <alignment horizontal="right"/>
    </xf>
    <xf numFmtId="168" fontId="4" fillId="0" borderId="0" xfId="0" applyNumberFormat="1" applyFont="1" applyFill="1" applyBorder="1" applyAlignment="1">
      <alignment horizontal="center" vertical="center"/>
    </xf>
    <xf numFmtId="168" fontId="4" fillId="3" borderId="0" xfId="0" applyNumberFormat="1" applyFont="1" applyFill="1" applyBorder="1" applyAlignment="1">
      <alignment horizontal="center" vertical="center"/>
    </xf>
    <xf numFmtId="0" fontId="7" fillId="0" borderId="0" xfId="0" applyFont="1" applyBorder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/>
    <xf numFmtId="164" fontId="4" fillId="0" borderId="0" xfId="0" applyNumberFormat="1" applyFont="1" applyBorder="1"/>
    <xf numFmtId="168" fontId="4" fillId="3" borderId="0" xfId="0" applyNumberFormat="1" applyFont="1" applyFill="1" applyBorder="1" applyAlignment="1">
      <alignment horizontal="right"/>
    </xf>
    <xf numFmtId="0" fontId="4" fillId="3" borderId="0" xfId="0" applyFont="1" applyFill="1" applyBorder="1"/>
    <xf numFmtId="0" fontId="4" fillId="3" borderId="0" xfId="0" applyFont="1" applyFill="1" applyBorder="1" applyAlignment="1">
      <alignment horizontal="center"/>
    </xf>
    <xf numFmtId="4" fontId="4" fillId="3" borderId="0" xfId="0" applyNumberFormat="1" applyFont="1" applyFill="1" applyBorder="1"/>
    <xf numFmtId="164" fontId="4" fillId="3" borderId="0" xfId="0" applyNumberFormat="1" applyFont="1" applyFill="1" applyBorder="1"/>
    <xf numFmtId="164" fontId="7" fillId="0" borderId="0" xfId="0" applyNumberFormat="1" applyFont="1" applyBorder="1"/>
    <xf numFmtId="9" fontId="4" fillId="0" borderId="0" xfId="0" applyNumberFormat="1" applyFont="1" applyBorder="1"/>
    <xf numFmtId="164" fontId="4" fillId="0" borderId="32" xfId="0" applyNumberFormat="1" applyFont="1" applyBorder="1"/>
    <xf numFmtId="164" fontId="7" fillId="0" borderId="33" xfId="0" applyNumberFormat="1" applyFont="1" applyFill="1" applyBorder="1"/>
    <xf numFmtId="4" fontId="7" fillId="0" borderId="0" xfId="0" applyNumberFormat="1" applyFont="1" applyFill="1" applyBorder="1" applyAlignment="1">
      <alignment horizontal="center"/>
    </xf>
    <xf numFmtId="164" fontId="7" fillId="0" borderId="0" xfId="0" applyNumberFormat="1" applyFont="1" applyFill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4" fontId="7" fillId="0" borderId="0" xfId="0" applyNumberFormat="1" applyFont="1" applyBorder="1"/>
    <xf numFmtId="14" fontId="7" fillId="0" borderId="26" xfId="0" applyNumberFormat="1" applyFont="1" applyFill="1" applyBorder="1" applyAlignment="1">
      <alignment horizontal="right"/>
    </xf>
    <xf numFmtId="0" fontId="25" fillId="6" borderId="0" xfId="6" applyFont="1" applyFill="1" applyBorder="1" applyAlignment="1">
      <alignment horizontal="center"/>
    </xf>
    <xf numFmtId="16" fontId="0" fillId="0" borderId="0" xfId="0" applyNumberFormat="1" applyBorder="1"/>
    <xf numFmtId="0" fontId="7" fillId="0" borderId="31" xfId="0" applyFont="1" applyBorder="1"/>
    <xf numFmtId="0" fontId="7" fillId="0" borderId="53" xfId="0" applyFont="1" applyBorder="1"/>
    <xf numFmtId="9" fontId="5" fillId="0" borderId="0" xfId="0" applyNumberFormat="1" applyFont="1" applyBorder="1"/>
    <xf numFmtId="0" fontId="25" fillId="6" borderId="0" xfId="6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168" fontId="4" fillId="0" borderId="5" xfId="0" applyNumberFormat="1" applyFont="1" applyFill="1" applyBorder="1" applyAlignment="1">
      <alignment horizontal="right"/>
    </xf>
    <xf numFmtId="168" fontId="4" fillId="0" borderId="6" xfId="0" applyNumberFormat="1" applyFont="1" applyFill="1" applyBorder="1" applyAlignment="1">
      <alignment horizontal="center" vertical="center"/>
    </xf>
    <xf numFmtId="0" fontId="4" fillId="0" borderId="6" xfId="0" applyFont="1" applyFill="1" applyBorder="1"/>
    <xf numFmtId="4" fontId="4" fillId="0" borderId="6" xfId="0" applyNumberFormat="1" applyFont="1" applyFill="1" applyBorder="1"/>
    <xf numFmtId="164" fontId="4" fillId="0" borderId="6" xfId="0" applyNumberFormat="1" applyFont="1" applyFill="1" applyBorder="1"/>
    <xf numFmtId="164" fontId="4" fillId="0" borderId="7" xfId="0" applyNumberFormat="1" applyFont="1" applyFill="1" applyBorder="1"/>
    <xf numFmtId="164" fontId="17" fillId="0" borderId="5" xfId="0" applyNumberFormat="1" applyFont="1" applyFill="1" applyBorder="1"/>
    <xf numFmtId="164" fontId="17" fillId="0" borderId="6" xfId="0" applyNumberFormat="1" applyFont="1" applyFill="1" applyBorder="1"/>
    <xf numFmtId="164" fontId="17" fillId="0" borderId="7" xfId="0" applyNumberFormat="1" applyFont="1" applyFill="1" applyBorder="1"/>
    <xf numFmtId="0" fontId="25" fillId="6" borderId="0" xfId="6" applyFont="1" applyFill="1" applyBorder="1" applyAlignment="1">
      <alignment horizontal="center"/>
    </xf>
    <xf numFmtId="164" fontId="3" fillId="0" borderId="0" xfId="0" applyNumberFormat="1" applyFont="1" applyFill="1" applyBorder="1"/>
    <xf numFmtId="9" fontId="7" fillId="0" borderId="0" xfId="0" applyNumberFormat="1" applyFont="1" applyFill="1" applyBorder="1"/>
    <xf numFmtId="14" fontId="7" fillId="0" borderId="0" xfId="0" applyNumberFormat="1" applyFont="1" applyFill="1" applyBorder="1"/>
    <xf numFmtId="0" fontId="0" fillId="10" borderId="0" xfId="0" applyFill="1"/>
    <xf numFmtId="49" fontId="0" fillId="10" borderId="0" xfId="0" applyNumberFormat="1" applyFill="1"/>
    <xf numFmtId="14" fontId="0" fillId="10" borderId="0" xfId="0" applyNumberFormat="1" applyFill="1"/>
    <xf numFmtId="164" fontId="0" fillId="10" borderId="0" xfId="0" applyNumberFormat="1" applyFill="1"/>
    <xf numFmtId="168" fontId="4" fillId="0" borderId="0" xfId="0" applyNumberFormat="1" applyFont="1" applyFill="1" applyBorder="1" applyAlignment="1">
      <alignment horizontal="right"/>
    </xf>
    <xf numFmtId="14" fontId="22" fillId="0" borderId="0" xfId="0" applyNumberFormat="1" applyFont="1"/>
    <xf numFmtId="164" fontId="22" fillId="0" borderId="0" xfId="0" applyNumberFormat="1" applyFont="1"/>
    <xf numFmtId="0" fontId="22" fillId="0" borderId="0" xfId="0" applyFont="1"/>
    <xf numFmtId="14" fontId="29" fillId="0" borderId="0" xfId="0" applyNumberFormat="1" applyFont="1"/>
    <xf numFmtId="164" fontId="29" fillId="0" borderId="0" xfId="0" applyNumberFormat="1" applyFont="1"/>
    <xf numFmtId="3" fontId="10" fillId="5" borderId="10" xfId="0" applyNumberFormat="1" applyFont="1" applyFill="1" applyBorder="1" applyAlignment="1">
      <alignment horizontal="center"/>
    </xf>
    <xf numFmtId="3" fontId="10" fillId="5" borderId="12" xfId="0" applyNumberFormat="1" applyFont="1" applyFill="1" applyBorder="1" applyAlignment="1">
      <alignment horizontal="center"/>
    </xf>
    <xf numFmtId="3" fontId="16" fillId="6" borderId="10" xfId="0" applyNumberFormat="1" applyFont="1" applyFill="1" applyBorder="1"/>
    <xf numFmtId="3" fontId="16" fillId="6" borderId="12" xfId="0" applyNumberFormat="1" applyFont="1" applyFill="1" applyBorder="1"/>
    <xf numFmtId="3" fontId="19" fillId="0" borderId="12" xfId="0" applyNumberFormat="1" applyFont="1" applyFill="1" applyBorder="1"/>
    <xf numFmtId="3" fontId="18" fillId="0" borderId="12" xfId="0" applyNumberFormat="1" applyFont="1" applyFill="1" applyBorder="1"/>
    <xf numFmtId="3" fontId="10" fillId="0" borderId="10" xfId="0" applyNumberFormat="1" applyFont="1" applyFill="1" applyBorder="1"/>
    <xf numFmtId="3" fontId="19" fillId="0" borderId="12" xfId="0" applyNumberFormat="1" applyFont="1" applyBorder="1" applyAlignment="1">
      <alignment horizontal="right" indent="1"/>
    </xf>
    <xf numFmtId="3" fontId="10" fillId="0" borderId="10" xfId="0" applyNumberFormat="1" applyFont="1" applyFill="1" applyBorder="1" applyAlignment="1">
      <alignment horizontal="right" indent="1"/>
    </xf>
    <xf numFmtId="3" fontId="19" fillId="0" borderId="12" xfId="0" applyNumberFormat="1" applyFont="1" applyFill="1" applyBorder="1" applyAlignment="1">
      <alignment horizontal="right" indent="1"/>
    </xf>
    <xf numFmtId="3" fontId="19" fillId="0" borderId="10" xfId="0" applyNumberFormat="1" applyFont="1" applyBorder="1" applyAlignment="1">
      <alignment horizontal="right" indent="1"/>
    </xf>
    <xf numFmtId="3" fontId="10" fillId="5" borderId="14" xfId="0" applyNumberFormat="1" applyFont="1" applyFill="1" applyBorder="1" applyAlignment="1">
      <alignment horizontal="center"/>
    </xf>
    <xf numFmtId="3" fontId="10" fillId="5" borderId="16" xfId="0" applyNumberFormat="1" applyFont="1" applyFill="1" applyBorder="1" applyAlignment="1">
      <alignment horizontal="center"/>
    </xf>
    <xf numFmtId="0" fontId="11" fillId="0" borderId="23" xfId="0" applyFont="1" applyBorder="1" applyAlignment="1">
      <alignment horizontal="left" indent="1"/>
    </xf>
    <xf numFmtId="166" fontId="10" fillId="5" borderId="18" xfId="0" applyNumberFormat="1" applyFont="1" applyFill="1" applyBorder="1" applyAlignment="1">
      <alignment horizontal="center"/>
    </xf>
    <xf numFmtId="166" fontId="10" fillId="5" borderId="20" xfId="0" applyNumberFormat="1" applyFont="1" applyFill="1" applyBorder="1" applyAlignment="1">
      <alignment horizontal="center"/>
    </xf>
    <xf numFmtId="166" fontId="10" fillId="5" borderId="19" xfId="0" applyNumberFormat="1" applyFont="1" applyFill="1" applyBorder="1" applyAlignment="1">
      <alignment horizontal="center"/>
    </xf>
    <xf numFmtId="3" fontId="16" fillId="6" borderId="18" xfId="0" applyNumberFormat="1" applyFont="1" applyFill="1" applyBorder="1"/>
    <xf numFmtId="3" fontId="16" fillId="6" borderId="20" xfId="0" applyNumberFormat="1" applyFont="1" applyFill="1" applyBorder="1"/>
    <xf numFmtId="3" fontId="11" fillId="0" borderId="14" xfId="0" applyNumberFormat="1" applyFont="1" applyBorder="1" applyAlignment="1">
      <alignment horizontal="right" indent="1"/>
    </xf>
    <xf numFmtId="3" fontId="11" fillId="0" borderId="16" xfId="0" applyNumberFormat="1" applyFont="1" applyBorder="1" applyAlignment="1">
      <alignment horizontal="right" indent="1"/>
    </xf>
    <xf numFmtId="3" fontId="10" fillId="5" borderId="11" xfId="0" applyNumberFormat="1" applyFont="1" applyFill="1" applyBorder="1" applyAlignment="1">
      <alignment horizontal="center"/>
    </xf>
    <xf numFmtId="3" fontId="16" fillId="6" borderId="19" xfId="0" applyNumberFormat="1" applyFont="1" applyFill="1" applyBorder="1"/>
    <xf numFmtId="3" fontId="11" fillId="0" borderId="15" xfId="0" applyNumberFormat="1" applyFont="1" applyBorder="1" applyAlignment="1">
      <alignment horizontal="right" indent="1"/>
    </xf>
    <xf numFmtId="166" fontId="10" fillId="5" borderId="47" xfId="0" applyNumberFormat="1" applyFont="1" applyFill="1" applyBorder="1" applyAlignment="1">
      <alignment horizontal="center"/>
    </xf>
    <xf numFmtId="166" fontId="10" fillId="5" borderId="48" xfId="0" applyNumberFormat="1" applyFont="1" applyFill="1" applyBorder="1" applyAlignment="1">
      <alignment horizontal="center"/>
    </xf>
    <xf numFmtId="166" fontId="10" fillId="5" borderId="49" xfId="0" applyNumberFormat="1" applyFont="1" applyFill="1" applyBorder="1" applyAlignment="1">
      <alignment horizontal="center"/>
    </xf>
    <xf numFmtId="3" fontId="10" fillId="5" borderId="15" xfId="0" applyNumberFormat="1" applyFont="1" applyFill="1" applyBorder="1" applyAlignment="1">
      <alignment horizontal="center"/>
    </xf>
    <xf numFmtId="166" fontId="10" fillId="5" borderId="8" xfId="0" applyNumberFormat="1" applyFont="1" applyFill="1" applyBorder="1" applyAlignment="1">
      <alignment horizontal="center"/>
    </xf>
    <xf numFmtId="166" fontId="10" fillId="5" borderId="22" xfId="0" applyNumberFormat="1" applyFont="1" applyFill="1" applyBorder="1" applyAlignment="1">
      <alignment horizontal="center"/>
    </xf>
    <xf numFmtId="166" fontId="10" fillId="5" borderId="62" xfId="0" applyNumberFormat="1" applyFont="1" applyFill="1" applyBorder="1" applyAlignment="1">
      <alignment horizontal="center"/>
    </xf>
    <xf numFmtId="3" fontId="11" fillId="0" borderId="11" xfId="0" applyNumberFormat="1" applyFont="1" applyBorder="1" applyAlignment="1">
      <alignment horizontal="center"/>
    </xf>
    <xf numFmtId="3" fontId="11" fillId="0" borderId="12" xfId="0" applyNumberFormat="1" applyFont="1" applyBorder="1" applyAlignment="1">
      <alignment horizontal="center"/>
    </xf>
    <xf numFmtId="3" fontId="10" fillId="0" borderId="10" xfId="0" applyNumberFormat="1" applyFont="1" applyBorder="1" applyAlignment="1">
      <alignment horizontal="center"/>
    </xf>
    <xf numFmtId="3" fontId="10" fillId="0" borderId="11" xfId="0" applyNumberFormat="1" applyFont="1" applyBorder="1" applyAlignment="1">
      <alignment horizontal="center"/>
    </xf>
    <xf numFmtId="3" fontId="10" fillId="0" borderId="12" xfId="0" applyNumberFormat="1" applyFont="1" applyBorder="1" applyAlignment="1">
      <alignment horizontal="center"/>
    </xf>
    <xf numFmtId="3" fontId="11" fillId="0" borderId="11" xfId="0" applyNumberFormat="1" applyFont="1" applyFill="1" applyBorder="1" applyAlignment="1">
      <alignment horizontal="center"/>
    </xf>
    <xf numFmtId="3" fontId="11" fillId="0" borderId="12" xfId="0" applyNumberFormat="1" applyFont="1" applyFill="1" applyBorder="1" applyAlignment="1">
      <alignment horizontal="center"/>
    </xf>
    <xf numFmtId="3" fontId="10" fillId="7" borderId="11" xfId="0" applyNumberFormat="1" applyFont="1" applyFill="1" applyBorder="1" applyAlignment="1">
      <alignment horizontal="center"/>
    </xf>
    <xf numFmtId="3" fontId="10" fillId="7" borderId="12" xfId="0" applyNumberFormat="1" applyFont="1" applyFill="1" applyBorder="1" applyAlignment="1">
      <alignment horizontal="center"/>
    </xf>
    <xf numFmtId="3" fontId="16" fillId="6" borderId="8" xfId="0" applyNumberFormat="1" applyFont="1" applyFill="1" applyBorder="1"/>
    <xf numFmtId="3" fontId="16" fillId="6" borderId="22" xfId="0" applyNumberFormat="1" applyFont="1" applyFill="1" applyBorder="1"/>
    <xf numFmtId="3" fontId="16" fillId="6" borderId="62" xfId="0" applyNumberFormat="1" applyFont="1" applyFill="1" applyBorder="1"/>
    <xf numFmtId="3" fontId="16" fillId="6" borderId="47" xfId="0" applyNumberFormat="1" applyFont="1" applyFill="1" applyBorder="1" applyAlignment="1">
      <alignment horizontal="center"/>
    </xf>
    <xf numFmtId="3" fontId="16" fillId="6" borderId="48" xfId="0" applyNumberFormat="1" applyFont="1" applyFill="1" applyBorder="1" applyAlignment="1">
      <alignment horizontal="center"/>
    </xf>
    <xf numFmtId="3" fontId="16" fillId="6" borderId="49" xfId="0" applyNumberFormat="1" applyFont="1" applyFill="1" applyBorder="1" applyAlignment="1">
      <alignment horizontal="center"/>
    </xf>
    <xf numFmtId="3" fontId="11" fillId="0" borderId="18" xfId="0" applyNumberFormat="1" applyFont="1" applyBorder="1" applyAlignment="1">
      <alignment horizontal="center"/>
    </xf>
    <xf numFmtId="3" fontId="11" fillId="0" borderId="19" xfId="0" applyNumberFormat="1" applyFont="1" applyBorder="1" applyAlignment="1">
      <alignment horizontal="center"/>
    </xf>
    <xf numFmtId="3" fontId="11" fillId="0" borderId="20" xfId="0" applyNumberFormat="1" applyFont="1" applyBorder="1" applyAlignment="1">
      <alignment horizontal="center"/>
    </xf>
    <xf numFmtId="3" fontId="14" fillId="7" borderId="14" xfId="0" applyNumberFormat="1" applyFont="1" applyFill="1" applyBorder="1" applyAlignment="1">
      <alignment horizontal="center"/>
    </xf>
    <xf numFmtId="3" fontId="14" fillId="7" borderId="15" xfId="0" applyNumberFormat="1" applyFont="1" applyFill="1" applyBorder="1" applyAlignment="1">
      <alignment horizontal="center"/>
    </xf>
    <xf numFmtId="3" fontId="14" fillId="7" borderId="16" xfId="0" applyNumberFormat="1" applyFont="1" applyFill="1" applyBorder="1" applyAlignment="1">
      <alignment horizontal="center"/>
    </xf>
    <xf numFmtId="3" fontId="16" fillId="6" borderId="11" xfId="0" applyNumberFormat="1" applyFont="1" applyFill="1" applyBorder="1"/>
    <xf numFmtId="3" fontId="13" fillId="0" borderId="12" xfId="0" applyNumberFormat="1" applyFont="1" applyFill="1" applyBorder="1"/>
    <xf numFmtId="3" fontId="14" fillId="0" borderId="10" xfId="0" applyNumberFormat="1" applyFont="1" applyFill="1" applyBorder="1"/>
    <xf numFmtId="3" fontId="18" fillId="0" borderId="10" xfId="0" applyNumberFormat="1" applyFont="1" applyFill="1" applyBorder="1"/>
    <xf numFmtId="166" fontId="14" fillId="4" borderId="14" xfId="0" applyNumberFormat="1" applyFont="1" applyFill="1" applyBorder="1" applyAlignment="1">
      <alignment horizontal="center"/>
    </xf>
    <xf numFmtId="166" fontId="14" fillId="4" borderId="15" xfId="0" applyNumberFormat="1" applyFont="1" applyFill="1" applyBorder="1" applyAlignment="1">
      <alignment horizontal="center"/>
    </xf>
    <xf numFmtId="166" fontId="14" fillId="4" borderId="16" xfId="0" applyNumberFormat="1" applyFont="1" applyFill="1" applyBorder="1" applyAlignment="1">
      <alignment horizontal="center"/>
    </xf>
    <xf numFmtId="166" fontId="14" fillId="4" borderId="59" xfId="0" applyNumberFormat="1" applyFont="1" applyFill="1" applyBorder="1" applyAlignment="1">
      <alignment horizontal="center"/>
    </xf>
    <xf numFmtId="166" fontId="14" fillId="4" borderId="63" xfId="0" applyNumberFormat="1" applyFont="1" applyFill="1" applyBorder="1" applyAlignment="1">
      <alignment horizontal="center"/>
    </xf>
    <xf numFmtId="166" fontId="14" fillId="4" borderId="39" xfId="0" applyNumberFormat="1" applyFont="1" applyFill="1" applyBorder="1" applyAlignment="1">
      <alignment horizontal="center"/>
    </xf>
    <xf numFmtId="3" fontId="10" fillId="5" borderId="44" xfId="0" applyNumberFormat="1" applyFont="1" applyFill="1" applyBorder="1" applyAlignment="1">
      <alignment horizontal="center"/>
    </xf>
    <xf numFmtId="3" fontId="10" fillId="5" borderId="6" xfId="0" applyNumberFormat="1" applyFont="1" applyFill="1" applyBorder="1" applyAlignment="1">
      <alignment horizontal="center"/>
    </xf>
    <xf numFmtId="3" fontId="10" fillId="5" borderId="18" xfId="0" applyNumberFormat="1" applyFont="1" applyFill="1" applyBorder="1" applyAlignment="1">
      <alignment horizontal="center"/>
    </xf>
    <xf numFmtId="3" fontId="10" fillId="5" borderId="19" xfId="0" applyNumberFormat="1" applyFont="1" applyFill="1" applyBorder="1" applyAlignment="1">
      <alignment horizontal="center"/>
    </xf>
    <xf numFmtId="3" fontId="10" fillId="5" borderId="20" xfId="0" applyNumberFormat="1" applyFont="1" applyFill="1" applyBorder="1" applyAlignment="1">
      <alignment horizontal="center"/>
    </xf>
    <xf numFmtId="0" fontId="4" fillId="0" borderId="47" xfId="0" applyFont="1" applyFill="1" applyBorder="1" applyAlignment="1">
      <alignment horizontal="center"/>
    </xf>
    <xf numFmtId="0" fontId="4" fillId="0" borderId="48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left" vertical="center"/>
    </xf>
    <xf numFmtId="0" fontId="7" fillId="0" borderId="57" xfId="0" applyFont="1" applyFill="1" applyBorder="1" applyAlignment="1">
      <alignment horizontal="left" vertical="center"/>
    </xf>
    <xf numFmtId="0" fontId="7" fillId="0" borderId="28" xfId="0" applyFont="1" applyFill="1" applyBorder="1" applyAlignment="1">
      <alignment horizontal="left" vertical="center"/>
    </xf>
    <xf numFmtId="0" fontId="7" fillId="0" borderId="22" xfId="0" applyFont="1" applyFill="1" applyBorder="1" applyAlignment="1">
      <alignment horizontal="left" vertical="center"/>
    </xf>
    <xf numFmtId="0" fontId="7" fillId="0" borderId="55" xfId="0" applyFont="1" applyFill="1" applyBorder="1" applyAlignment="1">
      <alignment horizontal="left" vertical="center"/>
    </xf>
    <xf numFmtId="0" fontId="7" fillId="0" borderId="35" xfId="0" applyFont="1" applyFill="1" applyBorder="1" applyAlignment="1">
      <alignment horizontal="left" vertical="center"/>
    </xf>
    <xf numFmtId="4" fontId="7" fillId="0" borderId="22" xfId="0" applyNumberFormat="1" applyFont="1" applyFill="1" applyBorder="1" applyAlignment="1">
      <alignment horizontal="right" vertical="center"/>
    </xf>
    <xf numFmtId="4" fontId="7" fillId="0" borderId="55" xfId="0" applyNumberFormat="1" applyFont="1" applyFill="1" applyBorder="1" applyAlignment="1">
      <alignment horizontal="right" vertical="center"/>
    </xf>
    <xf numFmtId="4" fontId="7" fillId="0" borderId="35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21" fillId="9" borderId="5" xfId="0" applyFont="1" applyFill="1" applyBorder="1" applyAlignment="1">
      <alignment horizontal="center"/>
    </xf>
    <xf numFmtId="0" fontId="21" fillId="9" borderId="6" xfId="0" applyFont="1" applyFill="1" applyBorder="1" applyAlignment="1">
      <alignment horizontal="center"/>
    </xf>
    <xf numFmtId="0" fontId="21" fillId="9" borderId="7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3" fillId="4" borderId="56" xfId="0" applyFont="1" applyFill="1" applyBorder="1" applyAlignment="1">
      <alignment horizontal="center"/>
    </xf>
    <xf numFmtId="0" fontId="3" fillId="4" borderId="37" xfId="0" applyFont="1" applyFill="1" applyBorder="1" applyAlignment="1">
      <alignment horizontal="center"/>
    </xf>
    <xf numFmtId="0" fontId="21" fillId="0" borderId="2" xfId="0" applyFont="1" applyFill="1" applyBorder="1" applyAlignment="1">
      <alignment horizontal="center"/>
    </xf>
    <xf numFmtId="0" fontId="21" fillId="0" borderId="3" xfId="0" applyFont="1" applyFill="1" applyBorder="1" applyAlignment="1">
      <alignment horizontal="center"/>
    </xf>
    <xf numFmtId="0" fontId="21" fillId="0" borderId="41" xfId="0" applyFont="1" applyFill="1" applyBorder="1" applyAlignment="1">
      <alignment horizontal="center"/>
    </xf>
    <xf numFmtId="0" fontId="12" fillId="8" borderId="5" xfId="0" applyFont="1" applyFill="1" applyBorder="1" applyAlignment="1">
      <alignment horizontal="center"/>
    </xf>
    <xf numFmtId="0" fontId="12" fillId="8" borderId="6" xfId="0" applyFont="1" applyFill="1" applyBorder="1" applyAlignment="1">
      <alignment horizontal="center"/>
    </xf>
    <xf numFmtId="0" fontId="21" fillId="9" borderId="40" xfId="0" applyFont="1" applyFill="1" applyBorder="1" applyAlignment="1">
      <alignment horizontal="center"/>
    </xf>
    <xf numFmtId="0" fontId="6" fillId="0" borderId="36" xfId="0" applyFont="1" applyBorder="1" applyAlignment="1">
      <alignment horizontal="center"/>
    </xf>
    <xf numFmtId="0" fontId="6" fillId="0" borderId="37" xfId="0" applyFont="1" applyBorder="1" applyAlignment="1">
      <alignment horizontal="center"/>
    </xf>
    <xf numFmtId="0" fontId="6" fillId="0" borderId="38" xfId="0" applyFont="1" applyBorder="1" applyAlignment="1">
      <alignment horizontal="center"/>
    </xf>
    <xf numFmtId="0" fontId="6" fillId="0" borderId="39" xfId="0" applyFont="1" applyBorder="1" applyAlignment="1">
      <alignment horizontal="center"/>
    </xf>
    <xf numFmtId="4" fontId="6" fillId="0" borderId="40" xfId="0" applyNumberFormat="1" applyFont="1" applyBorder="1" applyAlignment="1">
      <alignment horizontal="center"/>
    </xf>
    <xf numFmtId="4" fontId="6" fillId="0" borderId="41" xfId="0" applyNumberFormat="1" applyFont="1" applyBorder="1" applyAlignment="1">
      <alignment horizontal="center"/>
    </xf>
    <xf numFmtId="11" fontId="6" fillId="0" borderId="40" xfId="0" applyNumberFormat="1" applyFont="1" applyBorder="1" applyAlignment="1">
      <alignment horizontal="center"/>
    </xf>
    <xf numFmtId="11" fontId="6" fillId="0" borderId="41" xfId="0" applyNumberFormat="1" applyFont="1" applyBorder="1" applyAlignment="1">
      <alignment horizontal="center"/>
    </xf>
    <xf numFmtId="4" fontId="6" fillId="0" borderId="36" xfId="0" applyNumberFormat="1" applyFont="1" applyBorder="1" applyAlignment="1">
      <alignment horizontal="center"/>
    </xf>
    <xf numFmtId="4" fontId="6" fillId="0" borderId="37" xfId="0" applyNumberFormat="1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2" fillId="0" borderId="54" xfId="0" applyFont="1" applyBorder="1" applyAlignment="1">
      <alignment horizontal="center"/>
    </xf>
    <xf numFmtId="165" fontId="4" fillId="2" borderId="1" xfId="0" applyNumberFormat="1" applyFont="1" applyFill="1" applyBorder="1" applyAlignment="1">
      <alignment horizontal="center" vertical="center"/>
    </xf>
    <xf numFmtId="165" fontId="4" fillId="2" borderId="4" xfId="0" applyNumberFormat="1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/>
    </xf>
    <xf numFmtId="165" fontId="4" fillId="2" borderId="27" xfId="0" applyNumberFormat="1" applyFont="1" applyFill="1" applyBorder="1" applyAlignment="1">
      <alignment horizontal="center"/>
    </xf>
    <xf numFmtId="165" fontId="4" fillId="2" borderId="27" xfId="0" applyNumberFormat="1" applyFont="1" applyFill="1" applyBorder="1" applyAlignment="1">
      <alignment horizontal="center" vertical="center"/>
    </xf>
    <xf numFmtId="168" fontId="7" fillId="0" borderId="10" xfId="0" applyNumberFormat="1" applyFont="1" applyBorder="1" applyAlignment="1">
      <alignment horizontal="center"/>
    </xf>
    <xf numFmtId="168" fontId="7" fillId="0" borderId="11" xfId="0" applyNumberFormat="1" applyFont="1" applyBorder="1" applyAlignment="1">
      <alignment horizontal="center"/>
    </xf>
    <xf numFmtId="168" fontId="4" fillId="0" borderId="14" xfId="0" applyNumberFormat="1" applyFont="1" applyBorder="1" applyAlignment="1">
      <alignment horizontal="center"/>
    </xf>
    <xf numFmtId="168" fontId="4" fillId="0" borderId="15" xfId="0" applyNumberFormat="1" applyFont="1" applyBorder="1" applyAlignment="1">
      <alignment horizontal="center"/>
    </xf>
    <xf numFmtId="168" fontId="4" fillId="0" borderId="10" xfId="0" applyNumberFormat="1" applyFont="1" applyBorder="1" applyAlignment="1">
      <alignment horizontal="center"/>
    </xf>
    <xf numFmtId="168" fontId="4" fillId="0" borderId="11" xfId="0" applyNumberFormat="1" applyFont="1" applyBorder="1" applyAlignment="1">
      <alignment horizontal="center"/>
    </xf>
    <xf numFmtId="168" fontId="7" fillId="0" borderId="10" xfId="0" applyNumberFormat="1" applyFont="1" applyBorder="1" applyAlignment="1">
      <alignment horizontal="left"/>
    </xf>
    <xf numFmtId="168" fontId="7" fillId="0" borderId="11" xfId="0" applyNumberFormat="1" applyFont="1" applyBorder="1" applyAlignment="1">
      <alignment horizontal="left"/>
    </xf>
    <xf numFmtId="4" fontId="7" fillId="0" borderId="36" xfId="0" applyNumberFormat="1" applyFont="1" applyBorder="1" applyAlignment="1">
      <alignment horizontal="center"/>
    </xf>
    <xf numFmtId="4" fontId="7" fillId="0" borderId="46" xfId="0" applyNumberFormat="1" applyFont="1" applyBorder="1" applyAlignment="1">
      <alignment horizontal="center"/>
    </xf>
    <xf numFmtId="168" fontId="4" fillId="0" borderId="29" xfId="0" applyNumberFormat="1" applyFont="1" applyBorder="1" applyAlignment="1">
      <alignment horizontal="center"/>
    </xf>
    <xf numFmtId="168" fontId="4" fillId="0" borderId="30" xfId="0" applyNumberFormat="1" applyFont="1" applyBorder="1" applyAlignment="1">
      <alignment horizontal="center"/>
    </xf>
    <xf numFmtId="168" fontId="4" fillId="0" borderId="52" xfId="0" applyNumberFormat="1" applyFont="1" applyBorder="1" applyAlignment="1">
      <alignment horizontal="center"/>
    </xf>
    <xf numFmtId="168" fontId="4" fillId="0" borderId="0" xfId="0" applyNumberFormat="1" applyFont="1" applyAlignment="1">
      <alignment horizontal="center"/>
    </xf>
    <xf numFmtId="168" fontId="7" fillId="0" borderId="18" xfId="0" applyNumberFormat="1" applyFont="1" applyBorder="1" applyAlignment="1">
      <alignment horizontal="left"/>
    </xf>
    <xf numFmtId="168" fontId="7" fillId="0" borderId="19" xfId="0" applyNumberFormat="1" applyFont="1" applyBorder="1" applyAlignment="1">
      <alignment horizontal="left"/>
    </xf>
    <xf numFmtId="4" fontId="7" fillId="0" borderId="45" xfId="0" applyNumberFormat="1" applyFont="1" applyBorder="1" applyAlignment="1">
      <alignment horizontal="center"/>
    </xf>
    <xf numFmtId="4" fontId="7" fillId="0" borderId="43" xfId="0" applyNumberFormat="1" applyFont="1" applyBorder="1" applyAlignment="1">
      <alignment horizontal="center"/>
    </xf>
    <xf numFmtId="168" fontId="7" fillId="0" borderId="56" xfId="0" applyNumberFormat="1" applyFont="1" applyBorder="1" applyAlignment="1">
      <alignment horizontal="left"/>
    </xf>
    <xf numFmtId="168" fontId="7" fillId="0" borderId="46" xfId="0" applyNumberFormat="1" applyFont="1" applyBorder="1" applyAlignment="1">
      <alignment horizontal="left"/>
    </xf>
    <xf numFmtId="0" fontId="23" fillId="0" borderId="5" xfId="0" applyFont="1" applyBorder="1" applyAlignment="1">
      <alignment horizontal="center"/>
    </xf>
    <xf numFmtId="0" fontId="23" fillId="0" borderId="6" xfId="0" applyFont="1" applyBorder="1" applyAlignment="1">
      <alignment horizontal="center"/>
    </xf>
    <xf numFmtId="0" fontId="25" fillId="6" borderId="0" xfId="6" applyFont="1" applyFill="1" applyBorder="1" applyAlignment="1">
      <alignment horizontal="center"/>
    </xf>
    <xf numFmtId="0" fontId="31" fillId="0" borderId="61" xfId="0" applyFont="1" applyBorder="1" applyAlignment="1">
      <alignment horizontal="center"/>
    </xf>
    <xf numFmtId="0" fontId="31" fillId="0" borderId="4" xfId="0" applyFont="1" applyBorder="1" applyAlignment="1">
      <alignment horizontal="center"/>
    </xf>
    <xf numFmtId="0" fontId="31" fillId="0" borderId="60" xfId="0" applyFont="1" applyBorder="1" applyAlignment="1">
      <alignment horizontal="center"/>
    </xf>
    <xf numFmtId="0" fontId="31" fillId="0" borderId="32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4" fontId="7" fillId="0" borderId="22" xfId="0" applyNumberFormat="1" applyFont="1" applyFill="1" applyBorder="1" applyAlignment="1">
      <alignment horizontal="center" vertical="center"/>
    </xf>
    <xf numFmtId="4" fontId="7" fillId="0" borderId="55" xfId="0" applyNumberFormat="1" applyFont="1" applyFill="1" applyBorder="1" applyAlignment="1">
      <alignment horizontal="center" vertical="center"/>
    </xf>
    <xf numFmtId="4" fontId="7" fillId="0" borderId="35" xfId="0" applyNumberFormat="1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17" fillId="0" borderId="4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1" xfId="0" applyFont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</cellXfs>
  <cellStyles count="7">
    <cellStyle name="Milliers" xfId="1" builtinId="3"/>
    <cellStyle name="Milliers 2" xfId="2"/>
    <cellStyle name="Normal" xfId="0" builtinId="0"/>
    <cellStyle name="Normal 2" xfId="3"/>
    <cellStyle name="Normal_NOUR" xfId="6"/>
    <cellStyle name="Pourcentage" xfId="5" builtinId="5"/>
    <cellStyle name="Pourcentage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8"/>
  <sheetViews>
    <sheetView tabSelected="1" zoomScale="70" zoomScaleNormal="70" workbookViewId="0">
      <pane ySplit="3" topLeftCell="A7" activePane="bottomLeft" state="frozen"/>
      <selection activeCell="A2" sqref="A2:F20"/>
      <selection pane="bottomLeft" activeCell="G73" sqref="G73"/>
    </sheetView>
  </sheetViews>
  <sheetFormatPr baseColWidth="10" defaultRowHeight="15"/>
  <cols>
    <col min="1" max="1" width="26.85546875" style="31" customWidth="1"/>
    <col min="2" max="10" width="18.7109375" style="79" customWidth="1"/>
    <col min="11" max="11" width="11.7109375" style="31" bestFit="1" customWidth="1"/>
    <col min="12" max="12" width="21.85546875" style="31" customWidth="1"/>
    <col min="13" max="16384" width="11.42578125" style="31"/>
  </cols>
  <sheetData>
    <row r="1" spans="1:12" s="30" customFormat="1" ht="15.75" customHeight="1" thickBot="1">
      <c r="B1" s="791" t="s">
        <v>103</v>
      </c>
      <c r="C1" s="792"/>
      <c r="D1" s="793"/>
      <c r="E1" s="791" t="s">
        <v>45</v>
      </c>
      <c r="F1" s="792"/>
      <c r="G1" s="793"/>
      <c r="H1" s="789" t="s">
        <v>46</v>
      </c>
      <c r="I1" s="790"/>
      <c r="J1" s="790"/>
    </row>
    <row r="2" spans="1:12" s="30" customFormat="1" ht="14.25">
      <c r="B2" s="727" t="s">
        <v>1645</v>
      </c>
      <c r="C2" s="748" t="s">
        <v>1646</v>
      </c>
      <c r="D2" s="728" t="s">
        <v>1647</v>
      </c>
      <c r="E2" s="727" t="s">
        <v>1645</v>
      </c>
      <c r="F2" s="748" t="s">
        <v>1646</v>
      </c>
      <c r="G2" s="728" t="s">
        <v>1647</v>
      </c>
      <c r="H2" s="727" t="s">
        <v>1645</v>
      </c>
      <c r="I2" s="748" t="s">
        <v>1646</v>
      </c>
      <c r="J2" s="728" t="s">
        <v>1647</v>
      </c>
    </row>
    <row r="3" spans="1:12" ht="15.75" thickBot="1">
      <c r="B3" s="738" t="s">
        <v>102</v>
      </c>
      <c r="C3" s="754" t="s">
        <v>102</v>
      </c>
      <c r="D3" s="739" t="s">
        <v>102</v>
      </c>
      <c r="E3" s="738" t="s">
        <v>102</v>
      </c>
      <c r="F3" s="754" t="s">
        <v>102</v>
      </c>
      <c r="G3" s="739" t="s">
        <v>102</v>
      </c>
      <c r="H3" s="738" t="s">
        <v>102</v>
      </c>
      <c r="I3" s="754" t="s">
        <v>102</v>
      </c>
      <c r="J3" s="739" t="s">
        <v>102</v>
      </c>
    </row>
    <row r="4" spans="1:12" s="33" customFormat="1" ht="15.75" thickBot="1">
      <c r="A4" s="32" t="s">
        <v>1595</v>
      </c>
      <c r="B4" s="755">
        <v>-128187.59299999999</v>
      </c>
      <c r="C4" s="756">
        <f>+B4</f>
        <v>-128187.59299999999</v>
      </c>
      <c r="D4" s="757">
        <f>+C73</f>
        <v>-149983.78699999978</v>
      </c>
      <c r="E4" s="751">
        <v>-1982070.1410000001</v>
      </c>
      <c r="F4" s="752">
        <v>-1982070.1410000001</v>
      </c>
      <c r="G4" s="753">
        <f>+F73</f>
        <v>-6522387.9139999999</v>
      </c>
      <c r="H4" s="741">
        <v>-1069877.4669999999</v>
      </c>
      <c r="I4" s="743">
        <f>+H4</f>
        <v>-1069877.4669999999</v>
      </c>
      <c r="J4" s="742">
        <f>+I73</f>
        <v>-827952.69499999995</v>
      </c>
    </row>
    <row r="5" spans="1:12" ht="15.75" thickBot="1">
      <c r="A5" s="628" t="s">
        <v>49</v>
      </c>
      <c r="B5" s="767">
        <f>SUM(B6:B9)</f>
        <v>523027.25099999999</v>
      </c>
      <c r="C5" s="768">
        <f t="shared" ref="C5:D5" si="0">SUM(C6:C9)</f>
        <v>1288748.25</v>
      </c>
      <c r="D5" s="769">
        <f t="shared" si="0"/>
        <v>282899.8679999999</v>
      </c>
      <c r="E5" s="744">
        <f>SUM(E6:E9)</f>
        <v>0</v>
      </c>
      <c r="F5" s="749">
        <f>SUM(F6:F9)</f>
        <v>0</v>
      </c>
      <c r="G5" s="745">
        <f>SUM(G6:G9)</f>
        <v>156000</v>
      </c>
      <c r="H5" s="729">
        <f t="shared" ref="H5:J5" si="1">SUM(H6:H9)</f>
        <v>0</v>
      </c>
      <c r="I5" s="779">
        <f>SUM(I6:I9)</f>
        <v>0</v>
      </c>
      <c r="J5" s="730">
        <f t="shared" si="1"/>
        <v>0</v>
      </c>
    </row>
    <row r="6" spans="1:12">
      <c r="A6" s="629" t="s">
        <v>100</v>
      </c>
      <c r="B6" s="773">
        <f>77233.683+1956.229+9618.429</f>
        <v>88808.341000000015</v>
      </c>
      <c r="C6" s="774">
        <v>560735.74</v>
      </c>
      <c r="D6" s="775">
        <f>59281.709+13634.803</f>
        <v>72916.512000000002</v>
      </c>
      <c r="E6" s="286"/>
      <c r="F6" s="93"/>
      <c r="G6" s="87">
        <f>53000+16000+19000+53000+15000</f>
        <v>156000</v>
      </c>
      <c r="H6" s="286"/>
      <c r="I6" s="93"/>
      <c r="J6" s="87"/>
    </row>
    <row r="7" spans="1:12">
      <c r="A7" s="629" t="s">
        <v>98</v>
      </c>
      <c r="B7" s="88">
        <f>2242.96+37030.124+17457.144+84378.865+17378.548+14671.606+44712.13+15187.455+4021.908+41139.359+30876.093+33929.835+28308.576+40775.727+6882.86</f>
        <v>418993.19</v>
      </c>
      <c r="C7" s="758">
        <v>517011.64799999999</v>
      </c>
      <c r="D7" s="759">
        <f>23478.611+16157.329+32345.317+45914.5979999999+11386.977+6614.643+12037.435+23643.472+35584.838</f>
        <v>207163.21999999991</v>
      </c>
      <c r="E7" s="286"/>
      <c r="F7" s="93"/>
      <c r="G7" s="87"/>
      <c r="H7" s="286"/>
      <c r="I7" s="93"/>
      <c r="J7" s="87"/>
    </row>
    <row r="8" spans="1:12">
      <c r="A8" s="629" t="s">
        <v>99</v>
      </c>
      <c r="B8" s="88">
        <v>15225.72</v>
      </c>
      <c r="C8" s="758">
        <v>122596.024</v>
      </c>
      <c r="D8" s="759">
        <v>2820.136</v>
      </c>
      <c r="E8" s="286"/>
      <c r="F8" s="93"/>
      <c r="G8" s="87"/>
      <c r="H8" s="286"/>
      <c r="I8" s="93"/>
      <c r="J8" s="87"/>
    </row>
    <row r="9" spans="1:12">
      <c r="A9" s="629" t="s">
        <v>50</v>
      </c>
      <c r="B9" s="88"/>
      <c r="C9" s="758">
        <v>88404.838000000003</v>
      </c>
      <c r="D9" s="759"/>
      <c r="E9" s="286"/>
      <c r="F9" s="93"/>
      <c r="G9" s="87"/>
      <c r="H9" s="286"/>
      <c r="I9" s="93"/>
      <c r="J9" s="87"/>
    </row>
    <row r="10" spans="1:12" s="483" customFormat="1">
      <c r="A10" s="482" t="s">
        <v>51</v>
      </c>
      <c r="B10" s="630">
        <f>B11+B12+B13+B14+B15</f>
        <v>1481562.3769999999</v>
      </c>
      <c r="C10" s="631">
        <f t="shared" ref="C10:D10" si="2">C11+C12+C13+C14+C15</f>
        <v>0</v>
      </c>
      <c r="D10" s="632">
        <f t="shared" si="2"/>
        <v>467984.16600000003</v>
      </c>
      <c r="E10" s="630">
        <f>E15+E11+E12+E13+E14</f>
        <v>2513256</v>
      </c>
      <c r="F10" s="631">
        <f>F15+F11+F12+F13+F14</f>
        <v>-2571355.1140000001</v>
      </c>
      <c r="G10" s="632">
        <f>G15+G11+G12+G13+G14</f>
        <v>4805000</v>
      </c>
      <c r="H10" s="630">
        <f>H11+H12+H14+H15+H30+H27+H13</f>
        <v>732750</v>
      </c>
      <c r="I10" s="631">
        <f>I11+I12+I14+I15+I23+I30+I27</f>
        <v>328295.43400000001</v>
      </c>
      <c r="J10" s="632">
        <f t="shared" ref="J10" si="3">J11+J12+J14+J15+J23+J30</f>
        <v>200000</v>
      </c>
      <c r="L10" s="484"/>
    </row>
    <row r="11" spans="1:12">
      <c r="A11" s="629" t="s">
        <v>916</v>
      </c>
      <c r="B11" s="88">
        <f>CT!D431</f>
        <v>836562.37699999975</v>
      </c>
      <c r="C11" s="758"/>
      <c r="D11" s="759">
        <v>427984.16600000003</v>
      </c>
      <c r="E11" s="286">
        <f>B59</f>
        <v>1750000</v>
      </c>
      <c r="F11" s="93">
        <v>1154000</v>
      </c>
      <c r="G11" s="87">
        <f>+D59</f>
        <v>845000</v>
      </c>
      <c r="H11" s="306">
        <v>400000</v>
      </c>
      <c r="I11" s="109"/>
      <c r="J11" s="87">
        <f>+G57</f>
        <v>200000</v>
      </c>
      <c r="L11" s="325"/>
    </row>
    <row r="12" spans="1:12">
      <c r="A12" s="629" t="s">
        <v>99</v>
      </c>
      <c r="B12" s="88">
        <v>165000</v>
      </c>
      <c r="C12" s="758"/>
      <c r="D12" s="759">
        <v>20000</v>
      </c>
      <c r="E12" s="286"/>
      <c r="F12" s="93"/>
      <c r="G12" s="87"/>
      <c r="H12" s="286"/>
      <c r="I12" s="93"/>
      <c r="J12" s="87"/>
      <c r="L12" s="325"/>
    </row>
    <row r="13" spans="1:12">
      <c r="A13" s="629" t="s">
        <v>917</v>
      </c>
      <c r="B13" s="88">
        <v>180000</v>
      </c>
      <c r="C13" s="758"/>
      <c r="D13" s="759">
        <v>20000</v>
      </c>
      <c r="E13" s="286">
        <v>450000</v>
      </c>
      <c r="F13" s="93"/>
      <c r="G13" s="87">
        <v>50000</v>
      </c>
      <c r="H13" s="286"/>
      <c r="I13" s="93"/>
      <c r="J13" s="87"/>
    </row>
    <row r="14" spans="1:12">
      <c r="A14" s="629" t="s">
        <v>98</v>
      </c>
      <c r="B14" s="88">
        <v>300000</v>
      </c>
      <c r="C14" s="758"/>
      <c r="D14" s="759"/>
      <c r="E14" s="286"/>
      <c r="F14" s="93"/>
      <c r="G14" s="87"/>
      <c r="H14" s="286">
        <v>200000</v>
      </c>
      <c r="I14" s="289"/>
      <c r="J14" s="87"/>
    </row>
    <row r="15" spans="1:12" s="30" customFormat="1" ht="14.25">
      <c r="A15" s="35" t="s">
        <v>50</v>
      </c>
      <c r="B15" s="760">
        <v>0</v>
      </c>
      <c r="C15" s="761"/>
      <c r="D15" s="762"/>
      <c r="E15" s="83">
        <f t="shared" ref="E15:J15" si="4">SUM(E16:E30)</f>
        <v>313256</v>
      </c>
      <c r="F15" s="94">
        <f t="shared" si="4"/>
        <v>-3725355.1140000001</v>
      </c>
      <c r="G15" s="82">
        <f t="shared" si="4"/>
        <v>3910000</v>
      </c>
      <c r="H15" s="83">
        <f t="shared" si="4"/>
        <v>132750</v>
      </c>
      <c r="I15" s="94">
        <f t="shared" si="4"/>
        <v>346420.217</v>
      </c>
      <c r="J15" s="82">
        <f t="shared" si="4"/>
        <v>0</v>
      </c>
    </row>
    <row r="16" spans="1:12">
      <c r="A16" s="633" t="s">
        <v>52</v>
      </c>
      <c r="B16" s="323"/>
      <c r="C16" s="763"/>
      <c r="D16" s="764"/>
      <c r="E16" s="387"/>
      <c r="F16" s="324"/>
      <c r="G16" s="731"/>
      <c r="H16" s="781">
        <v>132750</v>
      </c>
      <c r="I16" s="109">
        <v>134685</v>
      </c>
      <c r="J16" s="731"/>
    </row>
    <row r="17" spans="1:10" s="331" customFormat="1">
      <c r="A17" s="634" t="s">
        <v>53</v>
      </c>
      <c r="B17" s="323"/>
      <c r="C17" s="763"/>
      <c r="D17" s="764"/>
      <c r="E17" s="306"/>
      <c r="F17" s="109"/>
      <c r="G17" s="307"/>
      <c r="H17" s="306"/>
      <c r="I17" s="109"/>
      <c r="J17" s="307"/>
    </row>
    <row r="18" spans="1:10" s="331" customFormat="1">
      <c r="A18" s="634" t="s">
        <v>54</v>
      </c>
      <c r="B18" s="323"/>
      <c r="C18" s="763"/>
      <c r="D18" s="764"/>
      <c r="E18" s="306"/>
      <c r="F18" s="109"/>
      <c r="G18" s="307"/>
      <c r="H18" s="306"/>
      <c r="I18" s="109"/>
      <c r="J18" s="307"/>
    </row>
    <row r="19" spans="1:10" s="331" customFormat="1">
      <c r="A19" s="634" t="s">
        <v>268</v>
      </c>
      <c r="B19" s="323"/>
      <c r="C19" s="763"/>
      <c r="D19" s="764"/>
      <c r="E19" s="306"/>
      <c r="F19" s="109"/>
      <c r="G19" s="307"/>
      <c r="H19" s="306"/>
      <c r="I19" s="109"/>
      <c r="J19" s="307"/>
    </row>
    <row r="20" spans="1:10" s="331" customFormat="1">
      <c r="A20" s="634" t="s">
        <v>55</v>
      </c>
      <c r="B20" s="323"/>
      <c r="C20" s="763"/>
      <c r="D20" s="764"/>
      <c r="E20" s="306"/>
      <c r="F20" s="237"/>
      <c r="G20" s="732"/>
      <c r="H20" s="306"/>
      <c r="I20" s="109"/>
      <c r="J20" s="307"/>
    </row>
    <row r="21" spans="1:10">
      <c r="A21" s="633" t="s">
        <v>56</v>
      </c>
      <c r="B21" s="323"/>
      <c r="C21" s="763"/>
      <c r="D21" s="764"/>
      <c r="E21" s="387"/>
      <c r="F21" s="109"/>
      <c r="G21" s="307"/>
      <c r="H21" s="306"/>
      <c r="I21" s="109"/>
      <c r="J21" s="732"/>
    </row>
    <row r="22" spans="1:10">
      <c r="A22" s="633" t="s">
        <v>1041</v>
      </c>
      <c r="B22" s="323"/>
      <c r="C22" s="763"/>
      <c r="D22" s="764"/>
      <c r="E22" s="306"/>
      <c r="F22" s="109"/>
      <c r="G22" s="307"/>
      <c r="H22" s="306"/>
      <c r="I22" s="109"/>
      <c r="J22" s="732"/>
    </row>
    <row r="23" spans="1:10">
      <c r="A23" s="629" t="s">
        <v>1228</v>
      </c>
      <c r="B23" s="323"/>
      <c r="C23" s="763"/>
      <c r="D23" s="764"/>
      <c r="E23" s="306"/>
      <c r="F23" s="324">
        <f>-4038540.332-70.782</f>
        <v>-4038611.1140000001</v>
      </c>
      <c r="G23" s="731">
        <f>4000000-90000</f>
        <v>3910000</v>
      </c>
      <c r="H23" s="306"/>
      <c r="I23" s="109">
        <v>-18124.782999999999</v>
      </c>
      <c r="J23" s="780"/>
    </row>
    <row r="24" spans="1:10">
      <c r="A24" s="629" t="s">
        <v>89</v>
      </c>
      <c r="B24" s="323"/>
      <c r="C24" s="763"/>
      <c r="D24" s="764"/>
      <c r="E24" s="387"/>
      <c r="F24" s="109"/>
      <c r="G24" s="307"/>
      <c r="H24" s="306"/>
      <c r="I24" s="109"/>
      <c r="J24" s="307"/>
    </row>
    <row r="25" spans="1:10" s="331" customFormat="1">
      <c r="A25" s="635" t="s">
        <v>243</v>
      </c>
      <c r="B25" s="323"/>
      <c r="C25" s="763"/>
      <c r="D25" s="764"/>
      <c r="E25" s="387"/>
      <c r="F25" s="109"/>
      <c r="G25" s="307"/>
      <c r="H25" s="387"/>
      <c r="I25" s="109"/>
      <c r="J25" s="307"/>
    </row>
    <row r="26" spans="1:10" s="331" customFormat="1">
      <c r="A26" s="635" t="s">
        <v>269</v>
      </c>
      <c r="B26" s="323"/>
      <c r="C26" s="763"/>
      <c r="D26" s="764"/>
      <c r="E26" s="782">
        <v>313256</v>
      </c>
      <c r="F26" s="109">
        <v>313256</v>
      </c>
      <c r="G26" s="307"/>
      <c r="H26" s="387"/>
      <c r="I26" s="109"/>
      <c r="J26" s="307"/>
    </row>
    <row r="27" spans="1:10" s="331" customFormat="1">
      <c r="A27" s="635" t="s">
        <v>117</v>
      </c>
      <c r="B27" s="323"/>
      <c r="C27" s="763"/>
      <c r="D27" s="764"/>
      <c r="E27" s="306"/>
      <c r="F27" s="109"/>
      <c r="G27" s="307"/>
      <c r="H27" s="306"/>
      <c r="I27" s="109"/>
      <c r="J27" s="307"/>
    </row>
    <row r="28" spans="1:10" s="331" customFormat="1">
      <c r="A28" s="635" t="s">
        <v>218</v>
      </c>
      <c r="B28" s="323"/>
      <c r="C28" s="763"/>
      <c r="D28" s="764"/>
      <c r="E28" s="733"/>
      <c r="F28" s="109"/>
      <c r="G28" s="307"/>
      <c r="H28" s="306"/>
      <c r="I28" s="109"/>
      <c r="J28" s="307"/>
    </row>
    <row r="29" spans="1:10" s="331" customFormat="1">
      <c r="A29" s="635" t="s">
        <v>1227</v>
      </c>
      <c r="B29" s="323"/>
      <c r="C29" s="763"/>
      <c r="D29" s="764"/>
      <c r="E29" s="306"/>
      <c r="F29" s="109"/>
      <c r="G29" s="307"/>
      <c r="H29" s="306"/>
      <c r="I29" s="109">
        <v>229860</v>
      </c>
      <c r="J29" s="307"/>
    </row>
    <row r="30" spans="1:10">
      <c r="A30" s="629" t="s">
        <v>2</v>
      </c>
      <c r="B30" s="88"/>
      <c r="C30" s="758"/>
      <c r="D30" s="759"/>
      <c r="E30" s="286"/>
      <c r="F30" s="93"/>
      <c r="G30" s="87"/>
      <c r="H30" s="286"/>
      <c r="I30" s="93"/>
      <c r="J30" s="87"/>
    </row>
    <row r="31" spans="1:10">
      <c r="A31" s="636" t="s">
        <v>189</v>
      </c>
      <c r="B31" s="110"/>
      <c r="C31" s="765"/>
      <c r="D31" s="766"/>
      <c r="E31" s="287"/>
      <c r="F31" s="111"/>
      <c r="G31" s="112"/>
      <c r="H31" s="287"/>
      <c r="I31" s="111"/>
      <c r="J31" s="112"/>
    </row>
    <row r="32" spans="1:10" ht="15.75" thickBot="1">
      <c r="A32" s="636" t="s">
        <v>89</v>
      </c>
      <c r="B32" s="776"/>
      <c r="C32" s="777"/>
      <c r="D32" s="778"/>
      <c r="E32" s="316"/>
      <c r="F32" s="317"/>
      <c r="G32" s="318"/>
      <c r="H32" s="316"/>
      <c r="I32" s="317"/>
      <c r="J32" s="318"/>
    </row>
    <row r="33" spans="1:10" ht="15.75" thickBot="1">
      <c r="A33" s="34" t="s">
        <v>57</v>
      </c>
      <c r="B33" s="770">
        <f t="shared" ref="B33:J33" si="5">B34+B49+B69</f>
        <v>2187289.9559999998</v>
      </c>
      <c r="C33" s="771">
        <f t="shared" si="5"/>
        <v>1310544.4439999999</v>
      </c>
      <c r="D33" s="772">
        <f t="shared" si="5"/>
        <v>900000</v>
      </c>
      <c r="E33" s="350">
        <f t="shared" si="5"/>
        <v>2622095.1559999995</v>
      </c>
      <c r="F33" s="352">
        <f t="shared" si="5"/>
        <v>1968962.659</v>
      </c>
      <c r="G33" s="351">
        <f t="shared" ref="G33" si="6">G34+G49+G69</f>
        <v>949575.995</v>
      </c>
      <c r="H33" s="350">
        <f t="shared" si="5"/>
        <v>95281.447</v>
      </c>
      <c r="I33" s="352">
        <f t="shared" si="5"/>
        <v>86370.661999999997</v>
      </c>
      <c r="J33" s="351">
        <f t="shared" si="5"/>
        <v>63359.654999999999</v>
      </c>
    </row>
    <row r="34" spans="1:10" s="30" customFormat="1" ht="14.25">
      <c r="A34" s="35" t="s">
        <v>58</v>
      </c>
      <c r="B34" s="319"/>
      <c r="C34" s="320"/>
      <c r="D34" s="321"/>
      <c r="E34" s="319">
        <f t="shared" ref="E34:J34" si="7">SUM(E35:E48)</f>
        <v>0</v>
      </c>
      <c r="F34" s="320">
        <f t="shared" si="7"/>
        <v>0</v>
      </c>
      <c r="G34" s="321">
        <f t="shared" ref="G34" si="8">SUM(G35:G48)</f>
        <v>0</v>
      </c>
      <c r="H34" s="319">
        <f t="shared" si="7"/>
        <v>0</v>
      </c>
      <c r="I34" s="320">
        <f t="shared" si="7"/>
        <v>0</v>
      </c>
      <c r="J34" s="321">
        <f t="shared" si="7"/>
        <v>0</v>
      </c>
    </row>
    <row r="35" spans="1:10">
      <c r="A35" s="637" t="s">
        <v>59</v>
      </c>
      <c r="B35" s="638"/>
      <c r="C35" s="640"/>
      <c r="D35" s="641"/>
      <c r="E35" s="81"/>
      <c r="F35" s="96"/>
      <c r="G35" s="80"/>
      <c r="H35" s="81"/>
      <c r="I35" s="96"/>
      <c r="J35" s="80"/>
    </row>
    <row r="36" spans="1:10">
      <c r="A36" s="637" t="s">
        <v>266</v>
      </c>
      <c r="B36" s="638"/>
      <c r="C36" s="640"/>
      <c r="D36" s="641"/>
      <c r="E36" s="81"/>
      <c r="F36" s="96"/>
      <c r="G36" s="80"/>
      <c r="H36" s="81"/>
      <c r="I36" s="96"/>
      <c r="J36" s="80"/>
    </row>
    <row r="37" spans="1:10">
      <c r="A37" s="637" t="s">
        <v>130</v>
      </c>
      <c r="B37" s="638"/>
      <c r="C37" s="640"/>
      <c r="D37" s="641"/>
      <c r="E37" s="81"/>
      <c r="F37" s="96"/>
      <c r="G37" s="80"/>
      <c r="H37" s="81"/>
      <c r="I37" s="96"/>
      <c r="J37" s="80"/>
    </row>
    <row r="38" spans="1:10">
      <c r="A38" s="637" t="s">
        <v>60</v>
      </c>
      <c r="B38" s="638"/>
      <c r="C38" s="640"/>
      <c r="D38" s="641"/>
      <c r="E38" s="81"/>
      <c r="F38" s="96"/>
      <c r="G38" s="80"/>
      <c r="H38" s="81"/>
      <c r="I38" s="96"/>
      <c r="J38" s="80"/>
    </row>
    <row r="39" spans="1:10">
      <c r="A39" s="637" t="s">
        <v>720</v>
      </c>
      <c r="B39" s="638"/>
      <c r="C39" s="640"/>
      <c r="D39" s="641"/>
      <c r="E39" s="81"/>
      <c r="F39" s="96"/>
      <c r="G39" s="80"/>
      <c r="H39" s="81"/>
      <c r="I39" s="96"/>
      <c r="J39" s="80"/>
    </row>
    <row r="40" spans="1:10">
      <c r="A40" s="637" t="s">
        <v>190</v>
      </c>
      <c r="B40" s="638"/>
      <c r="C40" s="640"/>
      <c r="D40" s="641"/>
      <c r="E40" s="81"/>
      <c r="F40" s="96"/>
      <c r="G40" s="80"/>
      <c r="H40" s="81"/>
      <c r="I40" s="96"/>
      <c r="J40" s="80"/>
    </row>
    <row r="41" spans="1:10">
      <c r="A41" s="637" t="s">
        <v>61</v>
      </c>
      <c r="B41" s="638"/>
      <c r="C41" s="640"/>
      <c r="D41" s="641"/>
      <c r="E41" s="81"/>
      <c r="F41" s="96"/>
      <c r="G41" s="80"/>
      <c r="H41" s="81"/>
      <c r="I41" s="96"/>
      <c r="J41" s="80"/>
    </row>
    <row r="42" spans="1:10">
      <c r="A42" s="637" t="s">
        <v>62</v>
      </c>
      <c r="B42" s="638"/>
      <c r="C42" s="640"/>
      <c r="D42" s="641"/>
      <c r="E42" s="81"/>
      <c r="F42" s="96"/>
      <c r="G42" s="80"/>
      <c r="H42" s="81"/>
      <c r="I42" s="96"/>
      <c r="J42" s="80"/>
    </row>
    <row r="43" spans="1:10">
      <c r="A43" s="637" t="s">
        <v>63</v>
      </c>
      <c r="B43" s="638"/>
      <c r="C43" s="640"/>
      <c r="D43" s="641"/>
      <c r="E43" s="81"/>
      <c r="F43" s="96"/>
      <c r="G43" s="80"/>
      <c r="H43" s="81"/>
      <c r="I43" s="96"/>
      <c r="J43" s="80"/>
    </row>
    <row r="44" spans="1:10" s="30" customFormat="1" ht="14.25">
      <c r="A44" s="639" t="s">
        <v>267</v>
      </c>
      <c r="B44" s="638"/>
      <c r="C44" s="640"/>
      <c r="D44" s="641"/>
      <c r="E44" s="638"/>
      <c r="F44" s="388"/>
      <c r="G44" s="734"/>
      <c r="H44" s="638"/>
      <c r="I44" s="640"/>
      <c r="J44" s="641"/>
    </row>
    <row r="45" spans="1:10">
      <c r="A45" s="637" t="s">
        <v>64</v>
      </c>
      <c r="B45" s="638"/>
      <c r="C45" s="640"/>
      <c r="D45" s="641"/>
      <c r="E45" s="81"/>
      <c r="F45" s="96"/>
      <c r="G45" s="80"/>
      <c r="H45" s="81"/>
      <c r="I45" s="96"/>
      <c r="J45" s="80"/>
    </row>
    <row r="46" spans="1:10">
      <c r="A46" s="637" t="s">
        <v>65</v>
      </c>
      <c r="B46" s="638"/>
      <c r="C46" s="640"/>
      <c r="D46" s="641"/>
      <c r="E46" s="81"/>
      <c r="F46" s="108"/>
      <c r="G46" s="114"/>
      <c r="H46" s="81"/>
      <c r="I46" s="96"/>
      <c r="J46" s="80"/>
    </row>
    <row r="47" spans="1:10">
      <c r="A47" s="637" t="s">
        <v>721</v>
      </c>
      <c r="B47" s="638"/>
      <c r="C47" s="640"/>
      <c r="D47" s="641"/>
      <c r="E47" s="81"/>
      <c r="F47" s="96"/>
      <c r="G47" s="80"/>
      <c r="H47" s="81"/>
      <c r="I47" s="96"/>
      <c r="J47" s="80"/>
    </row>
    <row r="48" spans="1:10">
      <c r="A48" s="637" t="s">
        <v>719</v>
      </c>
      <c r="B48" s="638"/>
      <c r="C48" s="640"/>
      <c r="D48" s="641"/>
      <c r="E48" s="81"/>
      <c r="F48" s="96"/>
      <c r="G48" s="80"/>
      <c r="H48" s="81"/>
      <c r="I48" s="96"/>
      <c r="J48" s="736"/>
    </row>
    <row r="49" spans="1:10" s="30" customFormat="1" ht="14.25">
      <c r="A49" s="86" t="s">
        <v>97</v>
      </c>
      <c r="B49" s="85">
        <f>SUM(B50:B68)</f>
        <v>2187289.9559999998</v>
      </c>
      <c r="C49" s="95">
        <f t="shared" ref="C49:D49" si="9">SUM(C50:C68)</f>
        <v>1310544.4439999999</v>
      </c>
      <c r="D49" s="84">
        <f t="shared" si="9"/>
        <v>900000</v>
      </c>
      <c r="E49" s="85">
        <f>SUM(E50:E67)</f>
        <v>2513993.3619999997</v>
      </c>
      <c r="F49" s="95">
        <f>SUM(F50:F67)</f>
        <v>1968962.659</v>
      </c>
      <c r="G49" s="84">
        <f>SUM(G50:G67)</f>
        <v>841473.995</v>
      </c>
      <c r="H49" s="85">
        <f>SUM(H50:H68)</f>
        <v>95281.447</v>
      </c>
      <c r="I49" s="95">
        <f>SUM(I50:I67)</f>
        <v>86370.661999999997</v>
      </c>
      <c r="J49" s="84">
        <f>SUM(J50:J65)</f>
        <v>63359.654999999999</v>
      </c>
    </row>
    <row r="50" spans="1:10">
      <c r="A50" s="637" t="s">
        <v>96</v>
      </c>
      <c r="B50" s="308">
        <v>20000</v>
      </c>
      <c r="C50" s="108"/>
      <c r="D50" s="114">
        <v>20000</v>
      </c>
      <c r="E50" s="308">
        <v>140000</v>
      </c>
      <c r="F50" s="108"/>
      <c r="G50" s="114">
        <v>140000</v>
      </c>
      <c r="H50" s="308">
        <v>7238.9449999999997</v>
      </c>
      <c r="I50" s="108"/>
      <c r="J50" s="114">
        <v>10000</v>
      </c>
    </row>
    <row r="51" spans="1:10">
      <c r="A51" s="637" t="s">
        <v>95</v>
      </c>
      <c r="B51" s="308">
        <v>30000</v>
      </c>
      <c r="C51" s="108"/>
      <c r="D51" s="114">
        <v>30000</v>
      </c>
      <c r="E51" s="308">
        <f>110000+28000</f>
        <v>138000</v>
      </c>
      <c r="F51" s="108">
        <v>42306.911</v>
      </c>
      <c r="G51" s="114">
        <f>79000+27000</f>
        <v>106000</v>
      </c>
      <c r="H51" s="308">
        <f>15000+10000</f>
        <v>25000</v>
      </c>
      <c r="I51" s="108">
        <v>11358.59</v>
      </c>
      <c r="J51" s="114">
        <v>25000</v>
      </c>
    </row>
    <row r="52" spans="1:10">
      <c r="A52" s="637" t="s">
        <v>128</v>
      </c>
      <c r="B52" s="308"/>
      <c r="C52" s="108">
        <v>142.303</v>
      </c>
      <c r="D52" s="114"/>
      <c r="E52" s="308"/>
      <c r="F52" s="108">
        <v>365.416</v>
      </c>
      <c r="G52" s="114"/>
      <c r="H52" s="308"/>
      <c r="I52" s="108"/>
      <c r="J52" s="114"/>
    </row>
    <row r="53" spans="1:10">
      <c r="A53" s="637" t="s">
        <v>94</v>
      </c>
      <c r="B53" s="308"/>
      <c r="C53" s="108"/>
      <c r="D53" s="114"/>
      <c r="E53" s="308">
        <v>120000</v>
      </c>
      <c r="F53" s="108">
        <v>121604.75900000001</v>
      </c>
      <c r="G53" s="114">
        <v>115473.995</v>
      </c>
      <c r="H53" s="308">
        <v>12000</v>
      </c>
      <c r="I53" s="108">
        <v>10502.683999999999</v>
      </c>
      <c r="J53" s="114">
        <v>18359.654999999999</v>
      </c>
    </row>
    <row r="54" spans="1:10">
      <c r="A54" s="637" t="s">
        <v>93</v>
      </c>
      <c r="B54" s="308">
        <v>9580.5609999999997</v>
      </c>
      <c r="C54" s="108">
        <v>9584.1309999999994</v>
      </c>
      <c r="D54" s="114"/>
      <c r="E54" s="308">
        <v>7940.2330000000002</v>
      </c>
      <c r="F54" s="108">
        <v>7940.2330000000002</v>
      </c>
      <c r="G54" s="114"/>
      <c r="H54" s="308"/>
      <c r="I54" s="108"/>
      <c r="J54" s="114"/>
    </row>
    <row r="55" spans="1:10">
      <c r="A55" s="637" t="s">
        <v>188</v>
      </c>
      <c r="B55" s="308"/>
      <c r="C55" s="108"/>
      <c r="D55" s="114"/>
      <c r="E55" s="308">
        <f>SNA!F93+200000+70000+80000</f>
        <v>448500</v>
      </c>
      <c r="F55" s="108">
        <f>63200.31+394000+82511.699</f>
        <v>539712.00899999996</v>
      </c>
      <c r="G55" s="114">
        <v>170000</v>
      </c>
      <c r="H55" s="308"/>
      <c r="I55" s="108"/>
      <c r="J55" s="114"/>
    </row>
    <row r="56" spans="1:10">
      <c r="A56" s="637" t="s">
        <v>92</v>
      </c>
      <c r="B56" s="308">
        <f>SND!F19+SND!F22</f>
        <v>50000</v>
      </c>
      <c r="C56" s="108">
        <v>50000</v>
      </c>
      <c r="D56" s="114"/>
      <c r="E56" s="308"/>
      <c r="F56" s="108"/>
      <c r="G56" s="114"/>
      <c r="H56" s="308"/>
      <c r="I56" s="108"/>
      <c r="J56" s="114"/>
    </row>
    <row r="57" spans="1:10" s="30" customFormat="1">
      <c r="A57" s="637" t="s">
        <v>46</v>
      </c>
      <c r="B57" s="308"/>
      <c r="C57" s="108"/>
      <c r="D57" s="114"/>
      <c r="E57" s="322">
        <v>410000</v>
      </c>
      <c r="F57" s="108"/>
      <c r="G57" s="114">
        <v>200000</v>
      </c>
      <c r="H57" s="308"/>
      <c r="I57" s="108"/>
      <c r="J57" s="114"/>
    </row>
    <row r="58" spans="1:10" s="30" customFormat="1">
      <c r="A58" s="637" t="s">
        <v>91</v>
      </c>
      <c r="B58" s="308">
        <f>SND!F18+SND!F21+SND!F23</f>
        <v>300000</v>
      </c>
      <c r="C58" s="108">
        <v>300000</v>
      </c>
      <c r="D58" s="114"/>
      <c r="E58" s="735"/>
      <c r="F58" s="108"/>
      <c r="G58" s="114"/>
      <c r="H58" s="308"/>
      <c r="I58" s="108"/>
      <c r="J58" s="114"/>
    </row>
    <row r="59" spans="1:10">
      <c r="A59" s="637" t="s">
        <v>45</v>
      </c>
      <c r="B59" s="308">
        <v>1750000</v>
      </c>
      <c r="C59" s="108">
        <v>920000</v>
      </c>
      <c r="D59" s="114">
        <v>845000</v>
      </c>
      <c r="E59" s="735"/>
      <c r="F59" s="108"/>
      <c r="G59" s="114"/>
      <c r="H59" s="308"/>
      <c r="I59" s="108"/>
      <c r="J59" s="114"/>
    </row>
    <row r="60" spans="1:10">
      <c r="A60" s="637" t="s">
        <v>129</v>
      </c>
      <c r="B60" s="308"/>
      <c r="C60" s="108"/>
      <c r="D60" s="114"/>
      <c r="E60" s="322"/>
      <c r="F60" s="233"/>
      <c r="G60" s="736"/>
      <c r="H60" s="322"/>
      <c r="I60" s="108"/>
      <c r="J60" s="288"/>
    </row>
    <row r="61" spans="1:10">
      <c r="A61" s="637" t="s">
        <v>119</v>
      </c>
      <c r="B61" s="308"/>
      <c r="C61" s="108"/>
      <c r="D61" s="114"/>
      <c r="E61" s="735">
        <v>160000</v>
      </c>
      <c r="F61" s="108">
        <v>160000</v>
      </c>
      <c r="G61" s="114"/>
      <c r="H61" s="308"/>
      <c r="I61" s="108"/>
      <c r="J61" s="114"/>
    </row>
    <row r="62" spans="1:10">
      <c r="A62" s="637" t="s">
        <v>118</v>
      </c>
      <c r="B62" s="308"/>
      <c r="C62" s="108"/>
      <c r="D62" s="114"/>
      <c r="E62" s="322"/>
      <c r="F62" s="108">
        <v>242404.43900000001</v>
      </c>
      <c r="G62" s="114"/>
      <c r="H62" s="308"/>
      <c r="I62" s="108"/>
      <c r="J62" s="114"/>
    </row>
    <row r="63" spans="1:10">
      <c r="A63" s="637" t="s">
        <v>206</v>
      </c>
      <c r="B63" s="308"/>
      <c r="C63" s="108"/>
      <c r="D63" s="114"/>
      <c r="E63" s="322">
        <v>30000</v>
      </c>
      <c r="F63" s="108"/>
      <c r="G63" s="114"/>
      <c r="H63" s="308"/>
      <c r="I63" s="108"/>
      <c r="J63" s="114"/>
    </row>
    <row r="64" spans="1:10">
      <c r="A64" s="637" t="s">
        <v>113</v>
      </c>
      <c r="B64" s="308"/>
      <c r="C64" s="108"/>
      <c r="D64" s="114"/>
      <c r="E64" s="322">
        <v>110000</v>
      </c>
      <c r="F64" s="108"/>
      <c r="G64" s="114">
        <v>60000</v>
      </c>
      <c r="H64" s="308"/>
      <c r="I64" s="108"/>
      <c r="J64" s="114"/>
    </row>
    <row r="65" spans="1:10">
      <c r="A65" s="637" t="s">
        <v>90</v>
      </c>
      <c r="B65" s="308">
        <f>SND!F16+SND!F17+SND!F20</f>
        <v>12709.395</v>
      </c>
      <c r="C65" s="108">
        <v>30818.01</v>
      </c>
      <c r="D65" s="114">
        <v>5000</v>
      </c>
      <c r="E65" s="308">
        <f>SNA!F79+SNA!F80+SNA!F81+SNA!F83+SNA!F84+SNA!F85+SNA!F86+SNA!F87+SNA!F88+SNA!F89+SNA!F90+SNA!F91+SNA!F92+SNA!F94+SNA!F95+SNA!F96+SNA!F97+SNA!F98+SNA!F99+SNA!F100+SNA!F101+SNA!F102+SNA!F103+SNA!F104+SNA!F105+SNA!F106+SNA!F107+SNA!F108+SNA!F109+SNA!F110+SNA!F111+SNA!F112+SNA!F113+SNA!F114+SNA!F115+SNA!F116</f>
        <v>649553.12899999984</v>
      </c>
      <c r="F65" s="108">
        <v>854628.89199999999</v>
      </c>
      <c r="G65" s="114"/>
      <c r="H65" s="308">
        <f>STA!F26+STA!F27+STA!F28+STA!F29</f>
        <v>11042.501999999999</v>
      </c>
      <c r="I65" s="108">
        <v>64509.387999999999</v>
      </c>
      <c r="J65" s="114">
        <v>10000</v>
      </c>
    </row>
    <row r="66" spans="1:10">
      <c r="A66" s="637" t="s">
        <v>718</v>
      </c>
      <c r="B66" s="308">
        <v>15000</v>
      </c>
      <c r="C66" s="108"/>
      <c r="D66" s="114"/>
      <c r="E66" s="308">
        <v>300000</v>
      </c>
      <c r="F66" s="108"/>
      <c r="G66" s="114">
        <v>50000</v>
      </c>
      <c r="H66" s="308">
        <v>40000</v>
      </c>
      <c r="I66" s="108"/>
      <c r="J66" s="114"/>
    </row>
    <row r="67" spans="1:10">
      <c r="A67" s="637" t="s">
        <v>120</v>
      </c>
      <c r="B67" s="81"/>
      <c r="C67" s="96"/>
      <c r="D67" s="80"/>
      <c r="E67" s="737"/>
      <c r="F67" s="388"/>
      <c r="G67" s="734"/>
      <c r="H67" s="81"/>
      <c r="I67" s="96"/>
      <c r="J67" s="80"/>
    </row>
    <row r="68" spans="1:10">
      <c r="A68" s="637" t="s">
        <v>117</v>
      </c>
      <c r="B68" s="638">
        <v>0</v>
      </c>
      <c r="C68" s="640"/>
      <c r="D68" s="641"/>
      <c r="E68" s="81"/>
      <c r="F68" s="96"/>
      <c r="G68" s="80"/>
      <c r="H68" s="81"/>
      <c r="I68" s="96"/>
      <c r="J68" s="80"/>
    </row>
    <row r="69" spans="1:10" s="30" customFormat="1" ht="14.25">
      <c r="A69" s="36" t="s">
        <v>66</v>
      </c>
      <c r="B69" s="83">
        <f>SUM(B70:B72)</f>
        <v>0</v>
      </c>
      <c r="C69" s="94">
        <f t="shared" ref="C69:D69" si="10">SUM(C70:C72)</f>
        <v>0</v>
      </c>
      <c r="D69" s="82">
        <f t="shared" si="10"/>
        <v>0</v>
      </c>
      <c r="E69" s="83">
        <f t="shared" ref="E69:J69" si="11">SUM(E70:E72)</f>
        <v>108101.79399999999</v>
      </c>
      <c r="F69" s="94">
        <f t="shared" si="11"/>
        <v>0</v>
      </c>
      <c r="G69" s="82">
        <f t="shared" ref="G69" si="12">SUM(G70:G72)</f>
        <v>108102</v>
      </c>
      <c r="H69" s="83">
        <f t="shared" si="11"/>
        <v>0</v>
      </c>
      <c r="I69" s="94">
        <f t="shared" si="11"/>
        <v>0</v>
      </c>
      <c r="J69" s="82">
        <f t="shared" si="11"/>
        <v>0</v>
      </c>
    </row>
    <row r="70" spans="1:10">
      <c r="A70" s="637" t="s">
        <v>89</v>
      </c>
      <c r="B70" s="81"/>
      <c r="C70" s="96"/>
      <c r="D70" s="80"/>
      <c r="E70" s="81">
        <f>CMT!G49</f>
        <v>43858.125</v>
      </c>
      <c r="F70" s="96"/>
      <c r="G70" s="80">
        <v>43858</v>
      </c>
      <c r="H70" s="81"/>
      <c r="I70" s="96"/>
      <c r="J70" s="80"/>
    </row>
    <row r="71" spans="1:10">
      <c r="A71" s="637" t="s">
        <v>262</v>
      </c>
      <c r="B71" s="81"/>
      <c r="C71" s="96"/>
      <c r="D71" s="80"/>
      <c r="E71" s="81">
        <f>SNA!F82</f>
        <v>64243.669000000002</v>
      </c>
      <c r="F71" s="96"/>
      <c r="G71" s="80">
        <v>64244</v>
      </c>
      <c r="H71" s="81"/>
      <c r="I71" s="96"/>
      <c r="J71" s="80"/>
    </row>
    <row r="72" spans="1:10" ht="15.75" thickBot="1">
      <c r="A72" s="740" t="s">
        <v>1228</v>
      </c>
      <c r="B72" s="746"/>
      <c r="C72" s="750"/>
      <c r="D72" s="747"/>
      <c r="E72" s="746"/>
      <c r="F72" s="750"/>
      <c r="G72" s="747"/>
      <c r="H72" s="746"/>
      <c r="I72" s="750"/>
      <c r="J72" s="747"/>
    </row>
    <row r="73" spans="1:10" s="33" customFormat="1">
      <c r="A73" s="32" t="s">
        <v>1226</v>
      </c>
      <c r="B73" s="741">
        <f t="shared" ref="B73:J73" si="13">B4+B5+B10-B33</f>
        <v>-310887.92099999986</v>
      </c>
      <c r="C73" s="743">
        <f t="shared" si="13"/>
        <v>-149983.78699999978</v>
      </c>
      <c r="D73" s="742">
        <f t="shared" si="13"/>
        <v>-299099.75299999979</v>
      </c>
      <c r="E73" s="741">
        <f t="shared" si="13"/>
        <v>-2090909.2969999996</v>
      </c>
      <c r="F73" s="743">
        <f t="shared" si="13"/>
        <v>-6522387.9139999999</v>
      </c>
      <c r="G73" s="742">
        <f t="shared" ref="G73" si="14">G4+G5+G10-G33</f>
        <v>-2510963.909</v>
      </c>
      <c r="H73" s="741">
        <f t="shared" si="13"/>
        <v>-432408.91399999993</v>
      </c>
      <c r="I73" s="743">
        <f t="shared" si="13"/>
        <v>-827952.69499999995</v>
      </c>
      <c r="J73" s="742">
        <f t="shared" si="13"/>
        <v>-691312.35</v>
      </c>
    </row>
    <row r="74" spans="1:10" s="33" customFormat="1" ht="15.75" thickBot="1">
      <c r="A74" s="642" t="s">
        <v>67</v>
      </c>
      <c r="B74" s="783">
        <v>-300000</v>
      </c>
      <c r="C74" s="784"/>
      <c r="D74" s="785"/>
      <c r="E74" s="786">
        <v>-2000000</v>
      </c>
      <c r="F74" s="787"/>
      <c r="G74" s="788"/>
      <c r="H74" s="783">
        <v>-420000</v>
      </c>
      <c r="I74" s="784"/>
      <c r="J74" s="785"/>
    </row>
    <row r="76" spans="1:10" s="643" customFormat="1" ht="14.25">
      <c r="B76" s="226"/>
      <c r="C76" s="226"/>
      <c r="D76" s="226"/>
      <c r="E76" s="226"/>
      <c r="F76" s="226"/>
      <c r="G76" s="226"/>
      <c r="H76" s="226"/>
      <c r="I76" s="226"/>
      <c r="J76" s="226"/>
    </row>
    <row r="77" spans="1:10" s="643" customFormat="1" ht="14.25">
      <c r="B77" s="226"/>
      <c r="C77" s="226"/>
      <c r="D77" s="226"/>
      <c r="E77" s="226"/>
      <c r="F77" s="226"/>
      <c r="G77" s="226"/>
      <c r="H77" s="226"/>
      <c r="I77" s="226"/>
      <c r="J77" s="226"/>
    </row>
    <row r="78" spans="1:10" s="225" customFormat="1">
      <c r="B78" s="226"/>
      <c r="C78" s="226"/>
      <c r="D78" s="226"/>
      <c r="E78" s="226"/>
      <c r="F78" s="224"/>
      <c r="G78" s="224"/>
      <c r="H78" s="224"/>
      <c r="I78" s="224"/>
      <c r="J78" s="224"/>
    </row>
  </sheetData>
  <mergeCells count="6">
    <mergeCell ref="B74:D74"/>
    <mergeCell ref="E74:G74"/>
    <mergeCell ref="H74:J74"/>
    <mergeCell ref="H1:J1"/>
    <mergeCell ref="E1:G1"/>
    <mergeCell ref="B1:D1"/>
  </mergeCells>
  <pageMargins left="0" right="0" top="0" bottom="0" header="0" footer="0"/>
  <pageSetup paperSize="9" scale="53" orientation="landscape" horizontalDpi="180" verticalDpi="180" r:id="rId1"/>
  <ignoredErrors>
    <ignoredError sqref="E49 H49:J49 G69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76"/>
  <sheetViews>
    <sheetView topLeftCell="A19" zoomScale="90" zoomScaleNormal="90" workbookViewId="0">
      <selection activeCell="C37" sqref="C37:C38"/>
    </sheetView>
  </sheetViews>
  <sheetFormatPr baseColWidth="10" defaultRowHeight="12.75"/>
  <cols>
    <col min="1" max="1" width="17" style="38" bestFit="1" customWidth="1"/>
    <col min="2" max="2" width="10.28515625" style="38" bestFit="1" customWidth="1"/>
    <col min="3" max="3" width="13" style="38" bestFit="1" customWidth="1"/>
    <col min="4" max="4" width="12" style="241" bestFit="1" customWidth="1"/>
    <col min="5" max="5" width="15.42578125" style="38" bestFit="1" customWidth="1"/>
    <col min="6" max="6" width="11.42578125" style="38" bestFit="1" customWidth="1"/>
    <col min="7" max="7" width="6.140625" style="38" bestFit="1" customWidth="1"/>
    <col min="8" max="12" width="11.42578125" style="38"/>
    <col min="13" max="13" width="11" style="38" bestFit="1" customWidth="1"/>
    <col min="14" max="16384" width="11.42578125" style="38"/>
  </cols>
  <sheetData>
    <row r="1" spans="1:7">
      <c r="A1" s="37">
        <f ca="1">TODAY()</f>
        <v>43461</v>
      </c>
    </row>
    <row r="2" spans="1:7">
      <c r="A2" s="38" t="s">
        <v>68</v>
      </c>
      <c r="C2" s="37">
        <v>43100</v>
      </c>
      <c r="D2" s="241">
        <v>2.9478</v>
      </c>
    </row>
    <row r="3" spans="1:7">
      <c r="A3" s="38" t="s">
        <v>69</v>
      </c>
      <c r="C3" s="37">
        <v>43100</v>
      </c>
      <c r="D3" s="241">
        <v>2.4839000000000002</v>
      </c>
    </row>
    <row r="4" spans="1:7">
      <c r="A4" s="38" t="s">
        <v>70</v>
      </c>
      <c r="C4" s="37">
        <v>43100</v>
      </c>
      <c r="D4" s="241">
        <v>3.3113000000000001</v>
      </c>
    </row>
    <row r="5" spans="1:7" ht="13.5" thickBot="1">
      <c r="A5" s="38" t="s">
        <v>191</v>
      </c>
      <c r="C5" s="37">
        <v>43100</v>
      </c>
      <c r="D5" s="241">
        <v>0.38400000000000001</v>
      </c>
    </row>
    <row r="6" spans="1:7" ht="13.5" thickBot="1">
      <c r="A6" s="805" t="s">
        <v>71</v>
      </c>
      <c r="B6" s="806"/>
      <c r="C6" s="806"/>
      <c r="D6" s="806"/>
      <c r="E6" s="806"/>
      <c r="F6" s="807"/>
    </row>
    <row r="7" spans="1:7" ht="13.5" thickBot="1">
      <c r="A7" s="413" t="s">
        <v>72</v>
      </c>
      <c r="B7" s="414" t="s">
        <v>73</v>
      </c>
      <c r="C7" s="414" t="s">
        <v>74</v>
      </c>
      <c r="D7" s="242" t="s">
        <v>75</v>
      </c>
      <c r="E7" s="414" t="s">
        <v>76</v>
      </c>
      <c r="F7" s="415" t="s">
        <v>13</v>
      </c>
    </row>
    <row r="8" spans="1:7" ht="13.5" thickBot="1">
      <c r="A8" s="649"/>
      <c r="B8" s="650"/>
      <c r="C8" s="657"/>
      <c r="D8" s="651"/>
      <c r="E8" s="652"/>
      <c r="F8" s="658"/>
    </row>
    <row r="9" spans="1:7" ht="13.5" thickBot="1">
      <c r="A9" s="794" t="s">
        <v>77</v>
      </c>
      <c r="B9" s="795"/>
      <c r="C9" s="269">
        <f>SUM(C8:C8)</f>
        <v>0</v>
      </c>
    </row>
    <row r="10" spans="1:7" s="239" customFormat="1" ht="13.5" thickBot="1">
      <c r="A10" s="248"/>
      <c r="B10" s="248"/>
      <c r="C10" s="249"/>
      <c r="D10" s="250"/>
    </row>
    <row r="11" spans="1:7" ht="13.5" thickBot="1">
      <c r="A11" s="342"/>
      <c r="B11" s="343"/>
      <c r="C11" s="344"/>
      <c r="D11" s="345"/>
      <c r="E11" s="346"/>
      <c r="F11" s="347"/>
      <c r="G11" s="251"/>
    </row>
    <row r="12" spans="1:7" ht="13.5" thickBot="1">
      <c r="A12" s="805" t="s">
        <v>77</v>
      </c>
      <c r="B12" s="806"/>
      <c r="C12" s="115">
        <f>SUM(C11:C11)</f>
        <v>0</v>
      </c>
      <c r="D12" s="244"/>
      <c r="E12" s="39"/>
      <c r="F12" s="39"/>
    </row>
    <row r="13" spans="1:7" ht="13.5" thickBot="1"/>
    <row r="14" spans="1:7" ht="13.5" thickBot="1">
      <c r="A14" s="342"/>
      <c r="B14" s="343"/>
      <c r="C14" s="344"/>
      <c r="D14" s="345"/>
      <c r="E14" s="346"/>
      <c r="F14" s="347"/>
      <c r="G14" s="251"/>
    </row>
    <row r="15" spans="1:7" ht="13.5" thickBot="1">
      <c r="A15" s="805" t="s">
        <v>77</v>
      </c>
      <c r="B15" s="806"/>
      <c r="C15" s="115">
        <f>SUM(C14:C14)</f>
        <v>0</v>
      </c>
      <c r="D15" s="244"/>
      <c r="E15" s="39"/>
      <c r="F15" s="39"/>
    </row>
    <row r="16" spans="1:7" ht="13.5" thickBot="1"/>
    <row r="17" spans="1:15" ht="13.5" thickBot="1">
      <c r="A17" s="342"/>
      <c r="B17" s="343"/>
      <c r="C17" s="344"/>
      <c r="D17" s="345"/>
      <c r="E17" s="346"/>
      <c r="F17" s="347"/>
    </row>
    <row r="18" spans="1:15" ht="13.5" thickBot="1">
      <c r="A18" s="805" t="s">
        <v>77</v>
      </c>
      <c r="B18" s="806"/>
      <c r="C18" s="115">
        <f>SUM(C17:C17)</f>
        <v>0</v>
      </c>
      <c r="D18" s="244"/>
      <c r="E18" s="39"/>
      <c r="F18" s="39"/>
      <c r="O18" s="234"/>
    </row>
    <row r="19" spans="1:15" ht="13.5" thickBot="1"/>
    <row r="20" spans="1:15" ht="13.5" thickBot="1">
      <c r="A20" s="805" t="s">
        <v>78</v>
      </c>
      <c r="B20" s="806"/>
      <c r="C20" s="806"/>
      <c r="D20" s="806"/>
      <c r="E20" s="806"/>
      <c r="F20" s="807"/>
    </row>
    <row r="21" spans="1:15">
      <c r="A21" s="235" t="s">
        <v>910</v>
      </c>
      <c r="B21" s="253" t="s">
        <v>16</v>
      </c>
      <c r="C21" s="254">
        <v>73172.490000000005</v>
      </c>
      <c r="D21" s="243">
        <f t="shared" ref="D21:D22" si="0">+C21*$D$2</f>
        <v>215697.866022</v>
      </c>
      <c r="E21" s="480">
        <v>43336</v>
      </c>
      <c r="F21" s="674">
        <f>E21+90</f>
        <v>43426</v>
      </c>
      <c r="G21" s="239"/>
      <c r="H21" s="37"/>
      <c r="I21" s="64"/>
      <c r="J21" s="64"/>
      <c r="K21" s="64"/>
      <c r="L21" s="64"/>
      <c r="M21" s="64"/>
      <c r="N21" s="64"/>
    </row>
    <row r="22" spans="1:15">
      <c r="A22" s="235" t="s">
        <v>1038</v>
      </c>
      <c r="B22" s="253" t="s">
        <v>16</v>
      </c>
      <c r="C22" s="254">
        <v>48306.92</v>
      </c>
      <c r="D22" s="243">
        <f t="shared" si="0"/>
        <v>142399.13877600001</v>
      </c>
      <c r="E22" s="480">
        <v>43353</v>
      </c>
      <c r="F22" s="674">
        <f t="shared" ref="F22:F26" si="1">E22+90</f>
        <v>43443</v>
      </c>
      <c r="G22" s="239"/>
      <c r="H22" s="37"/>
      <c r="I22" s="64"/>
      <c r="J22" s="64"/>
      <c r="K22" s="64"/>
      <c r="L22" s="64"/>
      <c r="M22" s="64"/>
      <c r="N22" s="64"/>
    </row>
    <row r="23" spans="1:15">
      <c r="A23" s="235" t="s">
        <v>1039</v>
      </c>
      <c r="B23" s="253" t="s">
        <v>16</v>
      </c>
      <c r="C23" s="254">
        <v>59286.47</v>
      </c>
      <c r="D23" s="243">
        <f>+C23*D2</f>
        <v>174764.65626600001</v>
      </c>
      <c r="E23" s="480">
        <v>43362</v>
      </c>
      <c r="F23" s="674">
        <f t="shared" si="1"/>
        <v>43452</v>
      </c>
      <c r="G23" s="239"/>
      <c r="H23" s="37"/>
      <c r="I23" s="64"/>
      <c r="J23" s="64"/>
      <c r="K23" s="64"/>
      <c r="L23" s="64"/>
      <c r="M23" s="64"/>
      <c r="N23" s="64"/>
    </row>
    <row r="24" spans="1:15">
      <c r="A24" s="235" t="s">
        <v>1040</v>
      </c>
      <c r="B24" s="253" t="s">
        <v>16</v>
      </c>
      <c r="C24" s="254">
        <v>41449.81</v>
      </c>
      <c r="D24" s="243">
        <f>+C24*D2</f>
        <v>122185.74991799999</v>
      </c>
      <c r="E24" s="480">
        <v>43371</v>
      </c>
      <c r="F24" s="674">
        <f t="shared" si="1"/>
        <v>43461</v>
      </c>
      <c r="G24" s="239"/>
      <c r="H24" s="37"/>
      <c r="I24" s="64"/>
      <c r="J24" s="64"/>
      <c r="K24" s="64"/>
      <c r="L24" s="64"/>
      <c r="M24" s="64"/>
      <c r="N24" s="64"/>
    </row>
    <row r="25" spans="1:15">
      <c r="A25" s="235" t="s">
        <v>1299</v>
      </c>
      <c r="B25" s="297" t="s">
        <v>16</v>
      </c>
      <c r="C25" s="298">
        <v>24507.47</v>
      </c>
      <c r="D25" s="261">
        <f>+C25*D2</f>
        <v>72243.120066000003</v>
      </c>
      <c r="E25" s="296">
        <v>43412</v>
      </c>
      <c r="F25" s="696">
        <f t="shared" si="1"/>
        <v>43502</v>
      </c>
      <c r="G25" s="239"/>
      <c r="H25" s="37"/>
      <c r="I25" s="64"/>
      <c r="J25" s="64"/>
      <c r="K25" s="64"/>
      <c r="L25" s="64"/>
      <c r="M25" s="64"/>
      <c r="N25" s="64"/>
    </row>
    <row r="26" spans="1:15">
      <c r="A26" s="235" t="s">
        <v>1475</v>
      </c>
      <c r="B26" s="297" t="s">
        <v>16</v>
      </c>
      <c r="C26" s="298">
        <v>13362.02</v>
      </c>
      <c r="D26" s="261">
        <f>+C26*D2</f>
        <v>39388.562556000004</v>
      </c>
      <c r="E26" s="296">
        <v>43431</v>
      </c>
      <c r="F26" s="696">
        <f t="shared" si="1"/>
        <v>43521</v>
      </c>
      <c r="G26" s="239"/>
      <c r="H26" s="37"/>
      <c r="I26" s="64"/>
      <c r="J26" s="64"/>
      <c r="K26" s="64"/>
      <c r="L26" s="64"/>
      <c r="M26" s="64"/>
      <c r="N26" s="64"/>
    </row>
    <row r="27" spans="1:15" ht="13.5" thickBot="1">
      <c r="A27" s="150"/>
      <c r="B27" s="230"/>
      <c r="C27" s="151"/>
      <c r="D27" s="245"/>
      <c r="E27" s="385"/>
      <c r="F27" s="386"/>
      <c r="H27" s="37"/>
      <c r="L27" s="485"/>
    </row>
    <row r="28" spans="1:15" ht="13.5" thickBot="1">
      <c r="A28" s="805" t="s">
        <v>77</v>
      </c>
      <c r="B28" s="806"/>
      <c r="C28" s="115">
        <f>SUM(C21:C27)</f>
        <v>260085.18</v>
      </c>
      <c r="D28" s="244"/>
      <c r="E28" s="39"/>
      <c r="F28" s="39"/>
    </row>
    <row r="29" spans="1:15" s="239" customFormat="1" ht="13.5" thickBot="1">
      <c r="A29" s="248"/>
      <c r="B29" s="248"/>
      <c r="C29" s="249"/>
      <c r="D29" s="246"/>
      <c r="E29" s="247"/>
      <c r="F29" s="247"/>
    </row>
    <row r="30" spans="1:15" s="64" customFormat="1" ht="13.5" thickBot="1">
      <c r="A30" s="342"/>
      <c r="B30" s="343"/>
      <c r="C30" s="344"/>
      <c r="D30" s="345"/>
      <c r="E30" s="346"/>
      <c r="F30" s="347"/>
      <c r="I30" s="38"/>
      <c r="J30" s="38"/>
      <c r="K30" s="38"/>
      <c r="L30" s="38"/>
      <c r="M30" s="38"/>
      <c r="N30" s="38"/>
    </row>
    <row r="31" spans="1:15" ht="13.5" thickBot="1">
      <c r="A31" s="805" t="s">
        <v>77</v>
      </c>
      <c r="B31" s="806"/>
      <c r="C31" s="115">
        <f>SUM(C30:C30)</f>
        <v>0</v>
      </c>
      <c r="D31" s="244"/>
      <c r="E31" s="39"/>
      <c r="F31" s="39"/>
    </row>
    <row r="32" spans="1:15" s="239" customFormat="1" ht="13.5" thickBot="1">
      <c r="A32" s="248"/>
      <c r="B32" s="248"/>
      <c r="C32" s="249"/>
      <c r="D32" s="246"/>
      <c r="E32" s="247"/>
      <c r="F32" s="247"/>
    </row>
    <row r="33" spans="1:14" s="64" customFormat="1">
      <c r="A33" s="506"/>
      <c r="B33" s="507"/>
      <c r="C33" s="613"/>
      <c r="D33" s="509"/>
      <c r="E33" s="510"/>
      <c r="F33" s="511"/>
      <c r="I33" s="38"/>
      <c r="J33" s="38"/>
      <c r="K33" s="38"/>
      <c r="L33" s="38"/>
      <c r="M33" s="38"/>
      <c r="N33" s="38"/>
    </row>
    <row r="34" spans="1:14" s="64" customFormat="1" ht="13.5" thickBot="1">
      <c r="A34" s="614"/>
      <c r="B34" s="615"/>
      <c r="C34" s="616"/>
      <c r="D34" s="617"/>
      <c r="E34" s="618"/>
      <c r="F34" s="619"/>
      <c r="I34" s="38"/>
      <c r="J34" s="38"/>
      <c r="K34" s="38"/>
      <c r="L34" s="38"/>
      <c r="M34" s="38"/>
      <c r="N34" s="38"/>
    </row>
    <row r="35" spans="1:14" ht="13.5" thickBot="1">
      <c r="A35" s="805" t="s">
        <v>77</v>
      </c>
      <c r="B35" s="806"/>
      <c r="C35" s="115">
        <f>SUM(C33)</f>
        <v>0</v>
      </c>
      <c r="D35" s="244"/>
      <c r="E35" s="39"/>
      <c r="F35" s="39"/>
    </row>
    <row r="36" spans="1:14" s="239" customFormat="1" ht="13.5" thickBot="1">
      <c r="A36" s="248"/>
      <c r="B36" s="248"/>
      <c r="C36" s="249"/>
      <c r="D36" s="246"/>
      <c r="E36" s="247"/>
      <c r="F36" s="247"/>
    </row>
    <row r="37" spans="1:14">
      <c r="A37" s="290" t="s">
        <v>1037</v>
      </c>
      <c r="B37" s="45" t="s">
        <v>16</v>
      </c>
      <c r="C37" s="291">
        <v>47512.84</v>
      </c>
      <c r="D37" s="292">
        <f>+C37*D2</f>
        <v>140058.34975199998</v>
      </c>
      <c r="E37" s="384">
        <v>43370</v>
      </c>
      <c r="F37" s="659">
        <f>+E37+90</f>
        <v>43460</v>
      </c>
    </row>
    <row r="38" spans="1:14" ht="13.5" thickBot="1">
      <c r="A38" s="150" t="s">
        <v>1037</v>
      </c>
      <c r="B38" s="230" t="s">
        <v>16</v>
      </c>
      <c r="C38" s="151">
        <v>7706.5</v>
      </c>
      <c r="D38" s="245">
        <f>+C38*D2</f>
        <v>22717.220699999998</v>
      </c>
      <c r="E38" s="385">
        <v>43383</v>
      </c>
      <c r="F38" s="386">
        <f>+E38+90</f>
        <v>43473</v>
      </c>
    </row>
    <row r="39" spans="1:14" ht="13.5" thickBot="1">
      <c r="A39" s="805" t="s">
        <v>77</v>
      </c>
      <c r="B39" s="806"/>
      <c r="C39" s="115">
        <f>SUM(C37:C38)</f>
        <v>55219.34</v>
      </c>
      <c r="D39" s="244"/>
      <c r="E39" s="39"/>
      <c r="F39" s="39"/>
      <c r="L39" s="486"/>
    </row>
    <row r="40" spans="1:14" s="239" customFormat="1" ht="13.5" thickBot="1">
      <c r="A40" s="502"/>
      <c r="B40" s="502"/>
      <c r="C40" s="503"/>
      <c r="D40" s="246"/>
      <c r="E40" s="247"/>
      <c r="F40" s="247"/>
      <c r="L40" s="504"/>
    </row>
    <row r="41" spans="1:14" ht="13.5" thickBot="1">
      <c r="A41" s="506"/>
      <c r="B41" s="507"/>
      <c r="C41" s="508"/>
      <c r="D41" s="509"/>
      <c r="E41" s="510"/>
      <c r="F41" s="511"/>
    </row>
    <row r="42" spans="1:14" ht="13.5" thickBot="1">
      <c r="A42" s="805" t="s">
        <v>77</v>
      </c>
      <c r="B42" s="806"/>
      <c r="C42" s="115">
        <f>SUM(C41:C41)</f>
        <v>0</v>
      </c>
      <c r="D42" s="244"/>
      <c r="E42" s="39"/>
      <c r="F42" s="39"/>
      <c r="L42" s="486"/>
    </row>
    <row r="43" spans="1:14" s="239" customFormat="1" ht="13.5" thickBot="1">
      <c r="A43" s="502"/>
      <c r="B43" s="502"/>
      <c r="C43" s="503"/>
      <c r="D43" s="246"/>
      <c r="E43" s="247"/>
      <c r="F43" s="247"/>
      <c r="L43" s="504"/>
    </row>
    <row r="44" spans="1:14" ht="13.5" thickBot="1">
      <c r="A44" s="342"/>
      <c r="B44" s="343"/>
      <c r="C44" s="344"/>
      <c r="D44" s="345"/>
      <c r="E44" s="346"/>
      <c r="F44" s="347"/>
    </row>
    <row r="45" spans="1:14" ht="13.5" thickBot="1">
      <c r="A45" s="805" t="s">
        <v>77</v>
      </c>
      <c r="B45" s="806"/>
      <c r="C45" s="115">
        <f>SUM(C44:C44)</f>
        <v>0</v>
      </c>
      <c r="D45" s="244"/>
      <c r="E45" s="39"/>
      <c r="F45" s="39"/>
    </row>
    <row r="46" spans="1:14" s="239" customFormat="1" ht="13.5" thickBot="1">
      <c r="A46" s="248"/>
      <c r="B46" s="248"/>
      <c r="C46" s="249"/>
      <c r="D46" s="246"/>
      <c r="E46" s="247"/>
      <c r="F46" s="247"/>
    </row>
    <row r="47" spans="1:14" ht="13.5" thickBot="1">
      <c r="A47" s="342"/>
      <c r="B47" s="343"/>
      <c r="C47" s="344"/>
      <c r="D47" s="344"/>
      <c r="E47" s="343"/>
      <c r="F47" s="512"/>
    </row>
    <row r="48" spans="1:14" ht="13.5" thickBot="1">
      <c r="A48" s="794" t="s">
        <v>77</v>
      </c>
      <c r="B48" s="795"/>
      <c r="C48" s="269">
        <f>SUM(C47:C47)</f>
        <v>0</v>
      </c>
    </row>
    <row r="49" spans="1:10" s="239" customFormat="1" ht="13.5" thickBot="1">
      <c r="D49" s="250"/>
    </row>
    <row r="50" spans="1:10" ht="13.5" thickBot="1">
      <c r="A50" s="342"/>
      <c r="B50" s="343"/>
      <c r="C50" s="344"/>
      <c r="D50" s="344"/>
      <c r="E50" s="343"/>
      <c r="F50" s="512"/>
    </row>
    <row r="51" spans="1:10" ht="13.5" thickBot="1">
      <c r="A51" s="794" t="s">
        <v>77</v>
      </c>
      <c r="B51" s="795"/>
      <c r="C51" s="269">
        <f>SUM(C50:C50)</f>
        <v>0</v>
      </c>
    </row>
    <row r="52" spans="1:10" s="239" customFormat="1" ht="13.5" thickBot="1">
      <c r="D52" s="250"/>
    </row>
    <row r="53" spans="1:10">
      <c r="A53" s="290"/>
      <c r="B53" s="45"/>
      <c r="C53" s="291"/>
      <c r="D53" s="292"/>
      <c r="E53" s="309"/>
      <c r="F53" s="311"/>
    </row>
    <row r="54" spans="1:10">
      <c r="A54" s="235"/>
      <c r="B54" s="253"/>
      <c r="C54" s="254"/>
      <c r="D54" s="243"/>
      <c r="E54" s="310"/>
      <c r="F54" s="312"/>
    </row>
    <row r="55" spans="1:10" ht="13.5" thickBot="1">
      <c r="A55" s="150"/>
      <c r="B55" s="230"/>
      <c r="C55" s="151"/>
      <c r="D55" s="245"/>
      <c r="E55" s="230"/>
      <c r="F55" s="240"/>
    </row>
    <row r="56" spans="1:10" ht="13.5" thickBot="1">
      <c r="A56" s="794" t="s">
        <v>77</v>
      </c>
      <c r="B56" s="795"/>
      <c r="C56" s="269">
        <f>SUM(C53:C55)</f>
        <v>0</v>
      </c>
      <c r="I56" s="234"/>
    </row>
    <row r="57" spans="1:10" s="239" customFormat="1" ht="13.5" thickBot="1">
      <c r="D57" s="250"/>
    </row>
    <row r="58" spans="1:10">
      <c r="A58" s="796" t="s">
        <v>174</v>
      </c>
      <c r="B58" s="799" t="s">
        <v>16</v>
      </c>
      <c r="C58" s="802">
        <v>335000</v>
      </c>
      <c r="D58" s="292"/>
      <c r="E58" s="384">
        <v>42898</v>
      </c>
      <c r="F58" s="304">
        <v>71000</v>
      </c>
      <c r="J58" s="234"/>
    </row>
    <row r="59" spans="1:10">
      <c r="A59" s="797"/>
      <c r="B59" s="800"/>
      <c r="C59" s="803"/>
      <c r="D59" s="243"/>
      <c r="E59" s="480">
        <v>42927</v>
      </c>
      <c r="F59" s="305">
        <v>40000</v>
      </c>
    </row>
    <row r="60" spans="1:10">
      <c r="A60" s="797"/>
      <c r="B60" s="800"/>
      <c r="C60" s="803"/>
      <c r="D60" s="243"/>
      <c r="E60" s="480">
        <v>43004</v>
      </c>
      <c r="F60" s="305">
        <v>15000</v>
      </c>
    </row>
    <row r="61" spans="1:10">
      <c r="A61" s="797"/>
      <c r="B61" s="800"/>
      <c r="C61" s="803"/>
      <c r="D61" s="243"/>
      <c r="E61" s="480">
        <v>43006</v>
      </c>
      <c r="F61" s="305">
        <v>16000</v>
      </c>
    </row>
    <row r="62" spans="1:10">
      <c r="A62" s="797"/>
      <c r="B62" s="800"/>
      <c r="C62" s="803"/>
      <c r="D62" s="243"/>
      <c r="E62" s="480">
        <v>43020</v>
      </c>
      <c r="F62" s="305">
        <v>25000</v>
      </c>
    </row>
    <row r="63" spans="1:10">
      <c r="A63" s="798"/>
      <c r="B63" s="801"/>
      <c r="C63" s="804"/>
      <c r="D63" s="243"/>
      <c r="E63" s="480">
        <v>43208</v>
      </c>
      <c r="F63" s="305">
        <v>45000</v>
      </c>
    </row>
    <row r="64" spans="1:10">
      <c r="A64" s="235" t="s">
        <v>174</v>
      </c>
      <c r="B64" s="253" t="s">
        <v>16</v>
      </c>
      <c r="C64" s="254">
        <f>65000+9000</f>
        <v>74000</v>
      </c>
      <c r="D64" s="243"/>
      <c r="E64" s="480">
        <v>43189</v>
      </c>
      <c r="F64" s="305">
        <v>59500</v>
      </c>
      <c r="J64" s="234"/>
    </row>
    <row r="65" spans="1:8">
      <c r="A65" s="235"/>
      <c r="B65" s="253"/>
      <c r="C65" s="254"/>
      <c r="D65" s="243"/>
      <c r="E65" s="480"/>
      <c r="F65" s="305"/>
    </row>
    <row r="66" spans="1:8" ht="13.5" thickBot="1">
      <c r="A66" s="150" t="s">
        <v>174</v>
      </c>
      <c r="B66" s="230" t="s">
        <v>16</v>
      </c>
      <c r="C66" s="151">
        <f>14477.06+837.73</f>
        <v>15314.789999999999</v>
      </c>
      <c r="D66" s="245"/>
      <c r="E66" s="385"/>
      <c r="F66" s="240"/>
      <c r="H66" s="234"/>
    </row>
    <row r="67" spans="1:8" ht="13.5" thickBot="1">
      <c r="A67" s="794" t="s">
        <v>77</v>
      </c>
      <c r="B67" s="795"/>
      <c r="C67" s="269">
        <f>SUM(C58:C66)</f>
        <v>424314.79</v>
      </c>
      <c r="H67" s="234"/>
    </row>
    <row r="68" spans="1:8" ht="13.5" thickBot="1">
      <c r="F68" s="234"/>
    </row>
    <row r="69" spans="1:8" ht="13.5" thickBot="1">
      <c r="A69" s="353" t="s">
        <v>261</v>
      </c>
      <c r="B69" s="354" t="s">
        <v>16</v>
      </c>
      <c r="C69" s="355">
        <v>67500</v>
      </c>
      <c r="D69" s="356"/>
      <c r="E69" s="357">
        <v>43074</v>
      </c>
      <c r="F69" s="481">
        <v>12000</v>
      </c>
    </row>
    <row r="70" spans="1:8" ht="13.5" thickBot="1">
      <c r="A70" s="794" t="s">
        <v>77</v>
      </c>
      <c r="B70" s="795"/>
      <c r="C70" s="269">
        <f>SUM(C69:C69)</f>
        <v>67500</v>
      </c>
    </row>
    <row r="71" spans="1:8" ht="13.5" thickBot="1"/>
    <row r="72" spans="1:8" ht="13.5" thickBot="1">
      <c r="A72" s="353"/>
      <c r="B72" s="354"/>
      <c r="C72" s="355"/>
      <c r="D72" s="356"/>
      <c r="E72" s="357"/>
      <c r="F72" s="481"/>
    </row>
    <row r="73" spans="1:8" ht="13.5" thickBot="1">
      <c r="A73" s="794" t="s">
        <v>77</v>
      </c>
      <c r="B73" s="795"/>
      <c r="C73" s="269">
        <f>SUM(C72:C72)</f>
        <v>0</v>
      </c>
    </row>
    <row r="74" spans="1:8" ht="13.5" thickBot="1"/>
    <row r="75" spans="1:8" ht="13.5" thickBot="1">
      <c r="A75" s="353"/>
      <c r="B75" s="354"/>
      <c r="C75" s="355"/>
      <c r="D75" s="356"/>
      <c r="E75" s="357"/>
      <c r="F75" s="481"/>
    </row>
    <row r="76" spans="1:8" ht="13.5" thickBot="1">
      <c r="A76" s="794" t="s">
        <v>77</v>
      </c>
      <c r="B76" s="795"/>
      <c r="C76" s="269">
        <f>SUM(C75:C75)</f>
        <v>0</v>
      </c>
    </row>
  </sheetData>
  <mergeCells count="22">
    <mergeCell ref="C58:C63"/>
    <mergeCell ref="A6:F6"/>
    <mergeCell ref="A20:F20"/>
    <mergeCell ref="A28:B28"/>
    <mergeCell ref="A9:B9"/>
    <mergeCell ref="A51:B51"/>
    <mergeCell ref="A31:B31"/>
    <mergeCell ref="A45:B45"/>
    <mergeCell ref="A12:B12"/>
    <mergeCell ref="A15:B15"/>
    <mergeCell ref="A35:B35"/>
    <mergeCell ref="A39:B39"/>
    <mergeCell ref="A42:B42"/>
    <mergeCell ref="A18:B18"/>
    <mergeCell ref="A76:B76"/>
    <mergeCell ref="A48:B48"/>
    <mergeCell ref="A67:B67"/>
    <mergeCell ref="A56:B56"/>
    <mergeCell ref="A58:A63"/>
    <mergeCell ref="A73:B73"/>
    <mergeCell ref="A70:B70"/>
    <mergeCell ref="B58:B63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B1:N51"/>
  <sheetViews>
    <sheetView topLeftCell="A9" zoomScaleNormal="100" workbookViewId="0">
      <selection activeCell="E35" sqref="E35"/>
    </sheetView>
  </sheetViews>
  <sheetFormatPr baseColWidth="10" defaultColWidth="11.42578125" defaultRowHeight="12.75"/>
  <cols>
    <col min="1" max="1" width="11.42578125" style="419"/>
    <col min="2" max="3" width="11.140625" style="419" customWidth="1"/>
    <col min="4" max="6" width="11.140625" style="444" customWidth="1"/>
    <col min="7" max="9" width="11.140625" style="418" customWidth="1"/>
    <col min="10" max="10" width="14" style="419" bestFit="1" customWidth="1"/>
    <col min="11" max="11" width="11.85546875" style="419" bestFit="1" customWidth="1"/>
    <col min="12" max="12" width="3.85546875" style="419" bestFit="1" customWidth="1"/>
    <col min="13" max="13" width="13.28515625" style="419" bestFit="1" customWidth="1"/>
    <col min="14" max="14" width="9" style="419" bestFit="1" customWidth="1"/>
    <col min="15" max="16384" width="11.42578125" style="419"/>
  </cols>
  <sheetData>
    <row r="1" spans="2:13">
      <c r="B1" s="811" t="s">
        <v>111</v>
      </c>
      <c r="C1" s="811"/>
      <c r="D1" s="811"/>
      <c r="E1" s="811"/>
      <c r="F1" s="811"/>
    </row>
    <row r="2" spans="2:13">
      <c r="B2" s="811" t="s">
        <v>234</v>
      </c>
      <c r="C2" s="811"/>
      <c r="D2" s="811"/>
      <c r="E2" s="811"/>
      <c r="F2" s="811"/>
    </row>
    <row r="3" spans="2:13" ht="13.5" thickBot="1">
      <c r="B3" s="420"/>
      <c r="C3" s="420"/>
      <c r="D3" s="421"/>
      <c r="E3" s="421"/>
      <c r="F3" s="421"/>
    </row>
    <row r="4" spans="2:13" s="426" customFormat="1" ht="13.5" thickBot="1">
      <c r="B4" s="817" t="s">
        <v>109</v>
      </c>
      <c r="C4" s="818"/>
      <c r="D4" s="422" t="s">
        <v>10</v>
      </c>
      <c r="E4" s="423" t="s">
        <v>108</v>
      </c>
      <c r="F4" s="423" t="s">
        <v>107</v>
      </c>
      <c r="G4" s="423" t="s">
        <v>106</v>
      </c>
      <c r="H4" s="424" t="s">
        <v>105</v>
      </c>
      <c r="I4" s="425" t="s">
        <v>104</v>
      </c>
    </row>
    <row r="5" spans="2:13" ht="13.5" thickBot="1">
      <c r="B5" s="427" t="s">
        <v>102</v>
      </c>
      <c r="C5" s="428">
        <v>400000</v>
      </c>
      <c r="D5" s="429">
        <v>43131</v>
      </c>
      <c r="E5" s="430">
        <v>41341.207000000002</v>
      </c>
      <c r="F5" s="431">
        <v>1928.6020000000001</v>
      </c>
      <c r="G5" s="432">
        <f>SUM(E5:F5)</f>
        <v>43269.809000000001</v>
      </c>
      <c r="H5" s="433"/>
      <c r="I5" s="434"/>
    </row>
    <row r="6" spans="2:13" ht="14.25" thickBot="1">
      <c r="B6" s="808" t="s">
        <v>158</v>
      </c>
      <c r="C6" s="809"/>
      <c r="D6" s="810"/>
      <c r="E6" s="435">
        <f>SUM(E5:E5)</f>
        <v>41341.207000000002</v>
      </c>
      <c r="F6" s="435">
        <f>SUM(F5:F5)</f>
        <v>1928.6020000000001</v>
      </c>
      <c r="G6" s="435">
        <f>SUM(G5:G5)</f>
        <v>43269.809000000001</v>
      </c>
      <c r="H6" s="436"/>
      <c r="I6" s="437"/>
    </row>
    <row r="7" spans="2:13" s="426" customFormat="1" ht="13.5" thickBot="1">
      <c r="B7" s="438"/>
      <c r="C7" s="439"/>
      <c r="D7" s="440"/>
      <c r="E7" s="440"/>
      <c r="F7" s="440"/>
      <c r="G7" s="438"/>
      <c r="H7" s="438"/>
      <c r="I7" s="438"/>
    </row>
    <row r="8" spans="2:13" ht="14.25" thickBot="1">
      <c r="B8" s="814" t="s">
        <v>156</v>
      </c>
      <c r="C8" s="815"/>
      <c r="D8" s="816"/>
      <c r="E8" s="441">
        <f>E6</f>
        <v>41341.207000000002</v>
      </c>
      <c r="F8" s="441">
        <f>F6</f>
        <v>1928.6020000000001</v>
      </c>
      <c r="G8" s="441">
        <f>G6</f>
        <v>43269.809000000001</v>
      </c>
      <c r="H8" s="442"/>
      <c r="I8" s="443"/>
    </row>
    <row r="9" spans="2:13">
      <c r="G9" s="419"/>
      <c r="H9" s="419"/>
      <c r="I9" s="419"/>
      <c r="M9" s="445"/>
    </row>
    <row r="10" spans="2:13" s="445" customFormat="1">
      <c r="B10" s="811" t="s">
        <v>110</v>
      </c>
      <c r="C10" s="811"/>
      <c r="D10" s="811"/>
      <c r="E10" s="811"/>
      <c r="F10" s="811"/>
      <c r="G10" s="418"/>
      <c r="H10" s="418"/>
      <c r="I10" s="418"/>
    </row>
    <row r="11" spans="2:13" s="445" customFormat="1">
      <c r="B11" s="811" t="s">
        <v>234</v>
      </c>
      <c r="C11" s="811"/>
      <c r="D11" s="811"/>
      <c r="E11" s="811"/>
      <c r="F11" s="811"/>
      <c r="G11" s="418"/>
      <c r="H11" s="418"/>
      <c r="I11" s="418"/>
      <c r="K11" s="419"/>
      <c r="L11" s="419"/>
      <c r="M11" s="419"/>
    </row>
    <row r="12" spans="2:13" ht="13.5" thickBot="1"/>
    <row r="13" spans="2:13" s="445" customFormat="1" ht="13.5" thickBot="1">
      <c r="B13" s="817" t="s">
        <v>109</v>
      </c>
      <c r="C13" s="818"/>
      <c r="D13" s="422" t="s">
        <v>10</v>
      </c>
      <c r="E13" s="423" t="s">
        <v>108</v>
      </c>
      <c r="F13" s="423" t="s">
        <v>107</v>
      </c>
      <c r="G13" s="423" t="s">
        <v>106</v>
      </c>
      <c r="H13" s="424" t="s">
        <v>105</v>
      </c>
      <c r="I13" s="425" t="s">
        <v>104</v>
      </c>
      <c r="K13" s="419"/>
      <c r="L13" s="419"/>
      <c r="M13" s="419"/>
    </row>
    <row r="14" spans="2:13" s="445" customFormat="1">
      <c r="B14" s="446" t="s">
        <v>114</v>
      </c>
      <c r="C14" s="447">
        <v>1488000</v>
      </c>
      <c r="D14" s="448">
        <v>43126</v>
      </c>
      <c r="E14" s="449">
        <v>106285.71400000001</v>
      </c>
      <c r="F14" s="449">
        <v>9370.857</v>
      </c>
      <c r="G14" s="447">
        <f t="shared" ref="G14:G23" si="0">SUM(E14:F14)</f>
        <v>115656.57100000001</v>
      </c>
      <c r="H14" s="450"/>
      <c r="I14" s="451"/>
      <c r="K14" s="419"/>
      <c r="L14" s="419"/>
      <c r="M14" s="419"/>
    </row>
    <row r="15" spans="2:13" s="445" customFormat="1" ht="13.5" thickBot="1">
      <c r="B15" s="427" t="s">
        <v>101</v>
      </c>
      <c r="C15" s="432">
        <v>2418000</v>
      </c>
      <c r="D15" s="452">
        <v>43126</v>
      </c>
      <c r="E15" s="453">
        <v>172714.28599999999</v>
      </c>
      <c r="F15" s="453">
        <v>14565.571</v>
      </c>
      <c r="G15" s="432">
        <f t="shared" si="0"/>
        <v>187279.85699999999</v>
      </c>
      <c r="H15" s="454"/>
      <c r="I15" s="455"/>
      <c r="K15" s="419"/>
      <c r="L15" s="419"/>
      <c r="M15" s="419"/>
    </row>
    <row r="16" spans="2:13" ht="14.25" thickBot="1">
      <c r="B16" s="808" t="s">
        <v>236</v>
      </c>
      <c r="C16" s="809"/>
      <c r="D16" s="810"/>
      <c r="E16" s="456">
        <f>SUM(E14:E15)</f>
        <v>279000</v>
      </c>
      <c r="F16" s="457">
        <f>SUM(F14:F15)</f>
        <v>23936.428</v>
      </c>
      <c r="G16" s="458">
        <f t="shared" si="0"/>
        <v>302936.42800000001</v>
      </c>
      <c r="H16" s="459"/>
      <c r="I16" s="437"/>
    </row>
    <row r="17" spans="2:14">
      <c r="B17" s="446" t="s">
        <v>101</v>
      </c>
      <c r="C17" s="520">
        <v>500000</v>
      </c>
      <c r="D17" s="521">
        <v>43190</v>
      </c>
      <c r="E17" s="449">
        <v>41666.667000000001</v>
      </c>
      <c r="F17" s="449">
        <v>7631.25</v>
      </c>
      <c r="G17" s="447">
        <f t="shared" si="0"/>
        <v>49297.917000000001</v>
      </c>
      <c r="H17" s="522"/>
      <c r="I17" s="451"/>
      <c r="J17" s="464"/>
      <c r="K17" s="231"/>
      <c r="L17" s="465"/>
      <c r="M17" s="3"/>
      <c r="N17" s="3"/>
    </row>
    <row r="18" spans="2:14" s="445" customFormat="1">
      <c r="B18" s="369" t="s">
        <v>101</v>
      </c>
      <c r="C18" s="513">
        <v>1150000</v>
      </c>
      <c r="D18" s="514">
        <v>43190</v>
      </c>
      <c r="E18" s="515">
        <v>95833.333333333299</v>
      </c>
      <c r="F18" s="515">
        <v>17103.854166666701</v>
      </c>
      <c r="G18" s="516">
        <f t="shared" si="0"/>
        <v>112937.1875</v>
      </c>
      <c r="H18" s="517"/>
      <c r="I18" s="379"/>
      <c r="J18" s="464"/>
      <c r="K18" s="470"/>
      <c r="L18" s="471"/>
      <c r="M18" s="472"/>
      <c r="N18" s="3"/>
    </row>
    <row r="19" spans="2:14" s="445" customFormat="1">
      <c r="B19" s="369" t="s">
        <v>101</v>
      </c>
      <c r="C19" s="513">
        <v>1000000</v>
      </c>
      <c r="D19" s="514">
        <v>43190</v>
      </c>
      <c r="E19" s="515">
        <v>83333.333333333299</v>
      </c>
      <c r="F19" s="515">
        <v>14827.083333333299</v>
      </c>
      <c r="G19" s="516">
        <f t="shared" si="0"/>
        <v>98160.416666666599</v>
      </c>
      <c r="H19" s="517"/>
      <c r="I19" s="379"/>
      <c r="J19" s="464"/>
      <c r="K19" s="231"/>
      <c r="L19" s="465"/>
      <c r="M19" s="3"/>
      <c r="N19" s="3"/>
    </row>
    <row r="20" spans="2:14" s="445" customFormat="1">
      <c r="B20" s="523" t="s">
        <v>101</v>
      </c>
      <c r="C20" s="524">
        <v>1000000</v>
      </c>
      <c r="D20" s="525">
        <v>43190</v>
      </c>
      <c r="E20" s="526">
        <v>0</v>
      </c>
      <c r="F20" s="526">
        <v>1251.7860000000001</v>
      </c>
      <c r="G20" s="527">
        <f t="shared" si="0"/>
        <v>1251.7860000000001</v>
      </c>
      <c r="H20" s="528"/>
      <c r="I20" s="529"/>
      <c r="J20" s="464"/>
      <c r="K20" s="419"/>
      <c r="L20" s="419"/>
      <c r="M20" s="419"/>
    </row>
    <row r="21" spans="2:14">
      <c r="B21" s="369" t="s">
        <v>101</v>
      </c>
      <c r="C21" s="530">
        <v>350000</v>
      </c>
      <c r="D21" s="514">
        <v>43190</v>
      </c>
      <c r="E21" s="531">
        <v>29166.667000000001</v>
      </c>
      <c r="F21" s="531">
        <v>5245.625</v>
      </c>
      <c r="G21" s="516">
        <f t="shared" si="0"/>
        <v>34412.292000000001</v>
      </c>
      <c r="H21" s="532"/>
      <c r="I21" s="200"/>
      <c r="J21" s="464"/>
    </row>
    <row r="22" spans="2:14" ht="13.5" thickBot="1">
      <c r="B22" s="195" t="s">
        <v>101</v>
      </c>
      <c r="C22" s="530">
        <v>500000</v>
      </c>
      <c r="D22" s="533">
        <v>43190</v>
      </c>
      <c r="E22" s="531">
        <v>41666.667000000001</v>
      </c>
      <c r="F22" s="531">
        <v>7631.25</v>
      </c>
      <c r="G22" s="534">
        <f t="shared" si="0"/>
        <v>49297.917000000001</v>
      </c>
      <c r="H22" s="532"/>
      <c r="I22" s="200"/>
      <c r="J22" s="464"/>
    </row>
    <row r="23" spans="2:14" s="445" customFormat="1" ht="14.25" thickBot="1">
      <c r="B23" s="808" t="s">
        <v>237</v>
      </c>
      <c r="C23" s="809"/>
      <c r="D23" s="819"/>
      <c r="E23" s="435">
        <f>SUM(E17:E22)</f>
        <v>291666.66766666662</v>
      </c>
      <c r="F23" s="477">
        <f>SUM(F17:F22)</f>
        <v>53690.8485</v>
      </c>
      <c r="G23" s="478">
        <f t="shared" si="0"/>
        <v>345357.51616666664</v>
      </c>
      <c r="H23" s="436"/>
      <c r="I23" s="437"/>
      <c r="J23" s="464"/>
      <c r="K23" s="419"/>
      <c r="L23" s="419"/>
      <c r="M23" s="419"/>
      <c r="N23" s="419"/>
    </row>
    <row r="24" spans="2:14" s="445" customFormat="1">
      <c r="B24" s="170" t="s">
        <v>101</v>
      </c>
      <c r="C24" s="535">
        <v>500000</v>
      </c>
      <c r="D24" s="521">
        <v>43281</v>
      </c>
      <c r="E24" s="449">
        <v>0</v>
      </c>
      <c r="F24" s="449">
        <v>7014.5829999999996</v>
      </c>
      <c r="G24" s="536">
        <f t="shared" ref="G24:G29" si="1">SUM(E24:F24)</f>
        <v>7014.5829999999996</v>
      </c>
      <c r="H24" s="537"/>
      <c r="I24" s="538"/>
      <c r="J24" s="464"/>
      <c r="K24" s="419"/>
      <c r="L24" s="419"/>
      <c r="M24" s="419"/>
      <c r="N24" s="419"/>
    </row>
    <row r="25" spans="2:14" s="445" customFormat="1">
      <c r="B25" s="180" t="s">
        <v>101</v>
      </c>
      <c r="C25" s="539">
        <v>1150000</v>
      </c>
      <c r="D25" s="514">
        <v>43281</v>
      </c>
      <c r="E25" s="515">
        <v>0</v>
      </c>
      <c r="F25" s="515">
        <v>15721.724537037</v>
      </c>
      <c r="G25" s="540">
        <f t="shared" si="1"/>
        <v>15721.724537037</v>
      </c>
      <c r="H25" s="541"/>
      <c r="I25" s="189"/>
      <c r="J25" s="419"/>
      <c r="K25" s="419"/>
      <c r="L25" s="419"/>
      <c r="M25" s="419"/>
      <c r="N25" s="419"/>
    </row>
    <row r="26" spans="2:14">
      <c r="B26" s="180" t="s">
        <v>101</v>
      </c>
      <c r="C26" s="539">
        <v>1000000</v>
      </c>
      <c r="D26" s="514">
        <v>43281</v>
      </c>
      <c r="E26" s="515">
        <v>0</v>
      </c>
      <c r="F26" s="515">
        <v>13628.935185185201</v>
      </c>
      <c r="G26" s="540">
        <f t="shared" si="1"/>
        <v>13628.935185185201</v>
      </c>
      <c r="H26" s="541"/>
      <c r="I26" s="189"/>
    </row>
    <row r="27" spans="2:14" s="445" customFormat="1">
      <c r="B27" s="523" t="s">
        <v>101</v>
      </c>
      <c r="C27" s="524">
        <v>1000000</v>
      </c>
      <c r="D27" s="525">
        <v>43281</v>
      </c>
      <c r="E27" s="526">
        <v>71428.570999999996</v>
      </c>
      <c r="F27" s="526">
        <v>1265.6949999999999</v>
      </c>
      <c r="G27" s="527">
        <f t="shared" si="1"/>
        <v>72694.266000000003</v>
      </c>
      <c r="H27" s="812" t="s">
        <v>157</v>
      </c>
      <c r="I27" s="813"/>
      <c r="J27" s="419"/>
      <c r="K27" s="419"/>
      <c r="L27" s="419"/>
      <c r="M27" s="419"/>
      <c r="N27" s="419"/>
    </row>
    <row r="28" spans="2:14">
      <c r="B28" s="180" t="s">
        <v>101</v>
      </c>
      <c r="C28" s="542">
        <v>350000</v>
      </c>
      <c r="D28" s="514">
        <v>43281</v>
      </c>
      <c r="E28" s="531">
        <v>0</v>
      </c>
      <c r="F28" s="531">
        <v>4821.7359999999999</v>
      </c>
      <c r="G28" s="540">
        <f t="shared" si="1"/>
        <v>4821.7359999999999</v>
      </c>
      <c r="H28" s="543"/>
      <c r="I28" s="259"/>
    </row>
    <row r="29" spans="2:14" s="445" customFormat="1" ht="13.5" thickBot="1">
      <c r="B29" s="279" t="s">
        <v>101</v>
      </c>
      <c r="C29" s="542">
        <v>500000</v>
      </c>
      <c r="D29" s="533">
        <v>43281</v>
      </c>
      <c r="E29" s="531">
        <v>0</v>
      </c>
      <c r="F29" s="531">
        <v>7014.5829999999996</v>
      </c>
      <c r="G29" s="544">
        <f t="shared" si="1"/>
        <v>7014.5829999999996</v>
      </c>
      <c r="H29" s="543"/>
      <c r="I29" s="259"/>
      <c r="J29" s="419"/>
      <c r="K29" s="419"/>
      <c r="L29" s="419"/>
      <c r="M29" s="419"/>
      <c r="N29" s="419"/>
    </row>
    <row r="30" spans="2:14" ht="14.25" thickBot="1">
      <c r="B30" s="808" t="s">
        <v>238</v>
      </c>
      <c r="C30" s="809"/>
      <c r="D30" s="819"/>
      <c r="E30" s="435">
        <f>SUM(E24:E29)</f>
        <v>71428.570999999996</v>
      </c>
      <c r="F30" s="477">
        <f>SUM(F24:F29)</f>
        <v>49467.256722222199</v>
      </c>
      <c r="G30" s="478">
        <f t="shared" ref="G30:G37" si="2">SUM(E30:F30)</f>
        <v>120895.8277222222</v>
      </c>
      <c r="H30" s="436"/>
      <c r="I30" s="437"/>
    </row>
    <row r="31" spans="2:14" s="445" customFormat="1">
      <c r="B31" s="446" t="s">
        <v>114</v>
      </c>
      <c r="C31" s="447">
        <v>1488000</v>
      </c>
      <c r="D31" s="448">
        <v>43307</v>
      </c>
      <c r="E31" s="449">
        <v>106285.71400000001</v>
      </c>
      <c r="F31" s="449">
        <v>6145.3810000000003</v>
      </c>
      <c r="G31" s="447">
        <f t="shared" si="2"/>
        <v>112431.095</v>
      </c>
      <c r="H31" s="446"/>
      <c r="I31" s="451"/>
      <c r="J31" s="419"/>
      <c r="K31" s="419"/>
      <c r="L31" s="419"/>
      <c r="M31" s="419"/>
      <c r="N31" s="419"/>
    </row>
    <row r="32" spans="2:14">
      <c r="B32" s="369" t="s">
        <v>101</v>
      </c>
      <c r="C32" s="516">
        <v>2418000</v>
      </c>
      <c r="D32" s="653">
        <v>43307</v>
      </c>
      <c r="E32" s="515">
        <v>172714.28599999999</v>
      </c>
      <c r="F32" s="515">
        <v>9552.0589999999993</v>
      </c>
      <c r="G32" s="516">
        <f t="shared" si="2"/>
        <v>182266.345</v>
      </c>
      <c r="H32" s="369"/>
      <c r="I32" s="379"/>
    </row>
    <row r="33" spans="2:9" ht="13.5" thickBot="1">
      <c r="B33" s="427" t="s">
        <v>101</v>
      </c>
      <c r="C33" s="432">
        <v>2500000</v>
      </c>
      <c r="D33" s="452">
        <v>43312</v>
      </c>
      <c r="E33" s="453">
        <v>0</v>
      </c>
      <c r="F33" s="453">
        <v>68507.638888888905</v>
      </c>
      <c r="G33" s="432">
        <f t="shared" si="2"/>
        <v>68507.638888888905</v>
      </c>
      <c r="H33" s="427"/>
      <c r="I33" s="654"/>
    </row>
    <row r="34" spans="2:9" ht="14.25" thickBot="1">
      <c r="B34" s="808" t="s">
        <v>239</v>
      </c>
      <c r="C34" s="809"/>
      <c r="D34" s="810"/>
      <c r="E34" s="435">
        <f>SUM(E31:E33)</f>
        <v>279000</v>
      </c>
      <c r="F34" s="477">
        <f>SUM(F31:F33)</f>
        <v>84205.078888888907</v>
      </c>
      <c r="G34" s="478">
        <f t="shared" si="2"/>
        <v>363205.07888888894</v>
      </c>
      <c r="H34" s="479"/>
      <c r="I34" s="437"/>
    </row>
    <row r="35" spans="2:9">
      <c r="B35" s="446" t="s">
        <v>101</v>
      </c>
      <c r="C35" s="520">
        <v>500000</v>
      </c>
      <c r="D35" s="448">
        <v>43373</v>
      </c>
      <c r="E35" s="449">
        <v>41666.667000000001</v>
      </c>
      <c r="F35" s="449">
        <v>7091.6670000000004</v>
      </c>
      <c r="G35" s="447">
        <f t="shared" si="2"/>
        <v>48758.334000000003</v>
      </c>
      <c r="H35" s="522"/>
      <c r="I35" s="451"/>
    </row>
    <row r="36" spans="2:9">
      <c r="B36" s="369" t="s">
        <v>101</v>
      </c>
      <c r="C36" s="513">
        <v>1150000</v>
      </c>
      <c r="D36" s="653">
        <v>43373</v>
      </c>
      <c r="E36" s="515">
        <v>95833.333333333328</v>
      </c>
      <c r="F36" s="515">
        <v>15894.490740740701</v>
      </c>
      <c r="G36" s="516">
        <f t="shared" si="2"/>
        <v>111727.82407407403</v>
      </c>
      <c r="H36" s="517"/>
      <c r="I36" s="379"/>
    </row>
    <row r="37" spans="2:9">
      <c r="B37" s="369" t="s">
        <v>101</v>
      </c>
      <c r="C37" s="513">
        <v>1000000</v>
      </c>
      <c r="D37" s="653">
        <v>43373</v>
      </c>
      <c r="E37" s="515">
        <v>83333.333333333328</v>
      </c>
      <c r="F37" s="515">
        <v>13778.703703703701</v>
      </c>
      <c r="G37" s="516">
        <f t="shared" si="2"/>
        <v>97112.037037037022</v>
      </c>
      <c r="H37" s="517"/>
      <c r="I37" s="379"/>
    </row>
    <row r="38" spans="2:9">
      <c r="B38" s="369" t="s">
        <v>101</v>
      </c>
      <c r="C38" s="530">
        <v>350000</v>
      </c>
      <c r="D38" s="514">
        <v>43373</v>
      </c>
      <c r="E38" s="531">
        <v>29166.667000000001</v>
      </c>
      <c r="F38" s="531">
        <v>4874.7219999999998</v>
      </c>
      <c r="G38" s="534">
        <f t="shared" ref="G38:G45" si="3">SUM(E38:F38)</f>
        <v>34041.389000000003</v>
      </c>
      <c r="H38" s="532"/>
      <c r="I38" s="200"/>
    </row>
    <row r="39" spans="2:9" ht="13.5" thickBot="1">
      <c r="B39" s="195" t="s">
        <v>101</v>
      </c>
      <c r="C39" s="530">
        <v>500000</v>
      </c>
      <c r="D39" s="533">
        <v>43373</v>
      </c>
      <c r="E39" s="531">
        <v>41666.667000000001</v>
      </c>
      <c r="F39" s="531">
        <v>7091.6670000000004</v>
      </c>
      <c r="G39" s="534">
        <f t="shared" si="3"/>
        <v>48758.334000000003</v>
      </c>
      <c r="H39" s="532"/>
      <c r="I39" s="200"/>
    </row>
    <row r="40" spans="2:9" ht="14.25" thickBot="1">
      <c r="B40" s="808" t="s">
        <v>240</v>
      </c>
      <c r="C40" s="809"/>
      <c r="D40" s="819"/>
      <c r="E40" s="435">
        <f>SUM(E35:E39)</f>
        <v>291666.66766666668</v>
      </c>
      <c r="F40" s="477">
        <f>SUM(F35:F39)</f>
        <v>48731.250444444406</v>
      </c>
      <c r="G40" s="478">
        <f t="shared" si="3"/>
        <v>340397.9181111111</v>
      </c>
      <c r="H40" s="479"/>
      <c r="I40" s="437"/>
    </row>
    <row r="41" spans="2:9">
      <c r="B41" s="446" t="s">
        <v>101</v>
      </c>
      <c r="C41" s="447">
        <v>2500000</v>
      </c>
      <c r="D41" s="448">
        <v>43404</v>
      </c>
      <c r="E41" s="449">
        <v>0</v>
      </c>
      <c r="F41" s="449">
        <v>52963.888888888898</v>
      </c>
      <c r="G41" s="447">
        <f>SUM(E41:F41)</f>
        <v>52963.888888888898</v>
      </c>
      <c r="H41" s="446"/>
      <c r="I41" s="451"/>
    </row>
    <row r="42" spans="2:9" ht="13.5" thickBot="1">
      <c r="B42" s="427" t="s">
        <v>101</v>
      </c>
      <c r="C42" s="432">
        <v>1250000</v>
      </c>
      <c r="D42" s="452">
        <v>43404</v>
      </c>
      <c r="E42" s="453">
        <v>0</v>
      </c>
      <c r="F42" s="453">
        <v>36753.273000000001</v>
      </c>
      <c r="G42" s="432">
        <f>SUM(E42:F42)</f>
        <v>36753.273000000001</v>
      </c>
      <c r="H42" s="427"/>
      <c r="I42" s="654"/>
    </row>
    <row r="43" spans="2:9" ht="14.25" thickBot="1">
      <c r="B43" s="808" t="s">
        <v>260</v>
      </c>
      <c r="C43" s="809"/>
      <c r="D43" s="810"/>
      <c r="E43" s="435">
        <f>SUM(E41:E41)</f>
        <v>0</v>
      </c>
      <c r="F43" s="477">
        <f>SUM(F41:F42)</f>
        <v>89717.161888888892</v>
      </c>
      <c r="G43" s="478">
        <f>SUM(E43:F43)</f>
        <v>89717.161888888892</v>
      </c>
      <c r="H43" s="479"/>
      <c r="I43" s="437"/>
    </row>
    <row r="44" spans="2:9">
      <c r="B44" s="400" t="s">
        <v>101</v>
      </c>
      <c r="C44" s="460">
        <v>500000</v>
      </c>
      <c r="D44" s="461">
        <v>43465</v>
      </c>
      <c r="E44" s="462">
        <v>0</v>
      </c>
      <c r="F44" s="462">
        <v>6382.5</v>
      </c>
      <c r="G44" s="463">
        <f t="shared" si="3"/>
        <v>6382.5</v>
      </c>
      <c r="H44" s="400"/>
      <c r="I44" s="402"/>
    </row>
    <row r="45" spans="2:9">
      <c r="B45" s="401" t="s">
        <v>101</v>
      </c>
      <c r="C45" s="466">
        <v>1150000</v>
      </c>
      <c r="D45" s="467">
        <v>43465</v>
      </c>
      <c r="E45" s="468">
        <v>0</v>
      </c>
      <c r="F45" s="468">
        <v>14305.041666666701</v>
      </c>
      <c r="G45" s="469">
        <f t="shared" si="3"/>
        <v>14305.041666666701</v>
      </c>
      <c r="H45" s="401"/>
      <c r="I45" s="403"/>
    </row>
    <row r="46" spans="2:9">
      <c r="B46" s="401" t="s">
        <v>101</v>
      </c>
      <c r="C46" s="466">
        <v>1000000</v>
      </c>
      <c r="D46" s="467">
        <v>43465</v>
      </c>
      <c r="E46" s="468">
        <v>0</v>
      </c>
      <c r="F46" s="468">
        <v>12400.833333333299</v>
      </c>
      <c r="G46" s="469">
        <f>SUM(E46:F46)</f>
        <v>12400.833333333299</v>
      </c>
      <c r="H46" s="401"/>
      <c r="I46" s="403"/>
    </row>
    <row r="47" spans="2:9">
      <c r="B47" s="401" t="s">
        <v>101</v>
      </c>
      <c r="C47" s="473">
        <v>350000</v>
      </c>
      <c r="D47" s="467">
        <v>43465</v>
      </c>
      <c r="E47" s="474">
        <v>0</v>
      </c>
      <c r="F47" s="474">
        <v>4387.25</v>
      </c>
      <c r="G47" s="469">
        <f>SUM(E47:F47)</f>
        <v>4387.25</v>
      </c>
      <c r="H47" s="401"/>
      <c r="I47" s="403"/>
    </row>
    <row r="48" spans="2:9" ht="13.5" thickBot="1">
      <c r="B48" s="56" t="s">
        <v>101</v>
      </c>
      <c r="C48" s="473">
        <v>500000</v>
      </c>
      <c r="D48" s="475">
        <v>43465</v>
      </c>
      <c r="E48" s="474">
        <v>0</v>
      </c>
      <c r="F48" s="474">
        <v>6382.5</v>
      </c>
      <c r="G48" s="476">
        <f>SUM(E48:F48)</f>
        <v>6382.5</v>
      </c>
      <c r="H48" s="401"/>
      <c r="I48" s="403"/>
    </row>
    <row r="49" spans="2:9" ht="14.25" thickBot="1">
      <c r="B49" s="808" t="s">
        <v>241</v>
      </c>
      <c r="C49" s="809"/>
      <c r="D49" s="810"/>
      <c r="E49" s="435">
        <f>SUM(E44:E48)</f>
        <v>0</v>
      </c>
      <c r="F49" s="477">
        <f>SUM(F44:F48)</f>
        <v>43858.125</v>
      </c>
      <c r="G49" s="478">
        <f>SUM(E49:F49)</f>
        <v>43858.125</v>
      </c>
      <c r="H49" s="436"/>
      <c r="I49" s="437"/>
    </row>
    <row r="50" spans="2:9" ht="13.5" thickBot="1">
      <c r="B50" s="438"/>
      <c r="C50" s="439"/>
      <c r="D50" s="440"/>
      <c r="E50" s="440"/>
      <c r="F50" s="440"/>
      <c r="G50" s="438"/>
      <c r="H50" s="438"/>
      <c r="I50" s="438"/>
    </row>
    <row r="51" spans="2:9" ht="14.25" thickBot="1">
      <c r="B51" s="814" t="s">
        <v>235</v>
      </c>
      <c r="C51" s="815"/>
      <c r="D51" s="816"/>
      <c r="E51" s="441">
        <f>+E49+E40+E34+E30+E23+E16+E43</f>
        <v>1212761.9063333333</v>
      </c>
      <c r="F51" s="441">
        <f>+F49+F40+F34+F30+F23+F16+F43</f>
        <v>393606.14944444445</v>
      </c>
      <c r="G51" s="441">
        <f>+G49+G40+G34+G30+G23+G16+G43</f>
        <v>1606368.0557777777</v>
      </c>
      <c r="H51" s="442"/>
      <c r="I51" s="443"/>
    </row>
  </sheetData>
  <mergeCells count="17">
    <mergeCell ref="B51:D51"/>
    <mergeCell ref="B4:C4"/>
    <mergeCell ref="B6:D6"/>
    <mergeCell ref="B8:D8"/>
    <mergeCell ref="B40:D40"/>
    <mergeCell ref="B30:D30"/>
    <mergeCell ref="B34:D34"/>
    <mergeCell ref="B10:F10"/>
    <mergeCell ref="B11:F11"/>
    <mergeCell ref="B13:C13"/>
    <mergeCell ref="B16:D16"/>
    <mergeCell ref="B23:D23"/>
    <mergeCell ref="B43:D43"/>
    <mergeCell ref="B1:F1"/>
    <mergeCell ref="B2:F2"/>
    <mergeCell ref="H27:I27"/>
    <mergeCell ref="B49:D49"/>
  </mergeCells>
  <pageMargins left="0.70866141732283472" right="0.70866141732283472" top="0.31496062992125984" bottom="0.74803149606299213" header="0.31496062992125984" footer="0.31496062992125984"/>
  <pageSetup paperSize="9" orientation="portrait" horizontalDpi="180" verticalDpi="180" r:id="rId1"/>
  <ignoredErrors>
    <ignoredError sqref="G5:G7 G9:G29 G44:G48 G33:G39 G31:G32 G41:G42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V184"/>
  <sheetViews>
    <sheetView topLeftCell="A32" workbookViewId="0">
      <selection activeCell="H172" sqref="H172"/>
    </sheetView>
  </sheetViews>
  <sheetFormatPr baseColWidth="10" defaultRowHeight="12.75"/>
  <cols>
    <col min="1" max="1" width="22.85546875" style="1" bestFit="1" customWidth="1"/>
    <col min="2" max="2" width="11.28515625" style="1" bestFit="1" customWidth="1"/>
    <col min="3" max="3" width="12.28515625" style="1" bestFit="1" customWidth="1"/>
    <col min="4" max="4" width="4.7109375" style="1" bestFit="1" customWidth="1"/>
    <col min="5" max="5" width="10.140625" style="2" bestFit="1" customWidth="1"/>
    <col min="6" max="6" width="11.7109375" style="3" customWidth="1"/>
    <col min="7" max="7" width="10.140625" style="1" bestFit="1" customWidth="1"/>
    <col min="8" max="8" width="10.85546875" style="3" bestFit="1" customWidth="1"/>
    <col min="9" max="9" width="9.85546875" style="1" bestFit="1" customWidth="1"/>
    <col min="10" max="10" width="10.42578125" style="1" bestFit="1" customWidth="1"/>
    <col min="11" max="11" width="10.7109375" style="2" customWidth="1"/>
    <col min="12" max="12" width="11.85546875" style="1" customWidth="1"/>
    <col min="13" max="13" width="11.7109375" style="1" bestFit="1" customWidth="1"/>
    <col min="14" max="14" width="10.140625" style="270" bestFit="1" customWidth="1"/>
    <col min="15" max="15" width="24" style="7" bestFit="1" customWidth="1"/>
    <col min="16" max="16" width="12.5703125" style="1" bestFit="1" customWidth="1"/>
    <col min="17" max="17" width="17.5703125" style="2" bestFit="1" customWidth="1"/>
    <col min="18" max="256" width="11.42578125" style="1"/>
    <col min="257" max="257" width="8.85546875" style="1" bestFit="1" customWidth="1"/>
    <col min="258" max="258" width="10.140625" style="1" bestFit="1" customWidth="1"/>
    <col min="259" max="259" width="12.140625" style="1" bestFit="1" customWidth="1"/>
    <col min="260" max="260" width="4.5703125" style="1" bestFit="1" customWidth="1"/>
    <col min="261" max="261" width="11.28515625" style="1" bestFit="1" customWidth="1"/>
    <col min="262" max="262" width="13.28515625" style="1" bestFit="1" customWidth="1"/>
    <col min="263" max="263" width="12.140625" style="1" bestFit="1" customWidth="1"/>
    <col min="264" max="264" width="14.5703125" style="1" customWidth="1"/>
    <col min="265" max="266" width="12.140625" style="1" bestFit="1" customWidth="1"/>
    <col min="267" max="267" width="11.85546875" style="1" bestFit="1" customWidth="1"/>
    <col min="268" max="268" width="12.140625" style="1" bestFit="1" customWidth="1"/>
    <col min="269" max="269" width="12" style="1" bestFit="1" customWidth="1"/>
    <col min="270" max="270" width="18.7109375" style="1" bestFit="1" customWidth="1"/>
    <col min="271" max="512" width="11.42578125" style="1"/>
    <col min="513" max="513" width="8.85546875" style="1" bestFit="1" customWidth="1"/>
    <col min="514" max="514" width="10.140625" style="1" bestFit="1" customWidth="1"/>
    <col min="515" max="515" width="12.140625" style="1" bestFit="1" customWidth="1"/>
    <col min="516" max="516" width="4.5703125" style="1" bestFit="1" customWidth="1"/>
    <col min="517" max="517" width="11.28515625" style="1" bestFit="1" customWidth="1"/>
    <col min="518" max="518" width="13.28515625" style="1" bestFit="1" customWidth="1"/>
    <col min="519" max="519" width="12.140625" style="1" bestFit="1" customWidth="1"/>
    <col min="520" max="520" width="14.5703125" style="1" customWidth="1"/>
    <col min="521" max="522" width="12.140625" style="1" bestFit="1" customWidth="1"/>
    <col min="523" max="523" width="11.85546875" style="1" bestFit="1" customWidth="1"/>
    <col min="524" max="524" width="12.140625" style="1" bestFit="1" customWidth="1"/>
    <col min="525" max="525" width="12" style="1" bestFit="1" customWidth="1"/>
    <col min="526" max="526" width="18.7109375" style="1" bestFit="1" customWidth="1"/>
    <col min="527" max="768" width="11.42578125" style="1"/>
    <col min="769" max="769" width="8.85546875" style="1" bestFit="1" customWidth="1"/>
    <col min="770" max="770" width="10.140625" style="1" bestFit="1" customWidth="1"/>
    <col min="771" max="771" width="12.140625" style="1" bestFit="1" customWidth="1"/>
    <col min="772" max="772" width="4.5703125" style="1" bestFit="1" customWidth="1"/>
    <col min="773" max="773" width="11.28515625" style="1" bestFit="1" customWidth="1"/>
    <col min="774" max="774" width="13.28515625" style="1" bestFit="1" customWidth="1"/>
    <col min="775" max="775" width="12.140625" style="1" bestFit="1" customWidth="1"/>
    <col min="776" max="776" width="14.5703125" style="1" customWidth="1"/>
    <col min="777" max="778" width="12.140625" style="1" bestFit="1" customWidth="1"/>
    <col min="779" max="779" width="11.85546875" style="1" bestFit="1" customWidth="1"/>
    <col min="780" max="780" width="12.140625" style="1" bestFit="1" customWidth="1"/>
    <col min="781" max="781" width="12" style="1" bestFit="1" customWidth="1"/>
    <col min="782" max="782" width="18.7109375" style="1" bestFit="1" customWidth="1"/>
    <col min="783" max="1024" width="11.42578125" style="1"/>
    <col min="1025" max="1025" width="8.85546875" style="1" bestFit="1" customWidth="1"/>
    <col min="1026" max="1026" width="10.140625" style="1" bestFit="1" customWidth="1"/>
    <col min="1027" max="1027" width="12.140625" style="1" bestFit="1" customWidth="1"/>
    <col min="1028" max="1028" width="4.5703125" style="1" bestFit="1" customWidth="1"/>
    <col min="1029" max="1029" width="11.28515625" style="1" bestFit="1" customWidth="1"/>
    <col min="1030" max="1030" width="13.28515625" style="1" bestFit="1" customWidth="1"/>
    <col min="1031" max="1031" width="12.140625" style="1" bestFit="1" customWidth="1"/>
    <col min="1032" max="1032" width="14.5703125" style="1" customWidth="1"/>
    <col min="1033" max="1034" width="12.140625" style="1" bestFit="1" customWidth="1"/>
    <col min="1035" max="1035" width="11.85546875" style="1" bestFit="1" customWidth="1"/>
    <col min="1036" max="1036" width="12.140625" style="1" bestFit="1" customWidth="1"/>
    <col min="1037" max="1037" width="12" style="1" bestFit="1" customWidth="1"/>
    <col min="1038" max="1038" width="18.7109375" style="1" bestFit="1" customWidth="1"/>
    <col min="1039" max="1280" width="11.42578125" style="1"/>
    <col min="1281" max="1281" width="8.85546875" style="1" bestFit="1" customWidth="1"/>
    <col min="1282" max="1282" width="10.140625" style="1" bestFit="1" customWidth="1"/>
    <col min="1283" max="1283" width="12.140625" style="1" bestFit="1" customWidth="1"/>
    <col min="1284" max="1284" width="4.5703125" style="1" bestFit="1" customWidth="1"/>
    <col min="1285" max="1285" width="11.28515625" style="1" bestFit="1" customWidth="1"/>
    <col min="1286" max="1286" width="13.28515625" style="1" bestFit="1" customWidth="1"/>
    <col min="1287" max="1287" width="12.140625" style="1" bestFit="1" customWidth="1"/>
    <col min="1288" max="1288" width="14.5703125" style="1" customWidth="1"/>
    <col min="1289" max="1290" width="12.140625" style="1" bestFit="1" customWidth="1"/>
    <col min="1291" max="1291" width="11.85546875" style="1" bestFit="1" customWidth="1"/>
    <col min="1292" max="1292" width="12.140625" style="1" bestFit="1" customWidth="1"/>
    <col min="1293" max="1293" width="12" style="1" bestFit="1" customWidth="1"/>
    <col min="1294" max="1294" width="18.7109375" style="1" bestFit="1" customWidth="1"/>
    <col min="1295" max="1536" width="11.42578125" style="1"/>
    <col min="1537" max="1537" width="8.85546875" style="1" bestFit="1" customWidth="1"/>
    <col min="1538" max="1538" width="10.140625" style="1" bestFit="1" customWidth="1"/>
    <col min="1539" max="1539" width="12.140625" style="1" bestFit="1" customWidth="1"/>
    <col min="1540" max="1540" width="4.5703125" style="1" bestFit="1" customWidth="1"/>
    <col min="1541" max="1541" width="11.28515625" style="1" bestFit="1" customWidth="1"/>
    <col min="1542" max="1542" width="13.28515625" style="1" bestFit="1" customWidth="1"/>
    <col min="1543" max="1543" width="12.140625" style="1" bestFit="1" customWidth="1"/>
    <col min="1544" max="1544" width="14.5703125" style="1" customWidth="1"/>
    <col min="1545" max="1546" width="12.140625" style="1" bestFit="1" customWidth="1"/>
    <col min="1547" max="1547" width="11.85546875" style="1" bestFit="1" customWidth="1"/>
    <col min="1548" max="1548" width="12.140625" style="1" bestFit="1" customWidth="1"/>
    <col min="1549" max="1549" width="12" style="1" bestFit="1" customWidth="1"/>
    <col min="1550" max="1550" width="18.7109375" style="1" bestFit="1" customWidth="1"/>
    <col min="1551" max="1792" width="11.42578125" style="1"/>
    <col min="1793" max="1793" width="8.85546875" style="1" bestFit="1" customWidth="1"/>
    <col min="1794" max="1794" width="10.140625" style="1" bestFit="1" customWidth="1"/>
    <col min="1795" max="1795" width="12.140625" style="1" bestFit="1" customWidth="1"/>
    <col min="1796" max="1796" width="4.5703125" style="1" bestFit="1" customWidth="1"/>
    <col min="1797" max="1797" width="11.28515625" style="1" bestFit="1" customWidth="1"/>
    <col min="1798" max="1798" width="13.28515625" style="1" bestFit="1" customWidth="1"/>
    <col min="1799" max="1799" width="12.140625" style="1" bestFit="1" customWidth="1"/>
    <col min="1800" max="1800" width="14.5703125" style="1" customWidth="1"/>
    <col min="1801" max="1802" width="12.140625" style="1" bestFit="1" customWidth="1"/>
    <col min="1803" max="1803" width="11.85546875" style="1" bestFit="1" customWidth="1"/>
    <col min="1804" max="1804" width="12.140625" style="1" bestFit="1" customWidth="1"/>
    <col min="1805" max="1805" width="12" style="1" bestFit="1" customWidth="1"/>
    <col min="1806" max="1806" width="18.7109375" style="1" bestFit="1" customWidth="1"/>
    <col min="1807" max="2048" width="11.42578125" style="1"/>
    <col min="2049" max="2049" width="8.85546875" style="1" bestFit="1" customWidth="1"/>
    <col min="2050" max="2050" width="10.140625" style="1" bestFit="1" customWidth="1"/>
    <col min="2051" max="2051" width="12.140625" style="1" bestFit="1" customWidth="1"/>
    <col min="2052" max="2052" width="4.5703125" style="1" bestFit="1" customWidth="1"/>
    <col min="2053" max="2053" width="11.28515625" style="1" bestFit="1" customWidth="1"/>
    <col min="2054" max="2054" width="13.28515625" style="1" bestFit="1" customWidth="1"/>
    <col min="2055" max="2055" width="12.140625" style="1" bestFit="1" customWidth="1"/>
    <col min="2056" max="2056" width="14.5703125" style="1" customWidth="1"/>
    <col min="2057" max="2058" width="12.140625" style="1" bestFit="1" customWidth="1"/>
    <col min="2059" max="2059" width="11.85546875" style="1" bestFit="1" customWidth="1"/>
    <col min="2060" max="2060" width="12.140625" style="1" bestFit="1" customWidth="1"/>
    <col min="2061" max="2061" width="12" style="1" bestFit="1" customWidth="1"/>
    <col min="2062" max="2062" width="18.7109375" style="1" bestFit="1" customWidth="1"/>
    <col min="2063" max="2304" width="11.42578125" style="1"/>
    <col min="2305" max="2305" width="8.85546875" style="1" bestFit="1" customWidth="1"/>
    <col min="2306" max="2306" width="10.140625" style="1" bestFit="1" customWidth="1"/>
    <col min="2307" max="2307" width="12.140625" style="1" bestFit="1" customWidth="1"/>
    <col min="2308" max="2308" width="4.5703125" style="1" bestFit="1" customWidth="1"/>
    <col min="2309" max="2309" width="11.28515625" style="1" bestFit="1" customWidth="1"/>
    <col min="2310" max="2310" width="13.28515625" style="1" bestFit="1" customWidth="1"/>
    <col min="2311" max="2311" width="12.140625" style="1" bestFit="1" customWidth="1"/>
    <col min="2312" max="2312" width="14.5703125" style="1" customWidth="1"/>
    <col min="2313" max="2314" width="12.140625" style="1" bestFit="1" customWidth="1"/>
    <col min="2315" max="2315" width="11.85546875" style="1" bestFit="1" customWidth="1"/>
    <col min="2316" max="2316" width="12.140625" style="1" bestFit="1" customWidth="1"/>
    <col min="2317" max="2317" width="12" style="1" bestFit="1" customWidth="1"/>
    <col min="2318" max="2318" width="18.7109375" style="1" bestFit="1" customWidth="1"/>
    <col min="2319" max="2560" width="11.42578125" style="1"/>
    <col min="2561" max="2561" width="8.85546875" style="1" bestFit="1" customWidth="1"/>
    <col min="2562" max="2562" width="10.140625" style="1" bestFit="1" customWidth="1"/>
    <col min="2563" max="2563" width="12.140625" style="1" bestFit="1" customWidth="1"/>
    <col min="2564" max="2564" width="4.5703125" style="1" bestFit="1" customWidth="1"/>
    <col min="2565" max="2565" width="11.28515625" style="1" bestFit="1" customWidth="1"/>
    <col min="2566" max="2566" width="13.28515625" style="1" bestFit="1" customWidth="1"/>
    <col min="2567" max="2567" width="12.140625" style="1" bestFit="1" customWidth="1"/>
    <col min="2568" max="2568" width="14.5703125" style="1" customWidth="1"/>
    <col min="2569" max="2570" width="12.140625" style="1" bestFit="1" customWidth="1"/>
    <col min="2571" max="2571" width="11.85546875" style="1" bestFit="1" customWidth="1"/>
    <col min="2572" max="2572" width="12.140625" style="1" bestFit="1" customWidth="1"/>
    <col min="2573" max="2573" width="12" style="1" bestFit="1" customWidth="1"/>
    <col min="2574" max="2574" width="18.7109375" style="1" bestFit="1" customWidth="1"/>
    <col min="2575" max="2816" width="11.42578125" style="1"/>
    <col min="2817" max="2817" width="8.85546875" style="1" bestFit="1" customWidth="1"/>
    <col min="2818" max="2818" width="10.140625" style="1" bestFit="1" customWidth="1"/>
    <col min="2819" max="2819" width="12.140625" style="1" bestFit="1" customWidth="1"/>
    <col min="2820" max="2820" width="4.5703125" style="1" bestFit="1" customWidth="1"/>
    <col min="2821" max="2821" width="11.28515625" style="1" bestFit="1" customWidth="1"/>
    <col min="2822" max="2822" width="13.28515625" style="1" bestFit="1" customWidth="1"/>
    <col min="2823" max="2823" width="12.140625" style="1" bestFit="1" customWidth="1"/>
    <col min="2824" max="2824" width="14.5703125" style="1" customWidth="1"/>
    <col min="2825" max="2826" width="12.140625" style="1" bestFit="1" customWidth="1"/>
    <col min="2827" max="2827" width="11.85546875" style="1" bestFit="1" customWidth="1"/>
    <col min="2828" max="2828" width="12.140625" style="1" bestFit="1" customWidth="1"/>
    <col min="2829" max="2829" width="12" style="1" bestFit="1" customWidth="1"/>
    <col min="2830" max="2830" width="18.7109375" style="1" bestFit="1" customWidth="1"/>
    <col min="2831" max="3072" width="11.42578125" style="1"/>
    <col min="3073" max="3073" width="8.85546875" style="1" bestFit="1" customWidth="1"/>
    <col min="3074" max="3074" width="10.140625" style="1" bestFit="1" customWidth="1"/>
    <col min="3075" max="3075" width="12.140625" style="1" bestFit="1" customWidth="1"/>
    <col min="3076" max="3076" width="4.5703125" style="1" bestFit="1" customWidth="1"/>
    <col min="3077" max="3077" width="11.28515625" style="1" bestFit="1" customWidth="1"/>
    <col min="3078" max="3078" width="13.28515625" style="1" bestFit="1" customWidth="1"/>
    <col min="3079" max="3079" width="12.140625" style="1" bestFit="1" customWidth="1"/>
    <col min="3080" max="3080" width="14.5703125" style="1" customWidth="1"/>
    <col min="3081" max="3082" width="12.140625" style="1" bestFit="1" customWidth="1"/>
    <col min="3083" max="3083" width="11.85546875" style="1" bestFit="1" customWidth="1"/>
    <col min="3084" max="3084" width="12.140625" style="1" bestFit="1" customWidth="1"/>
    <col min="3085" max="3085" width="12" style="1" bestFit="1" customWidth="1"/>
    <col min="3086" max="3086" width="18.7109375" style="1" bestFit="1" customWidth="1"/>
    <col min="3087" max="3328" width="11.42578125" style="1"/>
    <col min="3329" max="3329" width="8.85546875" style="1" bestFit="1" customWidth="1"/>
    <col min="3330" max="3330" width="10.140625" style="1" bestFit="1" customWidth="1"/>
    <col min="3331" max="3331" width="12.140625" style="1" bestFit="1" customWidth="1"/>
    <col min="3332" max="3332" width="4.5703125" style="1" bestFit="1" customWidth="1"/>
    <col min="3333" max="3333" width="11.28515625" style="1" bestFit="1" customWidth="1"/>
    <col min="3334" max="3334" width="13.28515625" style="1" bestFit="1" customWidth="1"/>
    <col min="3335" max="3335" width="12.140625" style="1" bestFit="1" customWidth="1"/>
    <col min="3336" max="3336" width="14.5703125" style="1" customWidth="1"/>
    <col min="3337" max="3338" width="12.140625" style="1" bestFit="1" customWidth="1"/>
    <col min="3339" max="3339" width="11.85546875" style="1" bestFit="1" customWidth="1"/>
    <col min="3340" max="3340" width="12.140625" style="1" bestFit="1" customWidth="1"/>
    <col min="3341" max="3341" width="12" style="1" bestFit="1" customWidth="1"/>
    <col min="3342" max="3342" width="18.7109375" style="1" bestFit="1" customWidth="1"/>
    <col min="3343" max="3584" width="11.42578125" style="1"/>
    <col min="3585" max="3585" width="8.85546875" style="1" bestFit="1" customWidth="1"/>
    <col min="3586" max="3586" width="10.140625" style="1" bestFit="1" customWidth="1"/>
    <col min="3587" max="3587" width="12.140625" style="1" bestFit="1" customWidth="1"/>
    <col min="3588" max="3588" width="4.5703125" style="1" bestFit="1" customWidth="1"/>
    <col min="3589" max="3589" width="11.28515625" style="1" bestFit="1" customWidth="1"/>
    <col min="3590" max="3590" width="13.28515625" style="1" bestFit="1" customWidth="1"/>
    <col min="3591" max="3591" width="12.140625" style="1" bestFit="1" customWidth="1"/>
    <col min="3592" max="3592" width="14.5703125" style="1" customWidth="1"/>
    <col min="3593" max="3594" width="12.140625" style="1" bestFit="1" customWidth="1"/>
    <col min="3595" max="3595" width="11.85546875" style="1" bestFit="1" customWidth="1"/>
    <col min="3596" max="3596" width="12.140625" style="1" bestFit="1" customWidth="1"/>
    <col min="3597" max="3597" width="12" style="1" bestFit="1" customWidth="1"/>
    <col min="3598" max="3598" width="18.7109375" style="1" bestFit="1" customWidth="1"/>
    <col min="3599" max="3840" width="11.42578125" style="1"/>
    <col min="3841" max="3841" width="8.85546875" style="1" bestFit="1" customWidth="1"/>
    <col min="3842" max="3842" width="10.140625" style="1" bestFit="1" customWidth="1"/>
    <col min="3843" max="3843" width="12.140625" style="1" bestFit="1" customWidth="1"/>
    <col min="3844" max="3844" width="4.5703125" style="1" bestFit="1" customWidth="1"/>
    <col min="3845" max="3845" width="11.28515625" style="1" bestFit="1" customWidth="1"/>
    <col min="3846" max="3846" width="13.28515625" style="1" bestFit="1" customWidth="1"/>
    <col min="3847" max="3847" width="12.140625" style="1" bestFit="1" customWidth="1"/>
    <col min="3848" max="3848" width="14.5703125" style="1" customWidth="1"/>
    <col min="3849" max="3850" width="12.140625" style="1" bestFit="1" customWidth="1"/>
    <col min="3851" max="3851" width="11.85546875" style="1" bestFit="1" customWidth="1"/>
    <col min="3852" max="3852" width="12.140625" style="1" bestFit="1" customWidth="1"/>
    <col min="3853" max="3853" width="12" style="1" bestFit="1" customWidth="1"/>
    <col min="3854" max="3854" width="18.7109375" style="1" bestFit="1" customWidth="1"/>
    <col min="3855" max="4096" width="11.42578125" style="1"/>
    <col min="4097" max="4097" width="8.85546875" style="1" bestFit="1" customWidth="1"/>
    <col min="4098" max="4098" width="10.140625" style="1" bestFit="1" customWidth="1"/>
    <col min="4099" max="4099" width="12.140625" style="1" bestFit="1" customWidth="1"/>
    <col min="4100" max="4100" width="4.5703125" style="1" bestFit="1" customWidth="1"/>
    <col min="4101" max="4101" width="11.28515625" style="1" bestFit="1" customWidth="1"/>
    <col min="4102" max="4102" width="13.28515625" style="1" bestFit="1" customWidth="1"/>
    <col min="4103" max="4103" width="12.140625" style="1" bestFit="1" customWidth="1"/>
    <col min="4104" max="4104" width="14.5703125" style="1" customWidth="1"/>
    <col min="4105" max="4106" width="12.140625" style="1" bestFit="1" customWidth="1"/>
    <col min="4107" max="4107" width="11.85546875" style="1" bestFit="1" customWidth="1"/>
    <col min="4108" max="4108" width="12.140625" style="1" bestFit="1" customWidth="1"/>
    <col min="4109" max="4109" width="12" style="1" bestFit="1" customWidth="1"/>
    <col min="4110" max="4110" width="18.7109375" style="1" bestFit="1" customWidth="1"/>
    <col min="4111" max="4352" width="11.42578125" style="1"/>
    <col min="4353" max="4353" width="8.85546875" style="1" bestFit="1" customWidth="1"/>
    <col min="4354" max="4354" width="10.140625" style="1" bestFit="1" customWidth="1"/>
    <col min="4355" max="4355" width="12.140625" style="1" bestFit="1" customWidth="1"/>
    <col min="4356" max="4356" width="4.5703125" style="1" bestFit="1" customWidth="1"/>
    <col min="4357" max="4357" width="11.28515625" style="1" bestFit="1" customWidth="1"/>
    <col min="4358" max="4358" width="13.28515625" style="1" bestFit="1" customWidth="1"/>
    <col min="4359" max="4359" width="12.140625" style="1" bestFit="1" customWidth="1"/>
    <col min="4360" max="4360" width="14.5703125" style="1" customWidth="1"/>
    <col min="4361" max="4362" width="12.140625" style="1" bestFit="1" customWidth="1"/>
    <col min="4363" max="4363" width="11.85546875" style="1" bestFit="1" customWidth="1"/>
    <col min="4364" max="4364" width="12.140625" style="1" bestFit="1" customWidth="1"/>
    <col min="4365" max="4365" width="12" style="1" bestFit="1" customWidth="1"/>
    <col min="4366" max="4366" width="18.7109375" style="1" bestFit="1" customWidth="1"/>
    <col min="4367" max="4608" width="11.42578125" style="1"/>
    <col min="4609" max="4609" width="8.85546875" style="1" bestFit="1" customWidth="1"/>
    <col min="4610" max="4610" width="10.140625" style="1" bestFit="1" customWidth="1"/>
    <col min="4611" max="4611" width="12.140625" style="1" bestFit="1" customWidth="1"/>
    <col min="4612" max="4612" width="4.5703125" style="1" bestFit="1" customWidth="1"/>
    <col min="4613" max="4613" width="11.28515625" style="1" bestFit="1" customWidth="1"/>
    <col min="4614" max="4614" width="13.28515625" style="1" bestFit="1" customWidth="1"/>
    <col min="4615" max="4615" width="12.140625" style="1" bestFit="1" customWidth="1"/>
    <col min="4616" max="4616" width="14.5703125" style="1" customWidth="1"/>
    <col min="4617" max="4618" width="12.140625" style="1" bestFit="1" customWidth="1"/>
    <col min="4619" max="4619" width="11.85546875" style="1" bestFit="1" customWidth="1"/>
    <col min="4620" max="4620" width="12.140625" style="1" bestFit="1" customWidth="1"/>
    <col min="4621" max="4621" width="12" style="1" bestFit="1" customWidth="1"/>
    <col min="4622" max="4622" width="18.7109375" style="1" bestFit="1" customWidth="1"/>
    <col min="4623" max="4864" width="11.42578125" style="1"/>
    <col min="4865" max="4865" width="8.85546875" style="1" bestFit="1" customWidth="1"/>
    <col min="4866" max="4866" width="10.140625" style="1" bestFit="1" customWidth="1"/>
    <col min="4867" max="4867" width="12.140625" style="1" bestFit="1" customWidth="1"/>
    <col min="4868" max="4868" width="4.5703125" style="1" bestFit="1" customWidth="1"/>
    <col min="4869" max="4869" width="11.28515625" style="1" bestFit="1" customWidth="1"/>
    <col min="4870" max="4870" width="13.28515625" style="1" bestFit="1" customWidth="1"/>
    <col min="4871" max="4871" width="12.140625" style="1" bestFit="1" customWidth="1"/>
    <col min="4872" max="4872" width="14.5703125" style="1" customWidth="1"/>
    <col min="4873" max="4874" width="12.140625" style="1" bestFit="1" customWidth="1"/>
    <col min="4875" max="4875" width="11.85546875" style="1" bestFit="1" customWidth="1"/>
    <col min="4876" max="4876" width="12.140625" style="1" bestFit="1" customWidth="1"/>
    <col min="4877" max="4877" width="12" style="1" bestFit="1" customWidth="1"/>
    <col min="4878" max="4878" width="18.7109375" style="1" bestFit="1" customWidth="1"/>
    <col min="4879" max="5120" width="11.42578125" style="1"/>
    <col min="5121" max="5121" width="8.85546875" style="1" bestFit="1" customWidth="1"/>
    <col min="5122" max="5122" width="10.140625" style="1" bestFit="1" customWidth="1"/>
    <col min="5123" max="5123" width="12.140625" style="1" bestFit="1" customWidth="1"/>
    <col min="5124" max="5124" width="4.5703125" style="1" bestFit="1" customWidth="1"/>
    <col min="5125" max="5125" width="11.28515625" style="1" bestFit="1" customWidth="1"/>
    <col min="5126" max="5126" width="13.28515625" style="1" bestFit="1" customWidth="1"/>
    <col min="5127" max="5127" width="12.140625" style="1" bestFit="1" customWidth="1"/>
    <col min="5128" max="5128" width="14.5703125" style="1" customWidth="1"/>
    <col min="5129" max="5130" width="12.140625" style="1" bestFit="1" customWidth="1"/>
    <col min="5131" max="5131" width="11.85546875" style="1" bestFit="1" customWidth="1"/>
    <col min="5132" max="5132" width="12.140625" style="1" bestFit="1" customWidth="1"/>
    <col min="5133" max="5133" width="12" style="1" bestFit="1" customWidth="1"/>
    <col min="5134" max="5134" width="18.7109375" style="1" bestFit="1" customWidth="1"/>
    <col min="5135" max="5376" width="11.42578125" style="1"/>
    <col min="5377" max="5377" width="8.85546875" style="1" bestFit="1" customWidth="1"/>
    <col min="5378" max="5378" width="10.140625" style="1" bestFit="1" customWidth="1"/>
    <col min="5379" max="5379" width="12.140625" style="1" bestFit="1" customWidth="1"/>
    <col min="5380" max="5380" width="4.5703125" style="1" bestFit="1" customWidth="1"/>
    <col min="5381" max="5381" width="11.28515625" style="1" bestFit="1" customWidth="1"/>
    <col min="5382" max="5382" width="13.28515625" style="1" bestFit="1" customWidth="1"/>
    <col min="5383" max="5383" width="12.140625" style="1" bestFit="1" customWidth="1"/>
    <col min="5384" max="5384" width="14.5703125" style="1" customWidth="1"/>
    <col min="5385" max="5386" width="12.140625" style="1" bestFit="1" customWidth="1"/>
    <col min="5387" max="5387" width="11.85546875" style="1" bestFit="1" customWidth="1"/>
    <col min="5388" max="5388" width="12.140625" style="1" bestFit="1" customWidth="1"/>
    <col min="5389" max="5389" width="12" style="1" bestFit="1" customWidth="1"/>
    <col min="5390" max="5390" width="18.7109375" style="1" bestFit="1" customWidth="1"/>
    <col min="5391" max="5632" width="11.42578125" style="1"/>
    <col min="5633" max="5633" width="8.85546875" style="1" bestFit="1" customWidth="1"/>
    <col min="5634" max="5634" width="10.140625" style="1" bestFit="1" customWidth="1"/>
    <col min="5635" max="5635" width="12.140625" style="1" bestFit="1" customWidth="1"/>
    <col min="5636" max="5636" width="4.5703125" style="1" bestFit="1" customWidth="1"/>
    <col min="5637" max="5637" width="11.28515625" style="1" bestFit="1" customWidth="1"/>
    <col min="5638" max="5638" width="13.28515625" style="1" bestFit="1" customWidth="1"/>
    <col min="5639" max="5639" width="12.140625" style="1" bestFit="1" customWidth="1"/>
    <col min="5640" max="5640" width="14.5703125" style="1" customWidth="1"/>
    <col min="5641" max="5642" width="12.140625" style="1" bestFit="1" customWidth="1"/>
    <col min="5643" max="5643" width="11.85546875" style="1" bestFit="1" customWidth="1"/>
    <col min="5644" max="5644" width="12.140625" style="1" bestFit="1" customWidth="1"/>
    <col min="5645" max="5645" width="12" style="1" bestFit="1" customWidth="1"/>
    <col min="5646" max="5646" width="18.7109375" style="1" bestFit="1" customWidth="1"/>
    <col min="5647" max="5888" width="11.42578125" style="1"/>
    <col min="5889" max="5889" width="8.85546875" style="1" bestFit="1" customWidth="1"/>
    <col min="5890" max="5890" width="10.140625" style="1" bestFit="1" customWidth="1"/>
    <col min="5891" max="5891" width="12.140625" style="1" bestFit="1" customWidth="1"/>
    <col min="5892" max="5892" width="4.5703125" style="1" bestFit="1" customWidth="1"/>
    <col min="5893" max="5893" width="11.28515625" style="1" bestFit="1" customWidth="1"/>
    <col min="5894" max="5894" width="13.28515625" style="1" bestFit="1" customWidth="1"/>
    <col min="5895" max="5895" width="12.140625" style="1" bestFit="1" customWidth="1"/>
    <col min="5896" max="5896" width="14.5703125" style="1" customWidth="1"/>
    <col min="5897" max="5898" width="12.140625" style="1" bestFit="1" customWidth="1"/>
    <col min="5899" max="5899" width="11.85546875" style="1" bestFit="1" customWidth="1"/>
    <col min="5900" max="5900" width="12.140625" style="1" bestFit="1" customWidth="1"/>
    <col min="5901" max="5901" width="12" style="1" bestFit="1" customWidth="1"/>
    <col min="5902" max="5902" width="18.7109375" style="1" bestFit="1" customWidth="1"/>
    <col min="5903" max="6144" width="11.42578125" style="1"/>
    <col min="6145" max="6145" width="8.85546875" style="1" bestFit="1" customWidth="1"/>
    <col min="6146" max="6146" width="10.140625" style="1" bestFit="1" customWidth="1"/>
    <col min="6147" max="6147" width="12.140625" style="1" bestFit="1" customWidth="1"/>
    <col min="6148" max="6148" width="4.5703125" style="1" bestFit="1" customWidth="1"/>
    <col min="6149" max="6149" width="11.28515625" style="1" bestFit="1" customWidth="1"/>
    <col min="6150" max="6150" width="13.28515625" style="1" bestFit="1" customWidth="1"/>
    <col min="6151" max="6151" width="12.140625" style="1" bestFit="1" customWidth="1"/>
    <col min="6152" max="6152" width="14.5703125" style="1" customWidth="1"/>
    <col min="6153" max="6154" width="12.140625" style="1" bestFit="1" customWidth="1"/>
    <col min="6155" max="6155" width="11.85546875" style="1" bestFit="1" customWidth="1"/>
    <col min="6156" max="6156" width="12.140625" style="1" bestFit="1" customWidth="1"/>
    <col min="6157" max="6157" width="12" style="1" bestFit="1" customWidth="1"/>
    <col min="6158" max="6158" width="18.7109375" style="1" bestFit="1" customWidth="1"/>
    <col min="6159" max="6400" width="11.42578125" style="1"/>
    <col min="6401" max="6401" width="8.85546875" style="1" bestFit="1" customWidth="1"/>
    <col min="6402" max="6402" width="10.140625" style="1" bestFit="1" customWidth="1"/>
    <col min="6403" max="6403" width="12.140625" style="1" bestFit="1" customWidth="1"/>
    <col min="6404" max="6404" width="4.5703125" style="1" bestFit="1" customWidth="1"/>
    <col min="6405" max="6405" width="11.28515625" style="1" bestFit="1" customWidth="1"/>
    <col min="6406" max="6406" width="13.28515625" style="1" bestFit="1" customWidth="1"/>
    <col min="6407" max="6407" width="12.140625" style="1" bestFit="1" customWidth="1"/>
    <col min="6408" max="6408" width="14.5703125" style="1" customWidth="1"/>
    <col min="6409" max="6410" width="12.140625" style="1" bestFit="1" customWidth="1"/>
    <col min="6411" max="6411" width="11.85546875" style="1" bestFit="1" customWidth="1"/>
    <col min="6412" max="6412" width="12.140625" style="1" bestFit="1" customWidth="1"/>
    <col min="6413" max="6413" width="12" style="1" bestFit="1" customWidth="1"/>
    <col min="6414" max="6414" width="18.7109375" style="1" bestFit="1" customWidth="1"/>
    <col min="6415" max="6656" width="11.42578125" style="1"/>
    <col min="6657" max="6657" width="8.85546875" style="1" bestFit="1" customWidth="1"/>
    <col min="6658" max="6658" width="10.140625" style="1" bestFit="1" customWidth="1"/>
    <col min="6659" max="6659" width="12.140625" style="1" bestFit="1" customWidth="1"/>
    <col min="6660" max="6660" width="4.5703125" style="1" bestFit="1" customWidth="1"/>
    <col min="6661" max="6661" width="11.28515625" style="1" bestFit="1" customWidth="1"/>
    <col min="6662" max="6662" width="13.28515625" style="1" bestFit="1" customWidth="1"/>
    <col min="6663" max="6663" width="12.140625" style="1" bestFit="1" customWidth="1"/>
    <col min="6664" max="6664" width="14.5703125" style="1" customWidth="1"/>
    <col min="6665" max="6666" width="12.140625" style="1" bestFit="1" customWidth="1"/>
    <col min="6667" max="6667" width="11.85546875" style="1" bestFit="1" customWidth="1"/>
    <col min="6668" max="6668" width="12.140625" style="1" bestFit="1" customWidth="1"/>
    <col min="6669" max="6669" width="12" style="1" bestFit="1" customWidth="1"/>
    <col min="6670" max="6670" width="18.7109375" style="1" bestFit="1" customWidth="1"/>
    <col min="6671" max="6912" width="11.42578125" style="1"/>
    <col min="6913" max="6913" width="8.85546875" style="1" bestFit="1" customWidth="1"/>
    <col min="6914" max="6914" width="10.140625" style="1" bestFit="1" customWidth="1"/>
    <col min="6915" max="6915" width="12.140625" style="1" bestFit="1" customWidth="1"/>
    <col min="6916" max="6916" width="4.5703125" style="1" bestFit="1" customWidth="1"/>
    <col min="6917" max="6917" width="11.28515625" style="1" bestFit="1" customWidth="1"/>
    <col min="6918" max="6918" width="13.28515625" style="1" bestFit="1" customWidth="1"/>
    <col min="6919" max="6919" width="12.140625" style="1" bestFit="1" customWidth="1"/>
    <col min="6920" max="6920" width="14.5703125" style="1" customWidth="1"/>
    <col min="6921" max="6922" width="12.140625" style="1" bestFit="1" customWidth="1"/>
    <col min="6923" max="6923" width="11.85546875" style="1" bestFit="1" customWidth="1"/>
    <col min="6924" max="6924" width="12.140625" style="1" bestFit="1" customWidth="1"/>
    <col min="6925" max="6925" width="12" style="1" bestFit="1" customWidth="1"/>
    <col min="6926" max="6926" width="18.7109375" style="1" bestFit="1" customWidth="1"/>
    <col min="6927" max="7168" width="11.42578125" style="1"/>
    <col min="7169" max="7169" width="8.85546875" style="1" bestFit="1" customWidth="1"/>
    <col min="7170" max="7170" width="10.140625" style="1" bestFit="1" customWidth="1"/>
    <col min="7171" max="7171" width="12.140625" style="1" bestFit="1" customWidth="1"/>
    <col min="7172" max="7172" width="4.5703125" style="1" bestFit="1" customWidth="1"/>
    <col min="7173" max="7173" width="11.28515625" style="1" bestFit="1" customWidth="1"/>
    <col min="7174" max="7174" width="13.28515625" style="1" bestFit="1" customWidth="1"/>
    <col min="7175" max="7175" width="12.140625" style="1" bestFit="1" customWidth="1"/>
    <col min="7176" max="7176" width="14.5703125" style="1" customWidth="1"/>
    <col min="7177" max="7178" width="12.140625" style="1" bestFit="1" customWidth="1"/>
    <col min="7179" max="7179" width="11.85546875" style="1" bestFit="1" customWidth="1"/>
    <col min="7180" max="7180" width="12.140625" style="1" bestFit="1" customWidth="1"/>
    <col min="7181" max="7181" width="12" style="1" bestFit="1" customWidth="1"/>
    <col min="7182" max="7182" width="18.7109375" style="1" bestFit="1" customWidth="1"/>
    <col min="7183" max="7424" width="11.42578125" style="1"/>
    <col min="7425" max="7425" width="8.85546875" style="1" bestFit="1" customWidth="1"/>
    <col min="7426" max="7426" width="10.140625" style="1" bestFit="1" customWidth="1"/>
    <col min="7427" max="7427" width="12.140625" style="1" bestFit="1" customWidth="1"/>
    <col min="7428" max="7428" width="4.5703125" style="1" bestFit="1" customWidth="1"/>
    <col min="7429" max="7429" width="11.28515625" style="1" bestFit="1" customWidth="1"/>
    <col min="7430" max="7430" width="13.28515625" style="1" bestFit="1" customWidth="1"/>
    <col min="7431" max="7431" width="12.140625" style="1" bestFit="1" customWidth="1"/>
    <col min="7432" max="7432" width="14.5703125" style="1" customWidth="1"/>
    <col min="7433" max="7434" width="12.140625" style="1" bestFit="1" customWidth="1"/>
    <col min="7435" max="7435" width="11.85546875" style="1" bestFit="1" customWidth="1"/>
    <col min="7436" max="7436" width="12.140625" style="1" bestFit="1" customWidth="1"/>
    <col min="7437" max="7437" width="12" style="1" bestFit="1" customWidth="1"/>
    <col min="7438" max="7438" width="18.7109375" style="1" bestFit="1" customWidth="1"/>
    <col min="7439" max="7680" width="11.42578125" style="1"/>
    <col min="7681" max="7681" width="8.85546875" style="1" bestFit="1" customWidth="1"/>
    <col min="7682" max="7682" width="10.140625" style="1" bestFit="1" customWidth="1"/>
    <col min="7683" max="7683" width="12.140625" style="1" bestFit="1" customWidth="1"/>
    <col min="7684" max="7684" width="4.5703125" style="1" bestFit="1" customWidth="1"/>
    <col min="7685" max="7685" width="11.28515625" style="1" bestFit="1" customWidth="1"/>
    <col min="7686" max="7686" width="13.28515625" style="1" bestFit="1" customWidth="1"/>
    <col min="7687" max="7687" width="12.140625" style="1" bestFit="1" customWidth="1"/>
    <col min="7688" max="7688" width="14.5703125" style="1" customWidth="1"/>
    <col min="7689" max="7690" width="12.140625" style="1" bestFit="1" customWidth="1"/>
    <col min="7691" max="7691" width="11.85546875" style="1" bestFit="1" customWidth="1"/>
    <col min="7692" max="7692" width="12.140625" style="1" bestFit="1" customWidth="1"/>
    <col min="7693" max="7693" width="12" style="1" bestFit="1" customWidth="1"/>
    <col min="7694" max="7694" width="18.7109375" style="1" bestFit="1" customWidth="1"/>
    <col min="7695" max="7936" width="11.42578125" style="1"/>
    <col min="7937" max="7937" width="8.85546875" style="1" bestFit="1" customWidth="1"/>
    <col min="7938" max="7938" width="10.140625" style="1" bestFit="1" customWidth="1"/>
    <col min="7939" max="7939" width="12.140625" style="1" bestFit="1" customWidth="1"/>
    <col min="7940" max="7940" width="4.5703125" style="1" bestFit="1" customWidth="1"/>
    <col min="7941" max="7941" width="11.28515625" style="1" bestFit="1" customWidth="1"/>
    <col min="7942" max="7942" width="13.28515625" style="1" bestFit="1" customWidth="1"/>
    <col min="7943" max="7943" width="12.140625" style="1" bestFit="1" customWidth="1"/>
    <col min="7944" max="7944" width="14.5703125" style="1" customWidth="1"/>
    <col min="7945" max="7946" width="12.140625" style="1" bestFit="1" customWidth="1"/>
    <col min="7947" max="7947" width="11.85546875" style="1" bestFit="1" customWidth="1"/>
    <col min="7948" max="7948" width="12.140625" style="1" bestFit="1" customWidth="1"/>
    <col min="7949" max="7949" width="12" style="1" bestFit="1" customWidth="1"/>
    <col min="7950" max="7950" width="18.7109375" style="1" bestFit="1" customWidth="1"/>
    <col min="7951" max="8192" width="11.42578125" style="1"/>
    <col min="8193" max="8193" width="8.85546875" style="1" bestFit="1" customWidth="1"/>
    <col min="8194" max="8194" width="10.140625" style="1" bestFit="1" customWidth="1"/>
    <col min="8195" max="8195" width="12.140625" style="1" bestFit="1" customWidth="1"/>
    <col min="8196" max="8196" width="4.5703125" style="1" bestFit="1" customWidth="1"/>
    <col min="8197" max="8197" width="11.28515625" style="1" bestFit="1" customWidth="1"/>
    <col min="8198" max="8198" width="13.28515625" style="1" bestFit="1" customWidth="1"/>
    <col min="8199" max="8199" width="12.140625" style="1" bestFit="1" customWidth="1"/>
    <col min="8200" max="8200" width="14.5703125" style="1" customWidth="1"/>
    <col min="8201" max="8202" width="12.140625" style="1" bestFit="1" customWidth="1"/>
    <col min="8203" max="8203" width="11.85546875" style="1" bestFit="1" customWidth="1"/>
    <col min="8204" max="8204" width="12.140625" style="1" bestFit="1" customWidth="1"/>
    <col min="8205" max="8205" width="12" style="1" bestFit="1" customWidth="1"/>
    <col min="8206" max="8206" width="18.7109375" style="1" bestFit="1" customWidth="1"/>
    <col min="8207" max="8448" width="11.42578125" style="1"/>
    <col min="8449" max="8449" width="8.85546875" style="1" bestFit="1" customWidth="1"/>
    <col min="8450" max="8450" width="10.140625" style="1" bestFit="1" customWidth="1"/>
    <col min="8451" max="8451" width="12.140625" style="1" bestFit="1" customWidth="1"/>
    <col min="8452" max="8452" width="4.5703125" style="1" bestFit="1" customWidth="1"/>
    <col min="8453" max="8453" width="11.28515625" style="1" bestFit="1" customWidth="1"/>
    <col min="8454" max="8454" width="13.28515625" style="1" bestFit="1" customWidth="1"/>
    <col min="8455" max="8455" width="12.140625" style="1" bestFit="1" customWidth="1"/>
    <col min="8456" max="8456" width="14.5703125" style="1" customWidth="1"/>
    <col min="8457" max="8458" width="12.140625" style="1" bestFit="1" customWidth="1"/>
    <col min="8459" max="8459" width="11.85546875" style="1" bestFit="1" customWidth="1"/>
    <col min="8460" max="8460" width="12.140625" style="1" bestFit="1" customWidth="1"/>
    <col min="8461" max="8461" width="12" style="1" bestFit="1" customWidth="1"/>
    <col min="8462" max="8462" width="18.7109375" style="1" bestFit="1" customWidth="1"/>
    <col min="8463" max="8704" width="11.42578125" style="1"/>
    <col min="8705" max="8705" width="8.85546875" style="1" bestFit="1" customWidth="1"/>
    <col min="8706" max="8706" width="10.140625" style="1" bestFit="1" customWidth="1"/>
    <col min="8707" max="8707" width="12.140625" style="1" bestFit="1" customWidth="1"/>
    <col min="8708" max="8708" width="4.5703125" style="1" bestFit="1" customWidth="1"/>
    <col min="8709" max="8709" width="11.28515625" style="1" bestFit="1" customWidth="1"/>
    <col min="8710" max="8710" width="13.28515625" style="1" bestFit="1" customWidth="1"/>
    <col min="8711" max="8711" width="12.140625" style="1" bestFit="1" customWidth="1"/>
    <col min="8712" max="8712" width="14.5703125" style="1" customWidth="1"/>
    <col min="8713" max="8714" width="12.140625" style="1" bestFit="1" customWidth="1"/>
    <col min="8715" max="8715" width="11.85546875" style="1" bestFit="1" customWidth="1"/>
    <col min="8716" max="8716" width="12.140625" style="1" bestFit="1" customWidth="1"/>
    <col min="8717" max="8717" width="12" style="1" bestFit="1" customWidth="1"/>
    <col min="8718" max="8718" width="18.7109375" style="1" bestFit="1" customWidth="1"/>
    <col min="8719" max="8960" width="11.42578125" style="1"/>
    <col min="8961" max="8961" width="8.85546875" style="1" bestFit="1" customWidth="1"/>
    <col min="8962" max="8962" width="10.140625" style="1" bestFit="1" customWidth="1"/>
    <col min="8963" max="8963" width="12.140625" style="1" bestFit="1" customWidth="1"/>
    <col min="8964" max="8964" width="4.5703125" style="1" bestFit="1" customWidth="1"/>
    <col min="8965" max="8965" width="11.28515625" style="1" bestFit="1" customWidth="1"/>
    <col min="8966" max="8966" width="13.28515625" style="1" bestFit="1" customWidth="1"/>
    <col min="8967" max="8967" width="12.140625" style="1" bestFit="1" customWidth="1"/>
    <col min="8968" max="8968" width="14.5703125" style="1" customWidth="1"/>
    <col min="8969" max="8970" width="12.140625" style="1" bestFit="1" customWidth="1"/>
    <col min="8971" max="8971" width="11.85546875" style="1" bestFit="1" customWidth="1"/>
    <col min="8972" max="8972" width="12.140625" style="1" bestFit="1" customWidth="1"/>
    <col min="8973" max="8973" width="12" style="1" bestFit="1" customWidth="1"/>
    <col min="8974" max="8974" width="18.7109375" style="1" bestFit="1" customWidth="1"/>
    <col min="8975" max="9216" width="11.42578125" style="1"/>
    <col min="9217" max="9217" width="8.85546875" style="1" bestFit="1" customWidth="1"/>
    <col min="9218" max="9218" width="10.140625" style="1" bestFit="1" customWidth="1"/>
    <col min="9219" max="9219" width="12.140625" style="1" bestFit="1" customWidth="1"/>
    <col min="9220" max="9220" width="4.5703125" style="1" bestFit="1" customWidth="1"/>
    <col min="9221" max="9221" width="11.28515625" style="1" bestFit="1" customWidth="1"/>
    <col min="9222" max="9222" width="13.28515625" style="1" bestFit="1" customWidth="1"/>
    <col min="9223" max="9223" width="12.140625" style="1" bestFit="1" customWidth="1"/>
    <col min="9224" max="9224" width="14.5703125" style="1" customWidth="1"/>
    <col min="9225" max="9226" width="12.140625" style="1" bestFit="1" customWidth="1"/>
    <col min="9227" max="9227" width="11.85546875" style="1" bestFit="1" customWidth="1"/>
    <col min="9228" max="9228" width="12.140625" style="1" bestFit="1" customWidth="1"/>
    <col min="9229" max="9229" width="12" style="1" bestFit="1" customWidth="1"/>
    <col min="9230" max="9230" width="18.7109375" style="1" bestFit="1" customWidth="1"/>
    <col min="9231" max="9472" width="11.42578125" style="1"/>
    <col min="9473" max="9473" width="8.85546875" style="1" bestFit="1" customWidth="1"/>
    <col min="9474" max="9474" width="10.140625" style="1" bestFit="1" customWidth="1"/>
    <col min="9475" max="9475" width="12.140625" style="1" bestFit="1" customWidth="1"/>
    <col min="9476" max="9476" width="4.5703125" style="1" bestFit="1" customWidth="1"/>
    <col min="9477" max="9477" width="11.28515625" style="1" bestFit="1" customWidth="1"/>
    <col min="9478" max="9478" width="13.28515625" style="1" bestFit="1" customWidth="1"/>
    <col min="9479" max="9479" width="12.140625" style="1" bestFit="1" customWidth="1"/>
    <col min="9480" max="9480" width="14.5703125" style="1" customWidth="1"/>
    <col min="9481" max="9482" width="12.140625" style="1" bestFit="1" customWidth="1"/>
    <col min="9483" max="9483" width="11.85546875" style="1" bestFit="1" customWidth="1"/>
    <col min="9484" max="9484" width="12.140625" style="1" bestFit="1" customWidth="1"/>
    <col min="9485" max="9485" width="12" style="1" bestFit="1" customWidth="1"/>
    <col min="9486" max="9486" width="18.7109375" style="1" bestFit="1" customWidth="1"/>
    <col min="9487" max="9728" width="11.42578125" style="1"/>
    <col min="9729" max="9729" width="8.85546875" style="1" bestFit="1" customWidth="1"/>
    <col min="9730" max="9730" width="10.140625" style="1" bestFit="1" customWidth="1"/>
    <col min="9731" max="9731" width="12.140625" style="1" bestFit="1" customWidth="1"/>
    <col min="9732" max="9732" width="4.5703125" style="1" bestFit="1" customWidth="1"/>
    <col min="9733" max="9733" width="11.28515625" style="1" bestFit="1" customWidth="1"/>
    <col min="9734" max="9734" width="13.28515625" style="1" bestFit="1" customWidth="1"/>
    <col min="9735" max="9735" width="12.140625" style="1" bestFit="1" customWidth="1"/>
    <col min="9736" max="9736" width="14.5703125" style="1" customWidth="1"/>
    <col min="9737" max="9738" width="12.140625" style="1" bestFit="1" customWidth="1"/>
    <col min="9739" max="9739" width="11.85546875" style="1" bestFit="1" customWidth="1"/>
    <col min="9740" max="9740" width="12.140625" style="1" bestFit="1" customWidth="1"/>
    <col min="9741" max="9741" width="12" style="1" bestFit="1" customWidth="1"/>
    <col min="9742" max="9742" width="18.7109375" style="1" bestFit="1" customWidth="1"/>
    <col min="9743" max="9984" width="11.42578125" style="1"/>
    <col min="9985" max="9985" width="8.85546875" style="1" bestFit="1" customWidth="1"/>
    <col min="9986" max="9986" width="10.140625" style="1" bestFit="1" customWidth="1"/>
    <col min="9987" max="9987" width="12.140625" style="1" bestFit="1" customWidth="1"/>
    <col min="9988" max="9988" width="4.5703125" style="1" bestFit="1" customWidth="1"/>
    <col min="9989" max="9989" width="11.28515625" style="1" bestFit="1" customWidth="1"/>
    <col min="9990" max="9990" width="13.28515625" style="1" bestFit="1" customWidth="1"/>
    <col min="9991" max="9991" width="12.140625" style="1" bestFit="1" customWidth="1"/>
    <col min="9992" max="9992" width="14.5703125" style="1" customWidth="1"/>
    <col min="9993" max="9994" width="12.140625" style="1" bestFit="1" customWidth="1"/>
    <col min="9995" max="9995" width="11.85546875" style="1" bestFit="1" customWidth="1"/>
    <col min="9996" max="9996" width="12.140625" style="1" bestFit="1" customWidth="1"/>
    <col min="9997" max="9997" width="12" style="1" bestFit="1" customWidth="1"/>
    <col min="9998" max="9998" width="18.7109375" style="1" bestFit="1" customWidth="1"/>
    <col min="9999" max="10240" width="11.42578125" style="1"/>
    <col min="10241" max="10241" width="8.85546875" style="1" bestFit="1" customWidth="1"/>
    <col min="10242" max="10242" width="10.140625" style="1" bestFit="1" customWidth="1"/>
    <col min="10243" max="10243" width="12.140625" style="1" bestFit="1" customWidth="1"/>
    <col min="10244" max="10244" width="4.5703125" style="1" bestFit="1" customWidth="1"/>
    <col min="10245" max="10245" width="11.28515625" style="1" bestFit="1" customWidth="1"/>
    <col min="10246" max="10246" width="13.28515625" style="1" bestFit="1" customWidth="1"/>
    <col min="10247" max="10247" width="12.140625" style="1" bestFit="1" customWidth="1"/>
    <col min="10248" max="10248" width="14.5703125" style="1" customWidth="1"/>
    <col min="10249" max="10250" width="12.140625" style="1" bestFit="1" customWidth="1"/>
    <col min="10251" max="10251" width="11.85546875" style="1" bestFit="1" customWidth="1"/>
    <col min="10252" max="10252" width="12.140625" style="1" bestFit="1" customWidth="1"/>
    <col min="10253" max="10253" width="12" style="1" bestFit="1" customWidth="1"/>
    <col min="10254" max="10254" width="18.7109375" style="1" bestFit="1" customWidth="1"/>
    <col min="10255" max="10496" width="11.42578125" style="1"/>
    <col min="10497" max="10497" width="8.85546875" style="1" bestFit="1" customWidth="1"/>
    <col min="10498" max="10498" width="10.140625" style="1" bestFit="1" customWidth="1"/>
    <col min="10499" max="10499" width="12.140625" style="1" bestFit="1" customWidth="1"/>
    <col min="10500" max="10500" width="4.5703125" style="1" bestFit="1" customWidth="1"/>
    <col min="10501" max="10501" width="11.28515625" style="1" bestFit="1" customWidth="1"/>
    <col min="10502" max="10502" width="13.28515625" style="1" bestFit="1" customWidth="1"/>
    <col min="10503" max="10503" width="12.140625" style="1" bestFit="1" customWidth="1"/>
    <col min="10504" max="10504" width="14.5703125" style="1" customWidth="1"/>
    <col min="10505" max="10506" width="12.140625" style="1" bestFit="1" customWidth="1"/>
    <col min="10507" max="10507" width="11.85546875" style="1" bestFit="1" customWidth="1"/>
    <col min="10508" max="10508" width="12.140625" style="1" bestFit="1" customWidth="1"/>
    <col min="10509" max="10509" width="12" style="1" bestFit="1" customWidth="1"/>
    <col min="10510" max="10510" width="18.7109375" style="1" bestFit="1" customWidth="1"/>
    <col min="10511" max="10752" width="11.42578125" style="1"/>
    <col min="10753" max="10753" width="8.85546875" style="1" bestFit="1" customWidth="1"/>
    <col min="10754" max="10754" width="10.140625" style="1" bestFit="1" customWidth="1"/>
    <col min="10755" max="10755" width="12.140625" style="1" bestFit="1" customWidth="1"/>
    <col min="10756" max="10756" width="4.5703125" style="1" bestFit="1" customWidth="1"/>
    <col min="10757" max="10757" width="11.28515625" style="1" bestFit="1" customWidth="1"/>
    <col min="10758" max="10758" width="13.28515625" style="1" bestFit="1" customWidth="1"/>
    <col min="10759" max="10759" width="12.140625" style="1" bestFit="1" customWidth="1"/>
    <col min="10760" max="10760" width="14.5703125" style="1" customWidth="1"/>
    <col min="10761" max="10762" width="12.140625" style="1" bestFit="1" customWidth="1"/>
    <col min="10763" max="10763" width="11.85546875" style="1" bestFit="1" customWidth="1"/>
    <col min="10764" max="10764" width="12.140625" style="1" bestFit="1" customWidth="1"/>
    <col min="10765" max="10765" width="12" style="1" bestFit="1" customWidth="1"/>
    <col min="10766" max="10766" width="18.7109375" style="1" bestFit="1" customWidth="1"/>
    <col min="10767" max="11008" width="11.42578125" style="1"/>
    <col min="11009" max="11009" width="8.85546875" style="1" bestFit="1" customWidth="1"/>
    <col min="11010" max="11010" width="10.140625" style="1" bestFit="1" customWidth="1"/>
    <col min="11011" max="11011" width="12.140625" style="1" bestFit="1" customWidth="1"/>
    <col min="11012" max="11012" width="4.5703125" style="1" bestFit="1" customWidth="1"/>
    <col min="11013" max="11013" width="11.28515625" style="1" bestFit="1" customWidth="1"/>
    <col min="11014" max="11014" width="13.28515625" style="1" bestFit="1" customWidth="1"/>
    <col min="11015" max="11015" width="12.140625" style="1" bestFit="1" customWidth="1"/>
    <col min="11016" max="11016" width="14.5703125" style="1" customWidth="1"/>
    <col min="11017" max="11018" width="12.140625" style="1" bestFit="1" customWidth="1"/>
    <col min="11019" max="11019" width="11.85546875" style="1" bestFit="1" customWidth="1"/>
    <col min="11020" max="11020" width="12.140625" style="1" bestFit="1" customWidth="1"/>
    <col min="11021" max="11021" width="12" style="1" bestFit="1" customWidth="1"/>
    <col min="11022" max="11022" width="18.7109375" style="1" bestFit="1" customWidth="1"/>
    <col min="11023" max="11264" width="11.42578125" style="1"/>
    <col min="11265" max="11265" width="8.85546875" style="1" bestFit="1" customWidth="1"/>
    <col min="11266" max="11266" width="10.140625" style="1" bestFit="1" customWidth="1"/>
    <col min="11267" max="11267" width="12.140625" style="1" bestFit="1" customWidth="1"/>
    <col min="11268" max="11268" width="4.5703125" style="1" bestFit="1" customWidth="1"/>
    <col min="11269" max="11269" width="11.28515625" style="1" bestFit="1" customWidth="1"/>
    <col min="11270" max="11270" width="13.28515625" style="1" bestFit="1" customWidth="1"/>
    <col min="11271" max="11271" width="12.140625" style="1" bestFit="1" customWidth="1"/>
    <col min="11272" max="11272" width="14.5703125" style="1" customWidth="1"/>
    <col min="11273" max="11274" width="12.140625" style="1" bestFit="1" customWidth="1"/>
    <col min="11275" max="11275" width="11.85546875" style="1" bestFit="1" customWidth="1"/>
    <col min="11276" max="11276" width="12.140625" style="1" bestFit="1" customWidth="1"/>
    <col min="11277" max="11277" width="12" style="1" bestFit="1" customWidth="1"/>
    <col min="11278" max="11278" width="18.7109375" style="1" bestFit="1" customWidth="1"/>
    <col min="11279" max="11520" width="11.42578125" style="1"/>
    <col min="11521" max="11521" width="8.85546875" style="1" bestFit="1" customWidth="1"/>
    <col min="11522" max="11522" width="10.140625" style="1" bestFit="1" customWidth="1"/>
    <col min="11523" max="11523" width="12.140625" style="1" bestFit="1" customWidth="1"/>
    <col min="11524" max="11524" width="4.5703125" style="1" bestFit="1" customWidth="1"/>
    <col min="11525" max="11525" width="11.28515625" style="1" bestFit="1" customWidth="1"/>
    <col min="11526" max="11526" width="13.28515625" style="1" bestFit="1" customWidth="1"/>
    <col min="11527" max="11527" width="12.140625" style="1" bestFit="1" customWidth="1"/>
    <col min="11528" max="11528" width="14.5703125" style="1" customWidth="1"/>
    <col min="11529" max="11530" width="12.140625" style="1" bestFit="1" customWidth="1"/>
    <col min="11531" max="11531" width="11.85546875" style="1" bestFit="1" customWidth="1"/>
    <col min="11532" max="11532" width="12.140625" style="1" bestFit="1" customWidth="1"/>
    <col min="11533" max="11533" width="12" style="1" bestFit="1" customWidth="1"/>
    <col min="11534" max="11534" width="18.7109375" style="1" bestFit="1" customWidth="1"/>
    <col min="11535" max="11776" width="11.42578125" style="1"/>
    <col min="11777" max="11777" width="8.85546875" style="1" bestFit="1" customWidth="1"/>
    <col min="11778" max="11778" width="10.140625" style="1" bestFit="1" customWidth="1"/>
    <col min="11779" max="11779" width="12.140625" style="1" bestFit="1" customWidth="1"/>
    <col min="11780" max="11780" width="4.5703125" style="1" bestFit="1" customWidth="1"/>
    <col min="11781" max="11781" width="11.28515625" style="1" bestFit="1" customWidth="1"/>
    <col min="11782" max="11782" width="13.28515625" style="1" bestFit="1" customWidth="1"/>
    <col min="11783" max="11783" width="12.140625" style="1" bestFit="1" customWidth="1"/>
    <col min="11784" max="11784" width="14.5703125" style="1" customWidth="1"/>
    <col min="11785" max="11786" width="12.140625" style="1" bestFit="1" customWidth="1"/>
    <col min="11787" max="11787" width="11.85546875" style="1" bestFit="1" customWidth="1"/>
    <col min="11788" max="11788" width="12.140625" style="1" bestFit="1" customWidth="1"/>
    <col min="11789" max="11789" width="12" style="1" bestFit="1" customWidth="1"/>
    <col min="11790" max="11790" width="18.7109375" style="1" bestFit="1" customWidth="1"/>
    <col min="11791" max="12032" width="11.42578125" style="1"/>
    <col min="12033" max="12033" width="8.85546875" style="1" bestFit="1" customWidth="1"/>
    <col min="12034" max="12034" width="10.140625" style="1" bestFit="1" customWidth="1"/>
    <col min="12035" max="12035" width="12.140625" style="1" bestFit="1" customWidth="1"/>
    <col min="12036" max="12036" width="4.5703125" style="1" bestFit="1" customWidth="1"/>
    <col min="12037" max="12037" width="11.28515625" style="1" bestFit="1" customWidth="1"/>
    <col min="12038" max="12038" width="13.28515625" style="1" bestFit="1" customWidth="1"/>
    <col min="12039" max="12039" width="12.140625" style="1" bestFit="1" customWidth="1"/>
    <col min="12040" max="12040" width="14.5703125" style="1" customWidth="1"/>
    <col min="12041" max="12042" width="12.140625" style="1" bestFit="1" customWidth="1"/>
    <col min="12043" max="12043" width="11.85546875" style="1" bestFit="1" customWidth="1"/>
    <col min="12044" max="12044" width="12.140625" style="1" bestFit="1" customWidth="1"/>
    <col min="12045" max="12045" width="12" style="1" bestFit="1" customWidth="1"/>
    <col min="12046" max="12046" width="18.7109375" style="1" bestFit="1" customWidth="1"/>
    <col min="12047" max="12288" width="11.42578125" style="1"/>
    <col min="12289" max="12289" width="8.85546875" style="1" bestFit="1" customWidth="1"/>
    <col min="12290" max="12290" width="10.140625" style="1" bestFit="1" customWidth="1"/>
    <col min="12291" max="12291" width="12.140625" style="1" bestFit="1" customWidth="1"/>
    <col min="12292" max="12292" width="4.5703125" style="1" bestFit="1" customWidth="1"/>
    <col min="12293" max="12293" width="11.28515625" style="1" bestFit="1" customWidth="1"/>
    <col min="12294" max="12294" width="13.28515625" style="1" bestFit="1" customWidth="1"/>
    <col min="12295" max="12295" width="12.140625" style="1" bestFit="1" customWidth="1"/>
    <col min="12296" max="12296" width="14.5703125" style="1" customWidth="1"/>
    <col min="12297" max="12298" width="12.140625" style="1" bestFit="1" customWidth="1"/>
    <col min="12299" max="12299" width="11.85546875" style="1" bestFit="1" customWidth="1"/>
    <col min="12300" max="12300" width="12.140625" style="1" bestFit="1" customWidth="1"/>
    <col min="12301" max="12301" width="12" style="1" bestFit="1" customWidth="1"/>
    <col min="12302" max="12302" width="18.7109375" style="1" bestFit="1" customWidth="1"/>
    <col min="12303" max="12544" width="11.42578125" style="1"/>
    <col min="12545" max="12545" width="8.85546875" style="1" bestFit="1" customWidth="1"/>
    <col min="12546" max="12546" width="10.140625" style="1" bestFit="1" customWidth="1"/>
    <col min="12547" max="12547" width="12.140625" style="1" bestFit="1" customWidth="1"/>
    <col min="12548" max="12548" width="4.5703125" style="1" bestFit="1" customWidth="1"/>
    <col min="12549" max="12549" width="11.28515625" style="1" bestFit="1" customWidth="1"/>
    <col min="12550" max="12550" width="13.28515625" style="1" bestFit="1" customWidth="1"/>
    <col min="12551" max="12551" width="12.140625" style="1" bestFit="1" customWidth="1"/>
    <col min="12552" max="12552" width="14.5703125" style="1" customWidth="1"/>
    <col min="12553" max="12554" width="12.140625" style="1" bestFit="1" customWidth="1"/>
    <col min="12555" max="12555" width="11.85546875" style="1" bestFit="1" customWidth="1"/>
    <col min="12556" max="12556" width="12.140625" style="1" bestFit="1" customWidth="1"/>
    <col min="12557" max="12557" width="12" style="1" bestFit="1" customWidth="1"/>
    <col min="12558" max="12558" width="18.7109375" style="1" bestFit="1" customWidth="1"/>
    <col min="12559" max="12800" width="11.42578125" style="1"/>
    <col min="12801" max="12801" width="8.85546875" style="1" bestFit="1" customWidth="1"/>
    <col min="12802" max="12802" width="10.140625" style="1" bestFit="1" customWidth="1"/>
    <col min="12803" max="12803" width="12.140625" style="1" bestFit="1" customWidth="1"/>
    <col min="12804" max="12804" width="4.5703125" style="1" bestFit="1" customWidth="1"/>
    <col min="12805" max="12805" width="11.28515625" style="1" bestFit="1" customWidth="1"/>
    <col min="12806" max="12806" width="13.28515625" style="1" bestFit="1" customWidth="1"/>
    <col min="12807" max="12807" width="12.140625" style="1" bestFit="1" customWidth="1"/>
    <col min="12808" max="12808" width="14.5703125" style="1" customWidth="1"/>
    <col min="12809" max="12810" width="12.140625" style="1" bestFit="1" customWidth="1"/>
    <col min="12811" max="12811" width="11.85546875" style="1" bestFit="1" customWidth="1"/>
    <col min="12812" max="12812" width="12.140625" style="1" bestFit="1" customWidth="1"/>
    <col min="12813" max="12813" width="12" style="1" bestFit="1" customWidth="1"/>
    <col min="12814" max="12814" width="18.7109375" style="1" bestFit="1" customWidth="1"/>
    <col min="12815" max="13056" width="11.42578125" style="1"/>
    <col min="13057" max="13057" width="8.85546875" style="1" bestFit="1" customWidth="1"/>
    <col min="13058" max="13058" width="10.140625" style="1" bestFit="1" customWidth="1"/>
    <col min="13059" max="13059" width="12.140625" style="1" bestFit="1" customWidth="1"/>
    <col min="13060" max="13060" width="4.5703125" style="1" bestFit="1" customWidth="1"/>
    <col min="13061" max="13061" width="11.28515625" style="1" bestFit="1" customWidth="1"/>
    <col min="13062" max="13062" width="13.28515625" style="1" bestFit="1" customWidth="1"/>
    <col min="13063" max="13063" width="12.140625" style="1" bestFit="1" customWidth="1"/>
    <col min="13064" max="13064" width="14.5703125" style="1" customWidth="1"/>
    <col min="13065" max="13066" width="12.140625" style="1" bestFit="1" customWidth="1"/>
    <col min="13067" max="13067" width="11.85546875" style="1" bestFit="1" customWidth="1"/>
    <col min="13068" max="13068" width="12.140625" style="1" bestFit="1" customWidth="1"/>
    <col min="13069" max="13069" width="12" style="1" bestFit="1" customWidth="1"/>
    <col min="13070" max="13070" width="18.7109375" style="1" bestFit="1" customWidth="1"/>
    <col min="13071" max="13312" width="11.42578125" style="1"/>
    <col min="13313" max="13313" width="8.85546875" style="1" bestFit="1" customWidth="1"/>
    <col min="13314" max="13314" width="10.140625" style="1" bestFit="1" customWidth="1"/>
    <col min="13315" max="13315" width="12.140625" style="1" bestFit="1" customWidth="1"/>
    <col min="13316" max="13316" width="4.5703125" style="1" bestFit="1" customWidth="1"/>
    <col min="13317" max="13317" width="11.28515625" style="1" bestFit="1" customWidth="1"/>
    <col min="13318" max="13318" width="13.28515625" style="1" bestFit="1" customWidth="1"/>
    <col min="13319" max="13319" width="12.140625" style="1" bestFit="1" customWidth="1"/>
    <col min="13320" max="13320" width="14.5703125" style="1" customWidth="1"/>
    <col min="13321" max="13322" width="12.140625" style="1" bestFit="1" customWidth="1"/>
    <col min="13323" max="13323" width="11.85546875" style="1" bestFit="1" customWidth="1"/>
    <col min="13324" max="13324" width="12.140625" style="1" bestFit="1" customWidth="1"/>
    <col min="13325" max="13325" width="12" style="1" bestFit="1" customWidth="1"/>
    <col min="13326" max="13326" width="18.7109375" style="1" bestFit="1" customWidth="1"/>
    <col min="13327" max="13568" width="11.42578125" style="1"/>
    <col min="13569" max="13569" width="8.85546875" style="1" bestFit="1" customWidth="1"/>
    <col min="13570" max="13570" width="10.140625" style="1" bestFit="1" customWidth="1"/>
    <col min="13571" max="13571" width="12.140625" style="1" bestFit="1" customWidth="1"/>
    <col min="13572" max="13572" width="4.5703125" style="1" bestFit="1" customWidth="1"/>
    <col min="13573" max="13573" width="11.28515625" style="1" bestFit="1" customWidth="1"/>
    <col min="13574" max="13574" width="13.28515625" style="1" bestFit="1" customWidth="1"/>
    <col min="13575" max="13575" width="12.140625" style="1" bestFit="1" customWidth="1"/>
    <col min="13576" max="13576" width="14.5703125" style="1" customWidth="1"/>
    <col min="13577" max="13578" width="12.140625" style="1" bestFit="1" customWidth="1"/>
    <col min="13579" max="13579" width="11.85546875" style="1" bestFit="1" customWidth="1"/>
    <col min="13580" max="13580" width="12.140625" style="1" bestFit="1" customWidth="1"/>
    <col min="13581" max="13581" width="12" style="1" bestFit="1" customWidth="1"/>
    <col min="13582" max="13582" width="18.7109375" style="1" bestFit="1" customWidth="1"/>
    <col min="13583" max="13824" width="11.42578125" style="1"/>
    <col min="13825" max="13825" width="8.85546875" style="1" bestFit="1" customWidth="1"/>
    <col min="13826" max="13826" width="10.140625" style="1" bestFit="1" customWidth="1"/>
    <col min="13827" max="13827" width="12.140625" style="1" bestFit="1" customWidth="1"/>
    <col min="13828" max="13828" width="4.5703125" style="1" bestFit="1" customWidth="1"/>
    <col min="13829" max="13829" width="11.28515625" style="1" bestFit="1" customWidth="1"/>
    <col min="13830" max="13830" width="13.28515625" style="1" bestFit="1" customWidth="1"/>
    <col min="13831" max="13831" width="12.140625" style="1" bestFit="1" customWidth="1"/>
    <col min="13832" max="13832" width="14.5703125" style="1" customWidth="1"/>
    <col min="13833" max="13834" width="12.140625" style="1" bestFit="1" customWidth="1"/>
    <col min="13835" max="13835" width="11.85546875" style="1" bestFit="1" customWidth="1"/>
    <col min="13836" max="13836" width="12.140625" style="1" bestFit="1" customWidth="1"/>
    <col min="13837" max="13837" width="12" style="1" bestFit="1" customWidth="1"/>
    <col min="13838" max="13838" width="18.7109375" style="1" bestFit="1" customWidth="1"/>
    <col min="13839" max="14080" width="11.42578125" style="1"/>
    <col min="14081" max="14081" width="8.85546875" style="1" bestFit="1" customWidth="1"/>
    <col min="14082" max="14082" width="10.140625" style="1" bestFit="1" customWidth="1"/>
    <col min="14083" max="14083" width="12.140625" style="1" bestFit="1" customWidth="1"/>
    <col min="14084" max="14084" width="4.5703125" style="1" bestFit="1" customWidth="1"/>
    <col min="14085" max="14085" width="11.28515625" style="1" bestFit="1" customWidth="1"/>
    <col min="14086" max="14086" width="13.28515625" style="1" bestFit="1" customWidth="1"/>
    <col min="14087" max="14087" width="12.140625" style="1" bestFit="1" customWidth="1"/>
    <col min="14088" max="14088" width="14.5703125" style="1" customWidth="1"/>
    <col min="14089" max="14090" width="12.140625" style="1" bestFit="1" customWidth="1"/>
    <col min="14091" max="14091" width="11.85546875" style="1" bestFit="1" customWidth="1"/>
    <col min="14092" max="14092" width="12.140625" style="1" bestFit="1" customWidth="1"/>
    <col min="14093" max="14093" width="12" style="1" bestFit="1" customWidth="1"/>
    <col min="14094" max="14094" width="18.7109375" style="1" bestFit="1" customWidth="1"/>
    <col min="14095" max="14336" width="11.42578125" style="1"/>
    <col min="14337" max="14337" width="8.85546875" style="1" bestFit="1" customWidth="1"/>
    <col min="14338" max="14338" width="10.140625" style="1" bestFit="1" customWidth="1"/>
    <col min="14339" max="14339" width="12.140625" style="1" bestFit="1" customWidth="1"/>
    <col min="14340" max="14340" width="4.5703125" style="1" bestFit="1" customWidth="1"/>
    <col min="14341" max="14341" width="11.28515625" style="1" bestFit="1" customWidth="1"/>
    <col min="14342" max="14342" width="13.28515625" style="1" bestFit="1" customWidth="1"/>
    <col min="14343" max="14343" width="12.140625" style="1" bestFit="1" customWidth="1"/>
    <col min="14344" max="14344" width="14.5703125" style="1" customWidth="1"/>
    <col min="14345" max="14346" width="12.140625" style="1" bestFit="1" customWidth="1"/>
    <col min="14347" max="14347" width="11.85546875" style="1" bestFit="1" customWidth="1"/>
    <col min="14348" max="14348" width="12.140625" style="1" bestFit="1" customWidth="1"/>
    <col min="14349" max="14349" width="12" style="1" bestFit="1" customWidth="1"/>
    <col min="14350" max="14350" width="18.7109375" style="1" bestFit="1" customWidth="1"/>
    <col min="14351" max="14592" width="11.42578125" style="1"/>
    <col min="14593" max="14593" width="8.85546875" style="1" bestFit="1" customWidth="1"/>
    <col min="14594" max="14594" width="10.140625" style="1" bestFit="1" customWidth="1"/>
    <col min="14595" max="14595" width="12.140625" style="1" bestFit="1" customWidth="1"/>
    <col min="14596" max="14596" width="4.5703125" style="1" bestFit="1" customWidth="1"/>
    <col min="14597" max="14597" width="11.28515625" style="1" bestFit="1" customWidth="1"/>
    <col min="14598" max="14598" width="13.28515625" style="1" bestFit="1" customWidth="1"/>
    <col min="14599" max="14599" width="12.140625" style="1" bestFit="1" customWidth="1"/>
    <col min="14600" max="14600" width="14.5703125" style="1" customWidth="1"/>
    <col min="14601" max="14602" width="12.140625" style="1" bestFit="1" customWidth="1"/>
    <col min="14603" max="14603" width="11.85546875" style="1" bestFit="1" customWidth="1"/>
    <col min="14604" max="14604" width="12.140625" style="1" bestFit="1" customWidth="1"/>
    <col min="14605" max="14605" width="12" style="1" bestFit="1" customWidth="1"/>
    <col min="14606" max="14606" width="18.7109375" style="1" bestFit="1" customWidth="1"/>
    <col min="14607" max="14848" width="11.42578125" style="1"/>
    <col min="14849" max="14849" width="8.85546875" style="1" bestFit="1" customWidth="1"/>
    <col min="14850" max="14850" width="10.140625" style="1" bestFit="1" customWidth="1"/>
    <col min="14851" max="14851" width="12.140625" style="1" bestFit="1" customWidth="1"/>
    <col min="14852" max="14852" width="4.5703125" style="1" bestFit="1" customWidth="1"/>
    <col min="14853" max="14853" width="11.28515625" style="1" bestFit="1" customWidth="1"/>
    <col min="14854" max="14854" width="13.28515625" style="1" bestFit="1" customWidth="1"/>
    <col min="14855" max="14855" width="12.140625" style="1" bestFit="1" customWidth="1"/>
    <col min="14856" max="14856" width="14.5703125" style="1" customWidth="1"/>
    <col min="14857" max="14858" width="12.140625" style="1" bestFit="1" customWidth="1"/>
    <col min="14859" max="14859" width="11.85546875" style="1" bestFit="1" customWidth="1"/>
    <col min="14860" max="14860" width="12.140625" style="1" bestFit="1" customWidth="1"/>
    <col min="14861" max="14861" width="12" style="1" bestFit="1" customWidth="1"/>
    <col min="14862" max="14862" width="18.7109375" style="1" bestFit="1" customWidth="1"/>
    <col min="14863" max="15104" width="11.42578125" style="1"/>
    <col min="15105" max="15105" width="8.85546875" style="1" bestFit="1" customWidth="1"/>
    <col min="15106" max="15106" width="10.140625" style="1" bestFit="1" customWidth="1"/>
    <col min="15107" max="15107" width="12.140625" style="1" bestFit="1" customWidth="1"/>
    <col min="15108" max="15108" width="4.5703125" style="1" bestFit="1" customWidth="1"/>
    <col min="15109" max="15109" width="11.28515625" style="1" bestFit="1" customWidth="1"/>
    <col min="15110" max="15110" width="13.28515625" style="1" bestFit="1" customWidth="1"/>
    <col min="15111" max="15111" width="12.140625" style="1" bestFit="1" customWidth="1"/>
    <col min="15112" max="15112" width="14.5703125" style="1" customWidth="1"/>
    <col min="15113" max="15114" width="12.140625" style="1" bestFit="1" customWidth="1"/>
    <col min="15115" max="15115" width="11.85546875" style="1" bestFit="1" customWidth="1"/>
    <col min="15116" max="15116" width="12.140625" style="1" bestFit="1" customWidth="1"/>
    <col min="15117" max="15117" width="12" style="1" bestFit="1" customWidth="1"/>
    <col min="15118" max="15118" width="18.7109375" style="1" bestFit="1" customWidth="1"/>
    <col min="15119" max="15360" width="11.42578125" style="1"/>
    <col min="15361" max="15361" width="8.85546875" style="1" bestFit="1" customWidth="1"/>
    <col min="15362" max="15362" width="10.140625" style="1" bestFit="1" customWidth="1"/>
    <col min="15363" max="15363" width="12.140625" style="1" bestFit="1" customWidth="1"/>
    <col min="15364" max="15364" width="4.5703125" style="1" bestFit="1" customWidth="1"/>
    <col min="15365" max="15365" width="11.28515625" style="1" bestFit="1" customWidth="1"/>
    <col min="15366" max="15366" width="13.28515625" style="1" bestFit="1" customWidth="1"/>
    <col min="15367" max="15367" width="12.140625" style="1" bestFit="1" customWidth="1"/>
    <col min="15368" max="15368" width="14.5703125" style="1" customWidth="1"/>
    <col min="15369" max="15370" width="12.140625" style="1" bestFit="1" customWidth="1"/>
    <col min="15371" max="15371" width="11.85546875" style="1" bestFit="1" customWidth="1"/>
    <col min="15372" max="15372" width="12.140625" style="1" bestFit="1" customWidth="1"/>
    <col min="15373" max="15373" width="12" style="1" bestFit="1" customWidth="1"/>
    <col min="15374" max="15374" width="18.7109375" style="1" bestFit="1" customWidth="1"/>
    <col min="15375" max="15616" width="11.42578125" style="1"/>
    <col min="15617" max="15617" width="8.85546875" style="1" bestFit="1" customWidth="1"/>
    <col min="15618" max="15618" width="10.140625" style="1" bestFit="1" customWidth="1"/>
    <col min="15619" max="15619" width="12.140625" style="1" bestFit="1" customWidth="1"/>
    <col min="15620" max="15620" width="4.5703125" style="1" bestFit="1" customWidth="1"/>
    <col min="15621" max="15621" width="11.28515625" style="1" bestFit="1" customWidth="1"/>
    <col min="15622" max="15622" width="13.28515625" style="1" bestFit="1" customWidth="1"/>
    <col min="15623" max="15623" width="12.140625" style="1" bestFit="1" customWidth="1"/>
    <col min="15624" max="15624" width="14.5703125" style="1" customWidth="1"/>
    <col min="15625" max="15626" width="12.140625" style="1" bestFit="1" customWidth="1"/>
    <col min="15627" max="15627" width="11.85546875" style="1" bestFit="1" customWidth="1"/>
    <col min="15628" max="15628" width="12.140625" style="1" bestFit="1" customWidth="1"/>
    <col min="15629" max="15629" width="12" style="1" bestFit="1" customWidth="1"/>
    <col min="15630" max="15630" width="18.7109375" style="1" bestFit="1" customWidth="1"/>
    <col min="15631" max="15872" width="11.42578125" style="1"/>
    <col min="15873" max="15873" width="8.85546875" style="1" bestFit="1" customWidth="1"/>
    <col min="15874" max="15874" width="10.140625" style="1" bestFit="1" customWidth="1"/>
    <col min="15875" max="15875" width="12.140625" style="1" bestFit="1" customWidth="1"/>
    <col min="15876" max="15876" width="4.5703125" style="1" bestFit="1" customWidth="1"/>
    <col min="15877" max="15877" width="11.28515625" style="1" bestFit="1" customWidth="1"/>
    <col min="15878" max="15878" width="13.28515625" style="1" bestFit="1" customWidth="1"/>
    <col min="15879" max="15879" width="12.140625" style="1" bestFit="1" customWidth="1"/>
    <col min="15880" max="15880" width="14.5703125" style="1" customWidth="1"/>
    <col min="15881" max="15882" width="12.140625" style="1" bestFit="1" customWidth="1"/>
    <col min="15883" max="15883" width="11.85546875" style="1" bestFit="1" customWidth="1"/>
    <col min="15884" max="15884" width="12.140625" style="1" bestFit="1" customWidth="1"/>
    <col min="15885" max="15885" width="12" style="1" bestFit="1" customWidth="1"/>
    <col min="15886" max="15886" width="18.7109375" style="1" bestFit="1" customWidth="1"/>
    <col min="15887" max="16128" width="11.42578125" style="1"/>
    <col min="16129" max="16129" width="8.85546875" style="1" bestFit="1" customWidth="1"/>
    <col min="16130" max="16130" width="10.140625" style="1" bestFit="1" customWidth="1"/>
    <col min="16131" max="16131" width="12.140625" style="1" bestFit="1" customWidth="1"/>
    <col min="16132" max="16132" width="4.5703125" style="1" bestFit="1" customWidth="1"/>
    <col min="16133" max="16133" width="11.28515625" style="1" bestFit="1" customWidth="1"/>
    <col min="16134" max="16134" width="13.28515625" style="1" bestFit="1" customWidth="1"/>
    <col min="16135" max="16135" width="12.140625" style="1" bestFit="1" customWidth="1"/>
    <col min="16136" max="16136" width="14.5703125" style="1" customWidth="1"/>
    <col min="16137" max="16138" width="12.140625" style="1" bestFit="1" customWidth="1"/>
    <col min="16139" max="16139" width="11.85546875" style="1" bestFit="1" customWidth="1"/>
    <col min="16140" max="16140" width="12.140625" style="1" bestFit="1" customWidth="1"/>
    <col min="16141" max="16141" width="12" style="1" bestFit="1" customWidth="1"/>
    <col min="16142" max="16142" width="18.7109375" style="1" bestFit="1" customWidth="1"/>
    <col min="16143" max="16384" width="11.42578125" style="1"/>
  </cols>
  <sheetData>
    <row r="1" spans="1:17" ht="13.5" thickBot="1"/>
    <row r="2" spans="1:17" ht="13.5" thickBot="1">
      <c r="A2" s="836" t="s">
        <v>0</v>
      </c>
      <c r="B2" s="834" t="s">
        <v>1</v>
      </c>
      <c r="C2" s="834"/>
      <c r="D2" s="834"/>
      <c r="E2" s="834"/>
      <c r="F2" s="834"/>
      <c r="G2" s="834"/>
      <c r="H2" s="835" t="s">
        <v>2</v>
      </c>
      <c r="I2" s="835"/>
      <c r="J2" s="835"/>
      <c r="K2" s="835" t="s">
        <v>3</v>
      </c>
      <c r="L2" s="835"/>
      <c r="M2" s="836" t="s">
        <v>4</v>
      </c>
    </row>
    <row r="3" spans="1:17" ht="13.5" thickBot="1">
      <c r="A3" s="836"/>
      <c r="B3" s="416" t="s">
        <v>5</v>
      </c>
      <c r="C3" s="416" t="s">
        <v>6</v>
      </c>
      <c r="D3" s="416" t="s">
        <v>7</v>
      </c>
      <c r="E3" s="28" t="s">
        <v>8</v>
      </c>
      <c r="F3" s="27" t="s">
        <v>9</v>
      </c>
      <c r="G3" s="417" t="s">
        <v>10</v>
      </c>
      <c r="H3" s="27" t="s">
        <v>11</v>
      </c>
      <c r="I3" s="416" t="s">
        <v>12</v>
      </c>
      <c r="J3" s="417" t="s">
        <v>13</v>
      </c>
      <c r="K3" s="28" t="s">
        <v>11</v>
      </c>
      <c r="L3" s="417" t="s">
        <v>14</v>
      </c>
      <c r="M3" s="836"/>
    </row>
    <row r="4" spans="1:17" s="6" customFormat="1" ht="13.5" hidden="1" thickBot="1">
      <c r="A4" s="128" t="s">
        <v>17</v>
      </c>
      <c r="B4" s="129" t="s">
        <v>18</v>
      </c>
      <c r="C4" s="130">
        <v>42338</v>
      </c>
      <c r="D4" s="131" t="s">
        <v>19</v>
      </c>
      <c r="E4" s="132">
        <v>185713.44</v>
      </c>
      <c r="F4" s="133">
        <f>+E4*2.0433</f>
        <v>379468.27195199998</v>
      </c>
      <c r="G4" s="134">
        <v>42459</v>
      </c>
      <c r="H4" s="135">
        <v>305000</v>
      </c>
      <c r="I4" s="130"/>
      <c r="J4" s="134">
        <f>+C4+90</f>
        <v>42428</v>
      </c>
      <c r="K4" s="136">
        <f>90414.1+83300*1.12825</f>
        <v>184397.32500000001</v>
      </c>
      <c r="L4" s="137"/>
      <c r="M4" s="138">
        <f t="shared" ref="M4:M17" si="0">E4-K4</f>
        <v>1316.1149999999907</v>
      </c>
      <c r="N4" s="116"/>
      <c r="O4" s="7"/>
      <c r="Q4" s="78"/>
    </row>
    <row r="5" spans="1:17" s="6" customFormat="1" hidden="1">
      <c r="A5" s="139" t="s">
        <v>21</v>
      </c>
      <c r="B5" s="140" t="s">
        <v>22</v>
      </c>
      <c r="C5" s="141">
        <v>42389</v>
      </c>
      <c r="D5" s="142" t="s">
        <v>19</v>
      </c>
      <c r="E5" s="143">
        <v>57547.5</v>
      </c>
      <c r="F5" s="144">
        <f>E5*2.0365</f>
        <v>117195.48375000001</v>
      </c>
      <c r="G5" s="145">
        <v>42479</v>
      </c>
      <c r="H5" s="146"/>
      <c r="I5" s="141"/>
      <c r="J5" s="145"/>
      <c r="K5" s="147">
        <v>57547.5</v>
      </c>
      <c r="L5" s="148"/>
      <c r="M5" s="149">
        <f t="shared" si="0"/>
        <v>0</v>
      </c>
      <c r="N5" s="116"/>
      <c r="O5" s="7"/>
      <c r="Q5" s="78"/>
    </row>
    <row r="6" spans="1:17" s="6" customFormat="1" hidden="1">
      <c r="A6" s="97" t="s">
        <v>15</v>
      </c>
      <c r="B6" s="98" t="s">
        <v>23</v>
      </c>
      <c r="C6" s="99">
        <v>42394</v>
      </c>
      <c r="D6" s="100" t="s">
        <v>19</v>
      </c>
      <c r="E6" s="101">
        <v>61973.64</v>
      </c>
      <c r="F6" s="102">
        <f>E6*2.03285</f>
        <v>125983.11407399998</v>
      </c>
      <c r="G6" s="103">
        <v>42484</v>
      </c>
      <c r="H6" s="104"/>
      <c r="I6" s="99"/>
      <c r="J6" s="103"/>
      <c r="K6" s="106">
        <v>61973.64</v>
      </c>
      <c r="L6" s="105"/>
      <c r="M6" s="107">
        <f t="shared" si="0"/>
        <v>0</v>
      </c>
      <c r="N6" s="116"/>
      <c r="O6" s="7"/>
      <c r="Q6" s="78"/>
    </row>
    <row r="7" spans="1:17" s="6" customFormat="1" hidden="1">
      <c r="A7" s="97" t="s">
        <v>15</v>
      </c>
      <c r="B7" s="98" t="s">
        <v>24</v>
      </c>
      <c r="C7" s="99">
        <v>42422</v>
      </c>
      <c r="D7" s="100" t="s">
        <v>19</v>
      </c>
      <c r="E7" s="101">
        <v>31260.71</v>
      </c>
      <c r="F7" s="102">
        <f>+E7*2.0168</f>
        <v>63046.599927999996</v>
      </c>
      <c r="G7" s="103">
        <f>+C7+90</f>
        <v>42512</v>
      </c>
      <c r="H7" s="104"/>
      <c r="I7" s="99"/>
      <c r="J7" s="103"/>
      <c r="K7" s="106">
        <v>31182.71</v>
      </c>
      <c r="L7" s="105"/>
      <c r="M7" s="107">
        <f t="shared" si="0"/>
        <v>78</v>
      </c>
      <c r="N7" s="116"/>
      <c r="O7" s="7"/>
      <c r="Q7" s="78"/>
    </row>
    <row r="8" spans="1:17" s="6" customFormat="1" hidden="1">
      <c r="A8" s="97" t="s">
        <v>17</v>
      </c>
      <c r="B8" s="98" t="s">
        <v>25</v>
      </c>
      <c r="C8" s="99">
        <v>42432</v>
      </c>
      <c r="D8" s="100" t="s">
        <v>19</v>
      </c>
      <c r="E8" s="101">
        <v>97110.5</v>
      </c>
      <c r="F8" s="102">
        <f>E8*2.02425</f>
        <v>196575.92962499999</v>
      </c>
      <c r="G8" s="103">
        <v>42567</v>
      </c>
      <c r="H8" s="104"/>
      <c r="I8" s="99"/>
      <c r="J8" s="103"/>
      <c r="K8" s="106">
        <f>12997+84054</f>
        <v>97051</v>
      </c>
      <c r="L8" s="105"/>
      <c r="M8" s="107">
        <f t="shared" si="0"/>
        <v>59.5</v>
      </c>
      <c r="N8" s="116"/>
      <c r="O8" s="7"/>
      <c r="Q8" s="78"/>
    </row>
    <row r="9" spans="1:17" s="5" customFormat="1" hidden="1">
      <c r="A9" s="97" t="s">
        <v>15</v>
      </c>
      <c r="B9" s="98" t="s">
        <v>39</v>
      </c>
      <c r="C9" s="99">
        <v>42445</v>
      </c>
      <c r="D9" s="100" t="s">
        <v>19</v>
      </c>
      <c r="E9" s="101">
        <v>17500.78</v>
      </c>
      <c r="F9" s="102">
        <f>+E9*2.01395</f>
        <v>35245.695881</v>
      </c>
      <c r="G9" s="103">
        <f>C9+90</f>
        <v>42535</v>
      </c>
      <c r="H9" s="104"/>
      <c r="I9" s="99"/>
      <c r="J9" s="103"/>
      <c r="K9" s="106">
        <v>17437.78</v>
      </c>
      <c r="L9" s="105"/>
      <c r="M9" s="107">
        <f t="shared" si="0"/>
        <v>63</v>
      </c>
      <c r="N9" s="116"/>
      <c r="O9" s="41"/>
      <c r="Q9" s="116"/>
    </row>
    <row r="10" spans="1:17" s="5" customFormat="1" hidden="1">
      <c r="A10" s="97" t="s">
        <v>17</v>
      </c>
      <c r="B10" s="98" t="s">
        <v>44</v>
      </c>
      <c r="C10" s="99">
        <v>42461</v>
      </c>
      <c r="D10" s="100" t="s">
        <v>19</v>
      </c>
      <c r="E10" s="101">
        <v>15887.8</v>
      </c>
      <c r="F10" s="102">
        <f>E10*1.98505</f>
        <v>31538.077389999999</v>
      </c>
      <c r="G10" s="103">
        <v>42585</v>
      </c>
      <c r="H10" s="104"/>
      <c r="I10" s="99"/>
      <c r="J10" s="103"/>
      <c r="K10" s="106">
        <f>2196.38+13625</f>
        <v>15821.380000000001</v>
      </c>
      <c r="L10" s="105"/>
      <c r="M10" s="107">
        <f t="shared" si="0"/>
        <v>66.419999999998254</v>
      </c>
      <c r="N10" s="116"/>
      <c r="O10" s="41"/>
      <c r="Q10" s="116"/>
    </row>
    <row r="11" spans="1:17" s="5" customFormat="1" hidden="1">
      <c r="A11" s="97" t="s">
        <v>15</v>
      </c>
      <c r="B11" s="98" t="s">
        <v>83</v>
      </c>
      <c r="C11" s="99">
        <v>42495</v>
      </c>
      <c r="D11" s="100" t="s">
        <v>19</v>
      </c>
      <c r="E11" s="101">
        <v>13784.67</v>
      </c>
      <c r="F11" s="102">
        <f>+E11*1.98675</f>
        <v>27386.693122500001</v>
      </c>
      <c r="G11" s="103">
        <f>+C11+90</f>
        <v>42585</v>
      </c>
      <c r="H11" s="104"/>
      <c r="I11" s="99"/>
      <c r="J11" s="103"/>
      <c r="K11" s="106">
        <v>13719.17</v>
      </c>
      <c r="L11" s="105"/>
      <c r="M11" s="107">
        <f t="shared" si="0"/>
        <v>65.5</v>
      </c>
      <c r="N11" s="116"/>
      <c r="O11" s="41"/>
      <c r="Q11" s="116"/>
    </row>
    <row r="12" spans="1:17" s="4" customFormat="1" hidden="1">
      <c r="A12" s="179" t="s">
        <v>15</v>
      </c>
      <c r="B12" s="180" t="s">
        <v>84</v>
      </c>
      <c r="C12" s="181">
        <v>42495</v>
      </c>
      <c r="D12" s="182" t="s">
        <v>16</v>
      </c>
      <c r="E12" s="183">
        <v>58790.64</v>
      </c>
      <c r="F12" s="184">
        <f>+E12*2.2687</f>
        <v>133378.324968</v>
      </c>
      <c r="G12" s="187">
        <f>+C12+90</f>
        <v>42585</v>
      </c>
      <c r="H12" s="186"/>
      <c r="I12" s="181"/>
      <c r="J12" s="187"/>
      <c r="K12" s="188">
        <f>46740.64+11960</f>
        <v>58700.639999999999</v>
      </c>
      <c r="L12" s="189"/>
      <c r="M12" s="190">
        <f t="shared" si="0"/>
        <v>90</v>
      </c>
      <c r="N12" s="270"/>
      <c r="O12" s="41"/>
      <c r="Q12" s="270"/>
    </row>
    <row r="13" spans="1:17" s="6" customFormat="1" hidden="1">
      <c r="A13" s="97" t="s">
        <v>17</v>
      </c>
      <c r="B13" s="98" t="s">
        <v>88</v>
      </c>
      <c r="C13" s="99">
        <v>42506</v>
      </c>
      <c r="D13" s="100" t="s">
        <v>19</v>
      </c>
      <c r="E13" s="101">
        <v>38827.5</v>
      </c>
      <c r="F13" s="102">
        <f>+E13*2.0226</f>
        <v>78532.501500000013</v>
      </c>
      <c r="G13" s="103">
        <v>42630</v>
      </c>
      <c r="H13" s="104"/>
      <c r="I13" s="99"/>
      <c r="J13" s="103"/>
      <c r="K13" s="106">
        <f>5188.54+33549.74</f>
        <v>38738.28</v>
      </c>
      <c r="L13" s="105"/>
      <c r="M13" s="107">
        <f t="shared" si="0"/>
        <v>89.220000000001164</v>
      </c>
      <c r="N13" s="116"/>
      <c r="O13" s="7"/>
      <c r="Q13" s="78"/>
    </row>
    <row r="14" spans="1:17" s="5" customFormat="1" hidden="1">
      <c r="A14" s="97" t="s">
        <v>17</v>
      </c>
      <c r="B14" s="98" t="s">
        <v>122</v>
      </c>
      <c r="C14" s="99">
        <v>42542</v>
      </c>
      <c r="D14" s="100" t="s">
        <v>19</v>
      </c>
      <c r="E14" s="101">
        <v>37074</v>
      </c>
      <c r="F14" s="102">
        <f>+E14*2.14625</f>
        <v>79570.072500000009</v>
      </c>
      <c r="G14" s="103">
        <v>42669</v>
      </c>
      <c r="H14" s="104"/>
      <c r="I14" s="99"/>
      <c r="J14" s="103"/>
      <c r="K14" s="106">
        <f>13578+5163.9+18217.5</f>
        <v>36959.4</v>
      </c>
      <c r="L14" s="105"/>
      <c r="M14" s="107">
        <f t="shared" si="0"/>
        <v>114.59999999999854</v>
      </c>
      <c r="N14" s="116"/>
      <c r="O14" s="41"/>
      <c r="P14" s="116"/>
      <c r="Q14" s="116"/>
    </row>
    <row r="15" spans="1:17" s="5" customFormat="1" hidden="1">
      <c r="A15" s="97" t="s">
        <v>17</v>
      </c>
      <c r="B15" s="98" t="s">
        <v>123</v>
      </c>
      <c r="C15" s="99">
        <v>42542</v>
      </c>
      <c r="D15" s="100" t="s">
        <v>19</v>
      </c>
      <c r="E15" s="101">
        <v>3480</v>
      </c>
      <c r="F15" s="102">
        <f>+E15*2.14625</f>
        <v>7468.9500000000007</v>
      </c>
      <c r="G15" s="103">
        <v>42669</v>
      </c>
      <c r="H15" s="104"/>
      <c r="I15" s="99"/>
      <c r="J15" s="103"/>
      <c r="K15" s="106">
        <v>3455</v>
      </c>
      <c r="L15" s="105"/>
      <c r="M15" s="107">
        <f t="shared" si="0"/>
        <v>25</v>
      </c>
      <c r="N15" s="116"/>
      <c r="O15" s="41"/>
      <c r="Q15" s="116"/>
    </row>
    <row r="16" spans="1:17" hidden="1">
      <c r="A16" s="179" t="s">
        <v>20</v>
      </c>
      <c r="B16" s="180" t="s">
        <v>151</v>
      </c>
      <c r="C16" s="181">
        <v>42695</v>
      </c>
      <c r="D16" s="182" t="s">
        <v>16</v>
      </c>
      <c r="E16" s="183">
        <v>284382.2</v>
      </c>
      <c r="F16" s="184">
        <f>+E16*2.42505</f>
        <v>689641.05411000003</v>
      </c>
      <c r="G16" s="187">
        <f>+C16+60</f>
        <v>42755</v>
      </c>
      <c r="H16" s="186"/>
      <c r="I16" s="181"/>
      <c r="J16" s="187"/>
      <c r="K16" s="188">
        <f>49950+100950+101950+31500</f>
        <v>284350</v>
      </c>
      <c r="L16" s="189"/>
      <c r="M16" s="190">
        <f t="shared" si="0"/>
        <v>32.200000000011642</v>
      </c>
    </row>
    <row r="17" spans="1:17" ht="13.5" hidden="1" thickBot="1">
      <c r="A17" s="117" t="s">
        <v>20</v>
      </c>
      <c r="B17" s="118" t="s">
        <v>153</v>
      </c>
      <c r="C17" s="119">
        <v>42704</v>
      </c>
      <c r="D17" s="120" t="s">
        <v>16</v>
      </c>
      <c r="E17" s="121">
        <v>187097.52</v>
      </c>
      <c r="F17" s="122">
        <f>+E17*2.42625</f>
        <v>453945.3579</v>
      </c>
      <c r="G17" s="123">
        <f>+C17+60</f>
        <v>42764</v>
      </c>
      <c r="H17" s="124"/>
      <c r="I17" s="119"/>
      <c r="J17" s="123"/>
      <c r="K17" s="126">
        <f>102950-31500+103950+11480</f>
        <v>186880</v>
      </c>
      <c r="L17" s="125"/>
      <c r="M17" s="127">
        <f t="shared" si="0"/>
        <v>217.51999999998952</v>
      </c>
    </row>
    <row r="18" spans="1:17" s="77" customFormat="1" hidden="1">
      <c r="A18" s="139" t="s">
        <v>17</v>
      </c>
      <c r="B18" s="140" t="s">
        <v>160</v>
      </c>
      <c r="C18" s="141">
        <v>42765</v>
      </c>
      <c r="D18" s="142" t="s">
        <v>19</v>
      </c>
      <c r="E18" s="143">
        <v>73064.399999999994</v>
      </c>
      <c r="F18" s="144">
        <f>+E18*2.26605</f>
        <v>165567.58361999999</v>
      </c>
      <c r="G18" s="145">
        <f>+C18+120</f>
        <v>42885</v>
      </c>
      <c r="H18" s="146"/>
      <c r="I18" s="141"/>
      <c r="J18" s="145"/>
      <c r="K18" s="147">
        <f>10173.28+62770</f>
        <v>72943.28</v>
      </c>
      <c r="L18" s="148"/>
      <c r="M18" s="149">
        <f t="shared" ref="M18:M30" si="1">+E18-K18</f>
        <v>121.11999999999534</v>
      </c>
      <c r="N18" s="271"/>
      <c r="O18" s="76"/>
      <c r="Q18" s="258"/>
    </row>
    <row r="19" spans="1:17" s="65" customFormat="1" hidden="1">
      <c r="A19" s="179" t="s">
        <v>163</v>
      </c>
      <c r="B19" s="180" t="s">
        <v>164</v>
      </c>
      <c r="C19" s="181">
        <v>42780</v>
      </c>
      <c r="D19" s="182" t="s">
        <v>16</v>
      </c>
      <c r="E19" s="183">
        <v>17555.59</v>
      </c>
      <c r="F19" s="184">
        <f>+E19*2.4179</f>
        <v>42447.661060999999</v>
      </c>
      <c r="G19" s="187">
        <f>+C19</f>
        <v>42780</v>
      </c>
      <c r="H19" s="186"/>
      <c r="I19" s="181"/>
      <c r="J19" s="187"/>
      <c r="K19" s="188">
        <v>17555.59</v>
      </c>
      <c r="L19" s="189"/>
      <c r="M19" s="190">
        <f t="shared" si="1"/>
        <v>0</v>
      </c>
      <c r="N19" s="257"/>
      <c r="O19" s="53"/>
      <c r="P19" s="77"/>
      <c r="Q19" s="258"/>
    </row>
    <row r="20" spans="1:17" s="77" customFormat="1" hidden="1">
      <c r="A20" s="97" t="s">
        <v>17</v>
      </c>
      <c r="B20" s="98" t="s">
        <v>166</v>
      </c>
      <c r="C20" s="99">
        <v>42781</v>
      </c>
      <c r="D20" s="100" t="s">
        <v>19</v>
      </c>
      <c r="E20" s="101">
        <v>17856</v>
      </c>
      <c r="F20" s="102">
        <f>+E20*2.272</f>
        <v>40568.831999999995</v>
      </c>
      <c r="G20" s="103">
        <f t="shared" ref="G20:G25" si="2">+C20+120</f>
        <v>42901</v>
      </c>
      <c r="H20" s="104"/>
      <c r="I20" s="99"/>
      <c r="J20" s="103"/>
      <c r="K20" s="106">
        <f>2549.2+15270</f>
        <v>17819.2</v>
      </c>
      <c r="L20" s="105"/>
      <c r="M20" s="107">
        <f t="shared" si="1"/>
        <v>36.799999999999272</v>
      </c>
      <c r="N20" s="271"/>
      <c r="O20" s="76"/>
      <c r="Q20" s="258"/>
    </row>
    <row r="21" spans="1:17" s="6" customFormat="1" hidden="1">
      <c r="A21" s="97" t="s">
        <v>17</v>
      </c>
      <c r="B21" s="98" t="s">
        <v>171</v>
      </c>
      <c r="C21" s="99">
        <v>42844</v>
      </c>
      <c r="D21" s="100" t="s">
        <v>19</v>
      </c>
      <c r="E21" s="101">
        <v>35287.199999999997</v>
      </c>
      <c r="F21" s="102">
        <f>+E21*2.31555</f>
        <v>81709.275959999999</v>
      </c>
      <c r="G21" s="103">
        <f t="shared" si="2"/>
        <v>42964</v>
      </c>
      <c r="H21" s="104"/>
      <c r="I21" s="99"/>
      <c r="J21" s="103"/>
      <c r="K21" s="106">
        <f>5062.04+30100</f>
        <v>35162.04</v>
      </c>
      <c r="L21" s="105"/>
      <c r="M21" s="107">
        <f t="shared" si="1"/>
        <v>125.15999999999622</v>
      </c>
      <c r="N21" s="116"/>
      <c r="O21" s="277"/>
      <c r="P21" s="77"/>
      <c r="Q21" s="258"/>
    </row>
    <row r="22" spans="1:17" s="6" customFormat="1" hidden="1">
      <c r="A22" s="97" t="s">
        <v>17</v>
      </c>
      <c r="B22" s="98" t="s">
        <v>176</v>
      </c>
      <c r="C22" s="99">
        <v>42864</v>
      </c>
      <c r="D22" s="100" t="s">
        <v>19</v>
      </c>
      <c r="E22" s="101">
        <v>73647</v>
      </c>
      <c r="F22" s="102">
        <f>+E22*2.39905</f>
        <v>176682.83534999998</v>
      </c>
      <c r="G22" s="103">
        <f t="shared" si="2"/>
        <v>42984</v>
      </c>
      <c r="H22" s="104"/>
      <c r="I22" s="99"/>
      <c r="J22" s="103"/>
      <c r="K22" s="106">
        <f>10380.8+63196.5</f>
        <v>73577.3</v>
      </c>
      <c r="L22" s="105"/>
      <c r="M22" s="107">
        <f t="shared" si="1"/>
        <v>69.69999999999709</v>
      </c>
      <c r="N22" s="116"/>
      <c r="O22" s="277"/>
      <c r="Q22" s="78"/>
    </row>
    <row r="23" spans="1:17" s="315" customFormat="1" hidden="1">
      <c r="A23" s="97" t="s">
        <v>17</v>
      </c>
      <c r="B23" s="98" t="s">
        <v>179</v>
      </c>
      <c r="C23" s="99">
        <v>42888</v>
      </c>
      <c r="D23" s="100" t="s">
        <v>19</v>
      </c>
      <c r="E23" s="101">
        <v>44179.99</v>
      </c>
      <c r="F23" s="102">
        <f>+E23*2.42865</f>
        <v>107297.73271350001</v>
      </c>
      <c r="G23" s="103">
        <f t="shared" si="2"/>
        <v>43008</v>
      </c>
      <c r="H23" s="104"/>
      <c r="I23" s="99"/>
      <c r="J23" s="103"/>
      <c r="K23" s="106">
        <f>4855.4+39173.04</f>
        <v>44028.44</v>
      </c>
      <c r="L23" s="105"/>
      <c r="M23" s="107">
        <f t="shared" si="1"/>
        <v>151.54999999999563</v>
      </c>
      <c r="N23" s="329"/>
      <c r="O23" s="330"/>
      <c r="Q23" s="329"/>
    </row>
    <row r="24" spans="1:17" s="6" customFormat="1" hidden="1">
      <c r="A24" s="361" t="s">
        <v>17</v>
      </c>
      <c r="B24" s="363" t="s">
        <v>180</v>
      </c>
      <c r="C24" s="364">
        <v>42928</v>
      </c>
      <c r="D24" s="365" t="s">
        <v>19</v>
      </c>
      <c r="E24" s="366">
        <v>92625.75</v>
      </c>
      <c r="F24" s="367">
        <f>+E24*2.4274</f>
        <v>224839.74554999999</v>
      </c>
      <c r="G24" s="368">
        <f t="shared" si="2"/>
        <v>43048</v>
      </c>
      <c r="H24" s="375"/>
      <c r="I24" s="364"/>
      <c r="J24" s="368"/>
      <c r="K24" s="106">
        <f>12804.1+79661.5</f>
        <v>92465.600000000006</v>
      </c>
      <c r="L24" s="377"/>
      <c r="M24" s="380">
        <f t="shared" si="1"/>
        <v>160.14999999999418</v>
      </c>
      <c r="N24" s="116"/>
      <c r="O24" s="277"/>
      <c r="Q24" s="78"/>
    </row>
    <row r="25" spans="1:17" hidden="1">
      <c r="A25" s="362" t="s">
        <v>163</v>
      </c>
      <c r="B25" s="369" t="s">
        <v>199</v>
      </c>
      <c r="C25" s="370">
        <v>42998</v>
      </c>
      <c r="D25" s="371" t="s">
        <v>16</v>
      </c>
      <c r="E25" s="372">
        <v>17117.849999999999</v>
      </c>
      <c r="F25" s="373">
        <f>+E25*2.9097</f>
        <v>49807.808144999995</v>
      </c>
      <c r="G25" s="374">
        <f t="shared" si="2"/>
        <v>43118</v>
      </c>
      <c r="H25" s="376"/>
      <c r="I25" s="370"/>
      <c r="J25" s="374"/>
      <c r="K25" s="378">
        <v>17117.849999999999</v>
      </c>
      <c r="L25" s="379"/>
      <c r="M25" s="381">
        <f t="shared" si="1"/>
        <v>0</v>
      </c>
    </row>
    <row r="26" spans="1:17" s="6" customFormat="1" hidden="1">
      <c r="A26" s="361" t="s">
        <v>17</v>
      </c>
      <c r="B26" s="363" t="s">
        <v>212</v>
      </c>
      <c r="C26" s="364">
        <v>43054</v>
      </c>
      <c r="D26" s="365" t="s">
        <v>19</v>
      </c>
      <c r="E26" s="366">
        <v>71193.600000000006</v>
      </c>
      <c r="F26" s="367">
        <f>+E26*2.4747</f>
        <v>176182.80192</v>
      </c>
      <c r="G26" s="368">
        <f>+C26+120</f>
        <v>43174</v>
      </c>
      <c r="H26" s="375"/>
      <c r="I26" s="364"/>
      <c r="J26" s="368"/>
      <c r="K26" s="505">
        <f>10243.52+40535+20400</f>
        <v>71178.52</v>
      </c>
      <c r="L26" s="377"/>
      <c r="M26" s="380">
        <f t="shared" si="1"/>
        <v>15.080000000001746</v>
      </c>
      <c r="N26" s="116"/>
      <c r="O26" s="277"/>
      <c r="Q26" s="78"/>
    </row>
    <row r="27" spans="1:17" hidden="1">
      <c r="A27" s="362" t="s">
        <v>163</v>
      </c>
      <c r="B27" s="369" t="s">
        <v>217</v>
      </c>
      <c r="C27" s="370">
        <v>43073</v>
      </c>
      <c r="D27" s="371" t="s">
        <v>16</v>
      </c>
      <c r="E27" s="372">
        <v>16991.82</v>
      </c>
      <c r="F27" s="373">
        <f>+E27*2.9231</f>
        <v>49668.789041999997</v>
      </c>
      <c r="G27" s="374">
        <f>+C27+0</f>
        <v>43073</v>
      </c>
      <c r="H27" s="376"/>
      <c r="I27" s="370"/>
      <c r="J27" s="374"/>
      <c r="K27" s="378">
        <v>16991.82</v>
      </c>
      <c r="L27" s="379"/>
      <c r="M27" s="381">
        <f t="shared" si="1"/>
        <v>0</v>
      </c>
    </row>
    <row r="28" spans="1:17" s="6" customFormat="1" hidden="1">
      <c r="A28" s="361" t="s">
        <v>17</v>
      </c>
      <c r="B28" s="363" t="s">
        <v>225</v>
      </c>
      <c r="C28" s="364">
        <v>43084</v>
      </c>
      <c r="D28" s="365" t="s">
        <v>19</v>
      </c>
      <c r="E28" s="366">
        <v>72028.800000000003</v>
      </c>
      <c r="F28" s="367">
        <f>+E28*2.4744</f>
        <v>178228.06272000002</v>
      </c>
      <c r="G28" s="368">
        <f>+C28+120</f>
        <v>43204</v>
      </c>
      <c r="H28" s="375"/>
      <c r="I28" s="364"/>
      <c r="J28" s="368"/>
      <c r="K28" s="505">
        <f>10364.16+61492.5</f>
        <v>71856.66</v>
      </c>
      <c r="L28" s="377"/>
      <c r="M28" s="380">
        <f t="shared" si="1"/>
        <v>172.13999999999942</v>
      </c>
      <c r="N28" s="116"/>
      <c r="O28" s="277"/>
      <c r="Q28" s="78"/>
    </row>
    <row r="29" spans="1:17" hidden="1">
      <c r="A29" s="194" t="s">
        <v>163</v>
      </c>
      <c r="B29" s="195" t="s">
        <v>248</v>
      </c>
      <c r="C29" s="196">
        <v>43182</v>
      </c>
      <c r="D29" s="197" t="s">
        <v>16</v>
      </c>
      <c r="E29" s="198">
        <v>13950.45</v>
      </c>
      <c r="F29" s="199">
        <f>+E29*2.9343</f>
        <v>40934.805435000002</v>
      </c>
      <c r="G29" s="218">
        <f>+C29</f>
        <v>43182</v>
      </c>
      <c r="H29" s="217"/>
      <c r="I29" s="196"/>
      <c r="J29" s="218"/>
      <c r="K29" s="201">
        <v>13950.45</v>
      </c>
      <c r="L29" s="200"/>
      <c r="M29" s="381">
        <f t="shared" si="1"/>
        <v>0</v>
      </c>
    </row>
    <row r="30" spans="1:17" s="6" customFormat="1">
      <c r="A30" s="274" t="s">
        <v>17</v>
      </c>
      <c r="B30" s="389" t="s">
        <v>249</v>
      </c>
      <c r="C30" s="390">
        <v>43164</v>
      </c>
      <c r="D30" s="391" t="s">
        <v>19</v>
      </c>
      <c r="E30" s="392">
        <v>35971.199999999997</v>
      </c>
      <c r="F30" s="275">
        <f>+E30*2.38585</f>
        <v>85821.887519999989</v>
      </c>
      <c r="G30" s="393">
        <f>+C30+120</f>
        <v>43284</v>
      </c>
      <c r="H30" s="394"/>
      <c r="I30" s="390"/>
      <c r="J30" s="393"/>
      <c r="K30" s="276">
        <f>5174.34+49985-20400</f>
        <v>34759.339999999997</v>
      </c>
      <c r="L30" s="395"/>
      <c r="M30" s="382">
        <f t="shared" si="1"/>
        <v>1211.8600000000006</v>
      </c>
      <c r="N30" s="116"/>
      <c r="O30" s="277"/>
      <c r="Q30" s="78"/>
    </row>
    <row r="31" spans="1:17" s="6" customFormat="1" ht="13.5" thickBot="1">
      <c r="A31" s="9"/>
      <c r="B31" s="10"/>
      <c r="C31" s="11"/>
      <c r="D31" s="12"/>
      <c r="E31" s="13"/>
      <c r="F31" s="14"/>
      <c r="G31" s="15"/>
      <c r="H31" s="16"/>
      <c r="I31" s="11"/>
      <c r="J31" s="15"/>
      <c r="K31" s="17"/>
      <c r="L31" s="18"/>
      <c r="M31" s="383"/>
      <c r="N31" s="116"/>
      <c r="O31" s="277"/>
      <c r="Q31" s="78"/>
    </row>
    <row r="32" spans="1:17" s="25" customFormat="1" ht="13.5" thickBot="1">
      <c r="A32" s="20"/>
      <c r="B32" s="20"/>
      <c r="C32" s="21"/>
      <c r="D32" s="20"/>
      <c r="E32" s="22"/>
      <c r="F32" s="23"/>
      <c r="G32" s="21"/>
      <c r="H32" s="23"/>
      <c r="I32" s="21"/>
      <c r="J32" s="21"/>
      <c r="K32" s="22"/>
      <c r="L32" s="20"/>
      <c r="M32" s="24"/>
      <c r="N32" s="272"/>
      <c r="O32" s="7"/>
      <c r="Q32" s="396"/>
    </row>
    <row r="33" spans="1:17" ht="13.5" thickBot="1">
      <c r="A33" s="832" t="s">
        <v>0</v>
      </c>
      <c r="B33" s="834" t="s">
        <v>1</v>
      </c>
      <c r="C33" s="834"/>
      <c r="D33" s="834"/>
      <c r="E33" s="834"/>
      <c r="F33" s="834"/>
      <c r="G33" s="834"/>
      <c r="H33" s="835" t="s">
        <v>2</v>
      </c>
      <c r="I33" s="835"/>
      <c r="J33" s="835"/>
      <c r="K33" s="835" t="s">
        <v>3</v>
      </c>
      <c r="L33" s="835"/>
      <c r="M33" s="832" t="s">
        <v>4</v>
      </c>
    </row>
    <row r="34" spans="1:17" ht="13.5" thickBot="1">
      <c r="A34" s="833"/>
      <c r="B34" s="416" t="s">
        <v>5</v>
      </c>
      <c r="C34" s="416" t="s">
        <v>6</v>
      </c>
      <c r="D34" s="416" t="s">
        <v>7</v>
      </c>
      <c r="E34" s="28" t="s">
        <v>8</v>
      </c>
      <c r="F34" s="27" t="s">
        <v>9</v>
      </c>
      <c r="G34" s="417" t="s">
        <v>10</v>
      </c>
      <c r="H34" s="27" t="s">
        <v>11</v>
      </c>
      <c r="I34" s="416" t="s">
        <v>12</v>
      </c>
      <c r="J34" s="417" t="s">
        <v>13</v>
      </c>
      <c r="K34" s="28" t="s">
        <v>11</v>
      </c>
      <c r="L34" s="29" t="s">
        <v>14</v>
      </c>
      <c r="M34" s="833"/>
    </row>
    <row r="35" spans="1:17" s="38" customFormat="1">
      <c r="A35" s="42" t="s">
        <v>17</v>
      </c>
      <c r="B35" s="43" t="s">
        <v>26</v>
      </c>
      <c r="C35" s="44">
        <v>40680</v>
      </c>
      <c r="D35" s="45" t="s">
        <v>16</v>
      </c>
      <c r="E35" s="46">
        <v>5190.95</v>
      </c>
      <c r="F35" s="47">
        <f>+E35*1.95835</f>
        <v>10165.696932499999</v>
      </c>
      <c r="G35" s="48">
        <f>+C35+90</f>
        <v>40770</v>
      </c>
      <c r="H35" s="49"/>
      <c r="I35" s="46"/>
      <c r="J35" s="48"/>
      <c r="K35" s="50"/>
      <c r="L35" s="51"/>
      <c r="M35" s="52">
        <f>+E35-K35</f>
        <v>5190.95</v>
      </c>
      <c r="N35" s="234"/>
      <c r="O35" s="53"/>
      <c r="Q35" s="234"/>
    </row>
    <row r="36" spans="1:17" s="6" customFormat="1" hidden="1">
      <c r="A36" s="97" t="s">
        <v>17</v>
      </c>
      <c r="B36" s="98" t="s">
        <v>27</v>
      </c>
      <c r="C36" s="99">
        <v>42356</v>
      </c>
      <c r="D36" s="100" t="s">
        <v>19</v>
      </c>
      <c r="E36" s="101">
        <v>217912.86</v>
      </c>
      <c r="F36" s="102">
        <f>E36*2.01185</f>
        <v>438407.98739099997</v>
      </c>
      <c r="G36" s="103">
        <v>42485</v>
      </c>
      <c r="H36" s="104"/>
      <c r="I36" s="100"/>
      <c r="J36" s="105"/>
      <c r="K36" s="106">
        <f>113564.6+104348.26</f>
        <v>217912.86</v>
      </c>
      <c r="L36" s="105"/>
      <c r="M36" s="107">
        <f t="shared" ref="M36:M68" si="3">E36-K36</f>
        <v>0</v>
      </c>
      <c r="N36" s="116"/>
      <c r="O36" s="7"/>
      <c r="P36" s="78"/>
      <c r="Q36" s="78"/>
    </row>
    <row r="37" spans="1:17" s="26" customFormat="1" hidden="1">
      <c r="A37" s="179" t="s">
        <v>20</v>
      </c>
      <c r="B37" s="180" t="s">
        <v>28</v>
      </c>
      <c r="C37" s="181">
        <v>42359</v>
      </c>
      <c r="D37" s="182" t="s">
        <v>16</v>
      </c>
      <c r="E37" s="183">
        <v>694484.64</v>
      </c>
      <c r="F37" s="184">
        <f>E37*2.19375</f>
        <v>1523525.679</v>
      </c>
      <c r="G37" s="187">
        <v>42456</v>
      </c>
      <c r="H37" s="186"/>
      <c r="I37" s="182"/>
      <c r="J37" s="189"/>
      <c r="K37" s="188">
        <f>49960-39400+88520+100950+99945+49934.5+99924.5+24900+24960+49900+29960+29982+34949.5+21960+28000</f>
        <v>694445.5</v>
      </c>
      <c r="L37" s="189"/>
      <c r="M37" s="190">
        <f t="shared" si="3"/>
        <v>39.14000000001397</v>
      </c>
      <c r="N37" s="273"/>
      <c r="O37" s="7"/>
      <c r="Q37" s="273"/>
    </row>
    <row r="38" spans="1:17" ht="13.5" hidden="1" thickBot="1">
      <c r="A38" s="117" t="s">
        <v>17</v>
      </c>
      <c r="B38" s="118" t="s">
        <v>29</v>
      </c>
      <c r="C38" s="119">
        <v>42363</v>
      </c>
      <c r="D38" s="120" t="s">
        <v>16</v>
      </c>
      <c r="E38" s="121">
        <v>2590.8000000000002</v>
      </c>
      <c r="F38" s="122">
        <f>+E38*2.19995</f>
        <v>5699.6304600000003</v>
      </c>
      <c r="G38" s="123">
        <v>42485</v>
      </c>
      <c r="H38" s="124"/>
      <c r="I38" s="120"/>
      <c r="J38" s="125"/>
      <c r="K38" s="126">
        <v>2783.74</v>
      </c>
      <c r="L38" s="125"/>
      <c r="M38" s="127">
        <f t="shared" si="3"/>
        <v>-192.9399999999996</v>
      </c>
      <c r="P38" s="2"/>
    </row>
    <row r="39" spans="1:17" hidden="1">
      <c r="A39" s="169" t="s">
        <v>15</v>
      </c>
      <c r="B39" s="170" t="s">
        <v>30</v>
      </c>
      <c r="C39" s="171">
        <v>42388</v>
      </c>
      <c r="D39" s="172" t="s">
        <v>16</v>
      </c>
      <c r="E39" s="173">
        <v>70769.149999999994</v>
      </c>
      <c r="F39" s="174">
        <f>E39*2.21425</f>
        <v>156700.59038749998</v>
      </c>
      <c r="G39" s="175">
        <v>42478</v>
      </c>
      <c r="H39" s="176"/>
      <c r="I39" s="171"/>
      <c r="J39" s="175"/>
      <c r="K39" s="177">
        <f>20719.15+24950+24950</f>
        <v>70619.149999999994</v>
      </c>
      <c r="L39" s="175"/>
      <c r="M39" s="178">
        <f t="shared" si="3"/>
        <v>150</v>
      </c>
      <c r="N39" s="2"/>
    </row>
    <row r="40" spans="1:17" s="5" customFormat="1" hidden="1">
      <c r="A40" s="97" t="s">
        <v>17</v>
      </c>
      <c r="B40" s="98" t="s">
        <v>31</v>
      </c>
      <c r="C40" s="99">
        <v>42394</v>
      </c>
      <c r="D40" s="100" t="s">
        <v>19</v>
      </c>
      <c r="E40" s="101">
        <v>120772.23</v>
      </c>
      <c r="F40" s="102">
        <f>+E40*2.0293</f>
        <v>245083.086339</v>
      </c>
      <c r="G40" s="103">
        <v>42522</v>
      </c>
      <c r="H40" s="104"/>
      <c r="I40" s="100"/>
      <c r="J40" s="105"/>
      <c r="K40" s="106">
        <f>61633.4-K41+60440.56</f>
        <v>120729.95999999999</v>
      </c>
      <c r="L40" s="105"/>
      <c r="M40" s="107">
        <f t="shared" si="3"/>
        <v>42.270000000004075</v>
      </c>
      <c r="N40" s="116"/>
      <c r="O40" s="41"/>
      <c r="P40" s="116"/>
      <c r="Q40" s="116"/>
    </row>
    <row r="41" spans="1:17" s="5" customFormat="1" hidden="1">
      <c r="A41" s="97" t="s">
        <v>17</v>
      </c>
      <c r="B41" s="98" t="s">
        <v>32</v>
      </c>
      <c r="C41" s="99">
        <v>42396</v>
      </c>
      <c r="D41" s="100" t="s">
        <v>19</v>
      </c>
      <c r="E41" s="101">
        <v>1344</v>
      </c>
      <c r="F41" s="102">
        <f>+E41*2.0293</f>
        <v>2727.3792000000003</v>
      </c>
      <c r="G41" s="103">
        <v>42522</v>
      </c>
      <c r="H41" s="104"/>
      <c r="I41" s="100"/>
      <c r="J41" s="105"/>
      <c r="K41" s="106">
        <v>1344</v>
      </c>
      <c r="L41" s="105"/>
      <c r="M41" s="107">
        <f t="shared" si="3"/>
        <v>0</v>
      </c>
      <c r="N41" s="116"/>
      <c r="O41" s="41"/>
      <c r="P41" s="116"/>
      <c r="Q41" s="116"/>
    </row>
    <row r="42" spans="1:17" s="4" customFormat="1" hidden="1">
      <c r="A42" s="179" t="s">
        <v>20</v>
      </c>
      <c r="B42" s="180" t="s">
        <v>33</v>
      </c>
      <c r="C42" s="181">
        <v>42405</v>
      </c>
      <c r="D42" s="182" t="s">
        <v>16</v>
      </c>
      <c r="E42" s="183">
        <v>354482.12</v>
      </c>
      <c r="F42" s="184">
        <f>E42*2.232</f>
        <v>791204.09184000001</v>
      </c>
      <c r="G42" s="187">
        <v>42502</v>
      </c>
      <c r="H42" s="186"/>
      <c r="I42" s="182"/>
      <c r="J42" s="189"/>
      <c r="K42" s="188">
        <f>54480+50000+100000+100000+5000+40000+5002.12</f>
        <v>354482.12</v>
      </c>
      <c r="L42" s="189"/>
      <c r="M42" s="190">
        <f>E42-K42</f>
        <v>0</v>
      </c>
      <c r="N42" s="270"/>
      <c r="O42" s="41"/>
      <c r="Q42" s="270"/>
    </row>
    <row r="43" spans="1:17" s="6" customFormat="1" hidden="1">
      <c r="A43" s="97" t="s">
        <v>17</v>
      </c>
      <c r="B43" s="98" t="s">
        <v>34</v>
      </c>
      <c r="C43" s="99">
        <v>42412</v>
      </c>
      <c r="D43" s="100" t="s">
        <v>19</v>
      </c>
      <c r="E43" s="101">
        <v>110497.38</v>
      </c>
      <c r="F43" s="102">
        <f>E43*2.00195</f>
        <v>221210.229891</v>
      </c>
      <c r="G43" s="103">
        <v>42543</v>
      </c>
      <c r="H43" s="104"/>
      <c r="I43" s="100"/>
      <c r="J43" s="105"/>
      <c r="K43" s="106">
        <f>58678.54-3945.6+55714.44</f>
        <v>110447.38</v>
      </c>
      <c r="L43" s="105"/>
      <c r="M43" s="107">
        <f t="shared" si="3"/>
        <v>50</v>
      </c>
      <c r="N43" s="116"/>
      <c r="O43" s="7"/>
      <c r="Q43" s="78"/>
    </row>
    <row r="44" spans="1:17" s="4" customFormat="1" hidden="1">
      <c r="A44" s="179" t="s">
        <v>15</v>
      </c>
      <c r="B44" s="180" t="s">
        <v>35</v>
      </c>
      <c r="C44" s="181">
        <v>42412</v>
      </c>
      <c r="D44" s="182" t="s">
        <v>16</v>
      </c>
      <c r="E44" s="183">
        <v>52613.599999999999</v>
      </c>
      <c r="F44" s="184">
        <f>E44*2.24105</f>
        <v>117909.70827999999</v>
      </c>
      <c r="G44" s="185">
        <v>42502</v>
      </c>
      <c r="H44" s="186"/>
      <c r="I44" s="182"/>
      <c r="J44" s="189"/>
      <c r="K44" s="188">
        <v>52563.6</v>
      </c>
      <c r="L44" s="189"/>
      <c r="M44" s="190">
        <f t="shared" si="3"/>
        <v>50</v>
      </c>
      <c r="N44" s="270"/>
      <c r="O44" s="41"/>
      <c r="Q44" s="270"/>
    </row>
    <row r="45" spans="1:17" s="6" customFormat="1" hidden="1">
      <c r="A45" s="97" t="s">
        <v>17</v>
      </c>
      <c r="B45" s="98" t="s">
        <v>36</v>
      </c>
      <c r="C45" s="99">
        <v>42416</v>
      </c>
      <c r="D45" s="100" t="s">
        <v>19</v>
      </c>
      <c r="E45" s="101">
        <v>3945.6</v>
      </c>
      <c r="F45" s="102">
        <f>E45*2.00195</f>
        <v>7898.8939199999995</v>
      </c>
      <c r="G45" s="113">
        <v>42543</v>
      </c>
      <c r="H45" s="104"/>
      <c r="I45" s="100"/>
      <c r="J45" s="105"/>
      <c r="K45" s="106">
        <v>3945.6</v>
      </c>
      <c r="L45" s="105"/>
      <c r="M45" s="107">
        <f t="shared" si="3"/>
        <v>0</v>
      </c>
      <c r="N45" s="116"/>
      <c r="O45" s="7"/>
      <c r="Q45" s="78"/>
    </row>
    <row r="46" spans="1:17" s="4" customFormat="1" hidden="1">
      <c r="A46" s="179" t="s">
        <v>15</v>
      </c>
      <c r="B46" s="180" t="s">
        <v>37</v>
      </c>
      <c r="C46" s="181">
        <v>42422</v>
      </c>
      <c r="D46" s="182" t="s">
        <v>16</v>
      </c>
      <c r="E46" s="183">
        <v>36924.26</v>
      </c>
      <c r="F46" s="184">
        <f>+E46*2.2214</f>
        <v>82023.551164000004</v>
      </c>
      <c r="G46" s="185">
        <f>+C46+90</f>
        <v>42512</v>
      </c>
      <c r="H46" s="186"/>
      <c r="I46" s="182"/>
      <c r="J46" s="189"/>
      <c r="K46" s="188">
        <v>36874.26</v>
      </c>
      <c r="L46" s="189"/>
      <c r="M46" s="190">
        <f t="shared" si="3"/>
        <v>50</v>
      </c>
      <c r="N46" s="270"/>
      <c r="O46" s="41"/>
      <c r="Q46" s="270"/>
    </row>
    <row r="47" spans="1:17" s="5" customFormat="1" hidden="1">
      <c r="A47" s="97" t="s">
        <v>21</v>
      </c>
      <c r="B47" s="98" t="s">
        <v>38</v>
      </c>
      <c r="C47" s="99">
        <v>42423</v>
      </c>
      <c r="D47" s="100" t="s">
        <v>19</v>
      </c>
      <c r="E47" s="101">
        <v>58754.1</v>
      </c>
      <c r="F47" s="102">
        <f>+E47*2.01295</f>
        <v>118269.06559499999</v>
      </c>
      <c r="G47" s="113">
        <f>+C47+90</f>
        <v>42513</v>
      </c>
      <c r="H47" s="104"/>
      <c r="I47" s="100"/>
      <c r="J47" s="105"/>
      <c r="K47" s="106">
        <v>58754.1</v>
      </c>
      <c r="L47" s="105"/>
      <c r="M47" s="107">
        <f t="shared" si="3"/>
        <v>0</v>
      </c>
      <c r="N47" s="116"/>
      <c r="O47" s="41"/>
      <c r="P47" s="223"/>
      <c r="Q47" s="116"/>
    </row>
    <row r="48" spans="1:17" hidden="1">
      <c r="A48" s="179" t="s">
        <v>20</v>
      </c>
      <c r="B48" s="180" t="s">
        <v>40</v>
      </c>
      <c r="C48" s="181">
        <v>42436</v>
      </c>
      <c r="D48" s="182" t="s">
        <v>16</v>
      </c>
      <c r="E48" s="183">
        <v>346818.74</v>
      </c>
      <c r="F48" s="184">
        <f>+E48*2.2428</f>
        <v>777845.07007199991</v>
      </c>
      <c r="G48" s="185">
        <f>+C48+90</f>
        <v>42526</v>
      </c>
      <c r="H48" s="186">
        <v>620000</v>
      </c>
      <c r="I48" s="182"/>
      <c r="J48" s="187">
        <v>42521</v>
      </c>
      <c r="K48" s="188">
        <f>79900-5002.12+25000+25000+25000+15000+80000+40000+31840+9950+20000</f>
        <v>346687.88</v>
      </c>
      <c r="L48" s="189"/>
      <c r="M48" s="190">
        <f t="shared" si="3"/>
        <v>130.85999999998603</v>
      </c>
    </row>
    <row r="49" spans="1:17" s="4" customFormat="1" hidden="1">
      <c r="A49" s="179" t="s">
        <v>15</v>
      </c>
      <c r="B49" s="180" t="s">
        <v>41</v>
      </c>
      <c r="C49" s="181">
        <v>42445</v>
      </c>
      <c r="D49" s="182" t="s">
        <v>16</v>
      </c>
      <c r="E49" s="183">
        <v>56915.18</v>
      </c>
      <c r="F49" s="184">
        <f>+E49*2.2342</f>
        <v>127159.895156</v>
      </c>
      <c r="G49" s="185">
        <f>+C49+90</f>
        <v>42535</v>
      </c>
      <c r="H49" s="186"/>
      <c r="I49" s="182"/>
      <c r="J49" s="189"/>
      <c r="K49" s="188">
        <f>20865.18+36000</f>
        <v>56865.18</v>
      </c>
      <c r="L49" s="189"/>
      <c r="M49" s="190">
        <f t="shared" si="3"/>
        <v>50</v>
      </c>
      <c r="N49" s="270"/>
      <c r="O49" s="41"/>
      <c r="Q49" s="270"/>
    </row>
    <row r="50" spans="1:17" s="4" customFormat="1" hidden="1">
      <c r="A50" s="179" t="s">
        <v>15</v>
      </c>
      <c r="B50" s="180" t="s">
        <v>42</v>
      </c>
      <c r="C50" s="181">
        <v>42460</v>
      </c>
      <c r="D50" s="182" t="s">
        <v>16</v>
      </c>
      <c r="E50" s="183">
        <v>55894.19</v>
      </c>
      <c r="F50" s="184">
        <f>E50*2.25995</f>
        <v>126318.0746905</v>
      </c>
      <c r="G50" s="185">
        <f>+C50+90</f>
        <v>42550</v>
      </c>
      <c r="H50" s="186"/>
      <c r="I50" s="182"/>
      <c r="J50" s="189"/>
      <c r="K50" s="188">
        <f>46844.19-36000+22950+21950</f>
        <v>55744.19</v>
      </c>
      <c r="L50" s="189"/>
      <c r="M50" s="190">
        <f t="shared" si="3"/>
        <v>150</v>
      </c>
      <c r="N50" s="270"/>
      <c r="O50" s="41"/>
      <c r="Q50" s="270"/>
    </row>
    <row r="51" spans="1:17" s="5" customFormat="1" hidden="1">
      <c r="A51" s="97" t="s">
        <v>17</v>
      </c>
      <c r="B51" s="98" t="s">
        <v>43</v>
      </c>
      <c r="C51" s="99">
        <v>42461</v>
      </c>
      <c r="D51" s="100" t="s">
        <v>19</v>
      </c>
      <c r="E51" s="101">
        <v>124293.26</v>
      </c>
      <c r="F51" s="102">
        <f>E51*1.98505</f>
        <v>246728.33576299998</v>
      </c>
      <c r="G51" s="113">
        <v>42585</v>
      </c>
      <c r="H51" s="104"/>
      <c r="I51" s="100"/>
      <c r="J51" s="105"/>
      <c r="K51" s="106">
        <f>60173.9+64059.36</f>
        <v>124233.26000000001</v>
      </c>
      <c r="L51" s="105"/>
      <c r="M51" s="107">
        <f t="shared" si="3"/>
        <v>59.999999999985448</v>
      </c>
      <c r="N51" s="116"/>
      <c r="O51" s="152"/>
      <c r="Q51" s="116"/>
    </row>
    <row r="52" spans="1:17" s="4" customFormat="1" hidden="1">
      <c r="A52" s="179" t="s">
        <v>15</v>
      </c>
      <c r="B52" s="180" t="s">
        <v>79</v>
      </c>
      <c r="C52" s="181">
        <v>42471</v>
      </c>
      <c r="D52" s="182" t="s">
        <v>16</v>
      </c>
      <c r="E52" s="183">
        <v>71366.58</v>
      </c>
      <c r="F52" s="184">
        <f>E52*2.2645</f>
        <v>161609.62041</v>
      </c>
      <c r="G52" s="185">
        <f>+C52+90</f>
        <v>42561</v>
      </c>
      <c r="H52" s="186"/>
      <c r="I52" s="182"/>
      <c r="J52" s="189"/>
      <c r="K52" s="188">
        <v>71316.58</v>
      </c>
      <c r="L52" s="189"/>
      <c r="M52" s="190">
        <f t="shared" si="3"/>
        <v>50</v>
      </c>
      <c r="N52" s="270"/>
      <c r="O52" s="41"/>
      <c r="Q52" s="270"/>
    </row>
    <row r="53" spans="1:17" s="5" customFormat="1" hidden="1">
      <c r="A53" s="97" t="s">
        <v>17</v>
      </c>
      <c r="B53" s="98" t="s">
        <v>82</v>
      </c>
      <c r="C53" s="99">
        <v>42480</v>
      </c>
      <c r="D53" s="100" t="s">
        <v>19</v>
      </c>
      <c r="E53" s="101">
        <v>3720</v>
      </c>
      <c r="F53" s="102">
        <f>+E53*1.99715</f>
        <v>7429.3980000000001</v>
      </c>
      <c r="G53" s="113">
        <v>42603</v>
      </c>
      <c r="H53" s="104"/>
      <c r="I53" s="100"/>
      <c r="J53" s="105"/>
      <c r="K53" s="106">
        <v>3662</v>
      </c>
      <c r="L53" s="105"/>
      <c r="M53" s="107">
        <f t="shared" si="3"/>
        <v>58</v>
      </c>
      <c r="N53" s="116"/>
      <c r="O53" s="152"/>
      <c r="P53" s="214"/>
      <c r="Q53" s="116"/>
    </row>
    <row r="54" spans="1:17" s="5" customFormat="1" hidden="1">
      <c r="A54" s="97" t="s">
        <v>21</v>
      </c>
      <c r="B54" s="98" t="s">
        <v>80</v>
      </c>
      <c r="C54" s="99">
        <v>42480</v>
      </c>
      <c r="D54" s="100" t="s">
        <v>19</v>
      </c>
      <c r="E54" s="101">
        <v>59734.6</v>
      </c>
      <c r="F54" s="102">
        <f>+E54*1.99715</f>
        <v>119298.95638999999</v>
      </c>
      <c r="G54" s="113">
        <v>42580</v>
      </c>
      <c r="H54" s="104"/>
      <c r="I54" s="100"/>
      <c r="J54" s="105"/>
      <c r="K54" s="106">
        <v>59734.6</v>
      </c>
      <c r="L54" s="105"/>
      <c r="M54" s="107">
        <f t="shared" si="3"/>
        <v>0</v>
      </c>
      <c r="N54" s="116"/>
      <c r="O54" s="152"/>
      <c r="P54" s="214"/>
      <c r="Q54" s="116"/>
    </row>
    <row r="55" spans="1:17" s="5" customFormat="1" hidden="1">
      <c r="A55" s="97" t="s">
        <v>17</v>
      </c>
      <c r="B55" s="98" t="s">
        <v>81</v>
      </c>
      <c r="C55" s="99">
        <v>42485</v>
      </c>
      <c r="D55" s="100" t="s">
        <v>19</v>
      </c>
      <c r="E55" s="101">
        <v>190231.2</v>
      </c>
      <c r="F55" s="102">
        <f>+E55*1.99715</f>
        <v>379920.24108000001</v>
      </c>
      <c r="G55" s="113">
        <v>42603</v>
      </c>
      <c r="H55" s="104">
        <v>305000</v>
      </c>
      <c r="I55" s="100"/>
      <c r="J55" s="103">
        <v>42607</v>
      </c>
      <c r="K55" s="106">
        <f>163674-64059.36+90538.6</f>
        <v>190153.24</v>
      </c>
      <c r="L55" s="105"/>
      <c r="M55" s="107">
        <f t="shared" si="3"/>
        <v>77.960000000020955</v>
      </c>
      <c r="N55" s="116"/>
      <c r="O55" s="152"/>
      <c r="P55" s="214"/>
      <c r="Q55" s="116"/>
    </row>
    <row r="56" spans="1:17" s="75" customFormat="1" hidden="1">
      <c r="A56" s="128" t="s">
        <v>21</v>
      </c>
      <c r="B56" s="129" t="s">
        <v>85</v>
      </c>
      <c r="C56" s="130">
        <v>42503</v>
      </c>
      <c r="D56" s="100" t="s">
        <v>19</v>
      </c>
      <c r="E56" s="132">
        <v>60309.599999999999</v>
      </c>
      <c r="F56" s="133">
        <f>E56*2.02365</f>
        <v>122045.52204</v>
      </c>
      <c r="G56" s="222">
        <v>42601</v>
      </c>
      <c r="H56" s="135"/>
      <c r="I56" s="131"/>
      <c r="J56" s="134"/>
      <c r="K56" s="136">
        <v>60309.599999999999</v>
      </c>
      <c r="L56" s="137"/>
      <c r="M56" s="138">
        <f t="shared" si="3"/>
        <v>0</v>
      </c>
      <c r="N56" s="271"/>
      <c r="O56" s="163"/>
      <c r="P56" s="215"/>
      <c r="Q56" s="271"/>
    </row>
    <row r="57" spans="1:17" s="77" customFormat="1" hidden="1">
      <c r="A57" s="128" t="s">
        <v>17</v>
      </c>
      <c r="B57" s="129" t="s">
        <v>86</v>
      </c>
      <c r="C57" s="130">
        <v>42513</v>
      </c>
      <c r="D57" s="100" t="s">
        <v>19</v>
      </c>
      <c r="E57" s="132">
        <v>243352.73</v>
      </c>
      <c r="F57" s="133">
        <f>E57*2.02365</f>
        <v>492460.7520645</v>
      </c>
      <c r="G57" s="222">
        <v>42630</v>
      </c>
      <c r="H57" s="135">
        <v>395000</v>
      </c>
      <c r="I57" s="131"/>
      <c r="J57" s="134">
        <v>42638</v>
      </c>
      <c r="K57" s="136">
        <f>123502.1-2842.8+122644.67</f>
        <v>243303.97</v>
      </c>
      <c r="L57" s="137"/>
      <c r="M57" s="138">
        <f t="shared" si="3"/>
        <v>48.760000000009313</v>
      </c>
      <c r="N57" s="271"/>
      <c r="O57" s="76"/>
      <c r="P57" s="216"/>
      <c r="Q57" s="258"/>
    </row>
    <row r="58" spans="1:17" s="77" customFormat="1" hidden="1">
      <c r="A58" s="128" t="s">
        <v>17</v>
      </c>
      <c r="B58" s="129" t="s">
        <v>87</v>
      </c>
      <c r="C58" s="130">
        <v>42506</v>
      </c>
      <c r="D58" s="100" t="s">
        <v>19</v>
      </c>
      <c r="E58" s="132">
        <v>2902.8</v>
      </c>
      <c r="F58" s="133">
        <f>+E58*2.02365</f>
        <v>5874.2512200000001</v>
      </c>
      <c r="G58" s="222">
        <v>42630</v>
      </c>
      <c r="H58" s="135"/>
      <c r="I58" s="131"/>
      <c r="J58" s="137"/>
      <c r="K58" s="136">
        <f>2902.8-60</f>
        <v>2842.8</v>
      </c>
      <c r="L58" s="137"/>
      <c r="M58" s="138">
        <f t="shared" si="3"/>
        <v>60</v>
      </c>
      <c r="N58" s="271"/>
      <c r="O58" s="76"/>
      <c r="Q58" s="258"/>
    </row>
    <row r="59" spans="1:17" s="64" customFormat="1" hidden="1">
      <c r="A59" s="278" t="s">
        <v>15</v>
      </c>
      <c r="B59" s="279" t="s">
        <v>115</v>
      </c>
      <c r="C59" s="280">
        <v>42515</v>
      </c>
      <c r="D59" s="228" t="s">
        <v>16</v>
      </c>
      <c r="E59" s="281">
        <v>58025.49</v>
      </c>
      <c r="F59" s="282">
        <f>E59*2.28935</f>
        <v>132840.6555315</v>
      </c>
      <c r="G59" s="283">
        <f>+C59+90</f>
        <v>42605</v>
      </c>
      <c r="H59" s="227"/>
      <c r="I59" s="228"/>
      <c r="J59" s="259"/>
      <c r="K59" s="284">
        <f>12985.49+10960+11019+20163.57+2850</f>
        <v>57978.06</v>
      </c>
      <c r="L59" s="259"/>
      <c r="M59" s="285">
        <f t="shared" si="3"/>
        <v>47.430000000000291</v>
      </c>
      <c r="N59" s="257"/>
      <c r="O59" s="168"/>
      <c r="Q59" s="257"/>
    </row>
    <row r="60" spans="1:17" s="75" customFormat="1" hidden="1">
      <c r="A60" s="128" t="s">
        <v>17</v>
      </c>
      <c r="B60" s="129" t="s">
        <v>124</v>
      </c>
      <c r="C60" s="130">
        <v>42522</v>
      </c>
      <c r="D60" s="131" t="s">
        <v>19</v>
      </c>
      <c r="E60" s="132">
        <v>181444.41</v>
      </c>
      <c r="F60" s="133">
        <f>+E60*2.0914</f>
        <v>379472.83907400002</v>
      </c>
      <c r="G60" s="222">
        <v>42647</v>
      </c>
      <c r="H60" s="135"/>
      <c r="I60" s="131"/>
      <c r="J60" s="134"/>
      <c r="K60" s="136">
        <f>90963.81+91051.3-637.2</f>
        <v>181377.90999999997</v>
      </c>
      <c r="L60" s="137"/>
      <c r="M60" s="138">
        <f t="shared" si="3"/>
        <v>66.500000000029104</v>
      </c>
      <c r="N60" s="271"/>
      <c r="O60" s="163"/>
      <c r="Q60" s="271"/>
    </row>
    <row r="61" spans="1:17" s="75" customFormat="1" hidden="1">
      <c r="A61" s="128" t="s">
        <v>17</v>
      </c>
      <c r="B61" s="129" t="s">
        <v>125</v>
      </c>
      <c r="C61" s="130">
        <v>42522</v>
      </c>
      <c r="D61" s="131" t="s">
        <v>19</v>
      </c>
      <c r="E61" s="132">
        <v>637.20000000000005</v>
      </c>
      <c r="F61" s="133">
        <f>+E61*2.0914</f>
        <v>1332.6400800000001</v>
      </c>
      <c r="G61" s="222">
        <v>42647</v>
      </c>
      <c r="H61" s="135"/>
      <c r="I61" s="131"/>
      <c r="J61" s="137"/>
      <c r="K61" s="136">
        <v>637.20000000000005</v>
      </c>
      <c r="L61" s="137"/>
      <c r="M61" s="138">
        <f t="shared" si="3"/>
        <v>0</v>
      </c>
      <c r="N61" s="271"/>
      <c r="O61" s="163"/>
      <c r="Q61" s="271"/>
    </row>
    <row r="62" spans="1:17" s="75" customFormat="1" hidden="1">
      <c r="A62" s="128" t="s">
        <v>15</v>
      </c>
      <c r="B62" s="129" t="s">
        <v>126</v>
      </c>
      <c r="C62" s="130">
        <v>42523</v>
      </c>
      <c r="D62" s="131" t="s">
        <v>19</v>
      </c>
      <c r="E62" s="132">
        <v>32695.26</v>
      </c>
      <c r="F62" s="133">
        <f>+E62*2.1062</f>
        <v>68862.756611999997</v>
      </c>
      <c r="G62" s="222">
        <f>+C62+90</f>
        <v>42613</v>
      </c>
      <c r="H62" s="135"/>
      <c r="I62" s="131"/>
      <c r="J62" s="137"/>
      <c r="K62" s="136">
        <v>32614.76</v>
      </c>
      <c r="L62" s="137"/>
      <c r="M62" s="138">
        <f t="shared" si="3"/>
        <v>80.5</v>
      </c>
      <c r="N62" s="271"/>
      <c r="O62" s="163"/>
      <c r="Q62" s="271"/>
    </row>
    <row r="63" spans="1:17" s="64" customFormat="1" hidden="1">
      <c r="A63" s="278" t="s">
        <v>15</v>
      </c>
      <c r="B63" s="279" t="s">
        <v>127</v>
      </c>
      <c r="C63" s="280">
        <v>42527</v>
      </c>
      <c r="D63" s="228" t="s">
        <v>16</v>
      </c>
      <c r="E63" s="281">
        <v>33241.94</v>
      </c>
      <c r="F63" s="282">
        <f>+E63*2.34895</f>
        <v>78083.654963000008</v>
      </c>
      <c r="G63" s="283">
        <f>+C63+90</f>
        <v>42617</v>
      </c>
      <c r="H63" s="135"/>
      <c r="I63" s="228"/>
      <c r="J63" s="259"/>
      <c r="K63" s="284">
        <f>813.45+12225+20000</f>
        <v>33038.449999999997</v>
      </c>
      <c r="L63" s="259"/>
      <c r="M63" s="285">
        <f t="shared" si="3"/>
        <v>203.49000000000524</v>
      </c>
      <c r="N63" s="257"/>
      <c r="O63" s="168"/>
      <c r="Q63" s="257"/>
    </row>
    <row r="64" spans="1:17" s="65" customFormat="1" hidden="1">
      <c r="A64" s="278" t="s">
        <v>20</v>
      </c>
      <c r="B64" s="279" t="s">
        <v>121</v>
      </c>
      <c r="C64" s="280">
        <v>42528</v>
      </c>
      <c r="D64" s="228" t="s">
        <v>16</v>
      </c>
      <c r="E64" s="281">
        <v>249442.34</v>
      </c>
      <c r="F64" s="282">
        <f>+E64*2.3642</f>
        <v>589731.58022799995</v>
      </c>
      <c r="G64" s="283">
        <f>+C64+90</f>
        <v>42618</v>
      </c>
      <c r="H64" s="135"/>
      <c r="I64" s="228"/>
      <c r="J64" s="259"/>
      <c r="K64" s="284">
        <f>60000+39960+39950+25000+10000+25000+49500</f>
        <v>249410</v>
      </c>
      <c r="L64" s="259"/>
      <c r="M64" s="285">
        <f t="shared" si="3"/>
        <v>32.339999999996508</v>
      </c>
      <c r="N64" s="257"/>
      <c r="O64" s="53"/>
      <c r="Q64" s="397"/>
    </row>
    <row r="65" spans="1:17" s="65" customFormat="1" hidden="1">
      <c r="A65" s="278" t="s">
        <v>20</v>
      </c>
      <c r="B65" s="279" t="s">
        <v>134</v>
      </c>
      <c r="C65" s="280">
        <v>42552</v>
      </c>
      <c r="D65" s="228" t="s">
        <v>16</v>
      </c>
      <c r="E65" s="281">
        <v>247327.72</v>
      </c>
      <c r="F65" s="282">
        <f>+E65*2.43635</f>
        <v>602576.89062199998</v>
      </c>
      <c r="G65" s="283">
        <f>+C65+90</f>
        <v>42642</v>
      </c>
      <c r="H65" s="227">
        <v>485000</v>
      </c>
      <c r="I65" s="228"/>
      <c r="J65" s="229">
        <v>42648</v>
      </c>
      <c r="K65" s="284">
        <f>64922.5-49500+85000+59957+79548.68+7399.54</f>
        <v>247327.72</v>
      </c>
      <c r="L65" s="259"/>
      <c r="M65" s="285">
        <f t="shared" si="3"/>
        <v>0</v>
      </c>
      <c r="N65" s="257"/>
      <c r="O65" s="53"/>
      <c r="Q65" s="397"/>
    </row>
    <row r="66" spans="1:17" s="77" customFormat="1" hidden="1">
      <c r="A66" s="128" t="s">
        <v>17</v>
      </c>
      <c r="B66" s="129" t="s">
        <v>131</v>
      </c>
      <c r="C66" s="130">
        <v>42565</v>
      </c>
      <c r="D66" s="131" t="s">
        <v>19</v>
      </c>
      <c r="E66" s="132">
        <v>182006.54</v>
      </c>
      <c r="F66" s="133">
        <f>E66*2.20895</f>
        <v>402043.34653300006</v>
      </c>
      <c r="G66" s="222">
        <v>42698</v>
      </c>
      <c r="H66" s="135">
        <v>320000</v>
      </c>
      <c r="I66" s="131"/>
      <c r="J66" s="134">
        <v>42689</v>
      </c>
      <c r="K66" s="136">
        <f>72601.19+90445.6+18809.75</f>
        <v>181856.54</v>
      </c>
      <c r="L66" s="137"/>
      <c r="M66" s="138">
        <f t="shared" si="3"/>
        <v>150</v>
      </c>
      <c r="N66" s="271"/>
      <c r="O66" s="76"/>
      <c r="Q66" s="258"/>
    </row>
    <row r="67" spans="1:17" s="64" customFormat="1" hidden="1">
      <c r="A67" s="278" t="s">
        <v>15</v>
      </c>
      <c r="B67" s="279" t="s">
        <v>132</v>
      </c>
      <c r="C67" s="280">
        <v>42583</v>
      </c>
      <c r="D67" s="228" t="s">
        <v>16</v>
      </c>
      <c r="E67" s="281">
        <v>47822.32</v>
      </c>
      <c r="F67" s="282">
        <f>+E67*2.45605</f>
        <v>117454.00903599999</v>
      </c>
      <c r="G67" s="283">
        <f>+C67+90</f>
        <v>42673</v>
      </c>
      <c r="H67" s="227"/>
      <c r="I67" s="228"/>
      <c r="J67" s="259"/>
      <c r="K67" s="284">
        <f>10994.42+15629.1+21150</f>
        <v>47773.520000000004</v>
      </c>
      <c r="L67" s="259"/>
      <c r="M67" s="285">
        <f t="shared" si="3"/>
        <v>48.799999999995634</v>
      </c>
      <c r="N67" s="257"/>
      <c r="O67" s="168"/>
      <c r="P67" s="257"/>
      <c r="Q67" s="257"/>
    </row>
    <row r="68" spans="1:17" s="65" customFormat="1" hidden="1">
      <c r="A68" s="278" t="s">
        <v>20</v>
      </c>
      <c r="B68" s="279" t="s">
        <v>133</v>
      </c>
      <c r="C68" s="280">
        <v>42585</v>
      </c>
      <c r="D68" s="228" t="s">
        <v>16</v>
      </c>
      <c r="E68" s="281">
        <v>256710.39999999999</v>
      </c>
      <c r="F68" s="282">
        <f>+E68*2.45645</f>
        <v>630596.2620799999</v>
      </c>
      <c r="G68" s="283">
        <f>+C68+90</f>
        <v>42675</v>
      </c>
      <c r="H68" s="227"/>
      <c r="I68" s="228"/>
      <c r="J68" s="259"/>
      <c r="K68" s="284">
        <f>39965-7399.54+99975+99955+24214.94</f>
        <v>256710.39999999999</v>
      </c>
      <c r="L68" s="259"/>
      <c r="M68" s="285">
        <f t="shared" si="3"/>
        <v>0</v>
      </c>
      <c r="N68" s="257"/>
      <c r="O68" s="53"/>
      <c r="Q68" s="397"/>
    </row>
    <row r="69" spans="1:17" s="54" customFormat="1" hidden="1">
      <c r="A69" s="128" t="s">
        <v>21</v>
      </c>
      <c r="B69" s="129" t="s">
        <v>138</v>
      </c>
      <c r="C69" s="130">
        <v>42594</v>
      </c>
      <c r="D69" s="100" t="s">
        <v>19</v>
      </c>
      <c r="E69" s="132">
        <v>61609.599999999999</v>
      </c>
      <c r="F69" s="133">
        <f>+E69*2.20485</f>
        <v>135839.92655999999</v>
      </c>
      <c r="G69" s="222">
        <v>42692</v>
      </c>
      <c r="H69" s="227"/>
      <c r="I69" s="228"/>
      <c r="J69" s="229"/>
      <c r="K69" s="136">
        <v>61609.599999999999</v>
      </c>
      <c r="L69" s="137"/>
      <c r="M69" s="138">
        <f t="shared" ref="M69:M135" si="4">E69-K69</f>
        <v>0</v>
      </c>
      <c r="N69" s="236"/>
      <c r="O69" s="193"/>
      <c r="Q69" s="236"/>
    </row>
    <row r="70" spans="1:17" s="77" customFormat="1" hidden="1">
      <c r="A70" s="128" t="s">
        <v>17</v>
      </c>
      <c r="B70" s="129" t="s">
        <v>136</v>
      </c>
      <c r="C70" s="130">
        <v>42599</v>
      </c>
      <c r="D70" s="131" t="s">
        <v>19</v>
      </c>
      <c r="E70" s="132">
        <v>201518.23</v>
      </c>
      <c r="F70" s="133">
        <f>E70*2.18885</f>
        <v>441093.17773550004</v>
      </c>
      <c r="G70" s="222">
        <v>42722</v>
      </c>
      <c r="H70" s="227"/>
      <c r="I70" s="228"/>
      <c r="J70" s="259"/>
      <c r="K70" s="136">
        <f>90429.6+110873.72</f>
        <v>201303.32</v>
      </c>
      <c r="L70" s="137"/>
      <c r="M70" s="138">
        <f t="shared" si="4"/>
        <v>214.91000000000349</v>
      </c>
      <c r="N70" s="271"/>
      <c r="O70" s="76"/>
      <c r="P70" s="258"/>
      <c r="Q70" s="258"/>
    </row>
    <row r="71" spans="1:17" s="65" customFormat="1" hidden="1">
      <c r="A71" s="278" t="s">
        <v>20</v>
      </c>
      <c r="B71" s="279" t="s">
        <v>135</v>
      </c>
      <c r="C71" s="280">
        <v>42599</v>
      </c>
      <c r="D71" s="228" t="s">
        <v>16</v>
      </c>
      <c r="E71" s="281">
        <v>176779.1</v>
      </c>
      <c r="F71" s="282">
        <f>E71*2.4649</f>
        <v>435742.80359000002</v>
      </c>
      <c r="G71" s="283">
        <f>+C71+90</f>
        <v>42689</v>
      </c>
      <c r="H71" s="227"/>
      <c r="I71" s="228"/>
      <c r="J71" s="259"/>
      <c r="K71" s="284">
        <f>50000-24214.94+59950+24965+66079.04</f>
        <v>176779.09999999998</v>
      </c>
      <c r="L71" s="259"/>
      <c r="M71" s="285">
        <f t="shared" si="4"/>
        <v>0</v>
      </c>
      <c r="N71" s="257"/>
      <c r="O71" s="53"/>
      <c r="Q71" s="397"/>
    </row>
    <row r="72" spans="1:17" s="65" customFormat="1" hidden="1">
      <c r="A72" s="278" t="s">
        <v>20</v>
      </c>
      <c r="B72" s="279" t="s">
        <v>137</v>
      </c>
      <c r="C72" s="280">
        <v>42606</v>
      </c>
      <c r="D72" s="228" t="s">
        <v>16</v>
      </c>
      <c r="E72" s="281">
        <v>182078.8</v>
      </c>
      <c r="F72" s="282">
        <f>+E72*2.4651</f>
        <v>448842.44987999997</v>
      </c>
      <c r="G72" s="283">
        <f>+C72+90</f>
        <v>42696</v>
      </c>
      <c r="H72" s="227"/>
      <c r="I72" s="228"/>
      <c r="J72" s="259"/>
      <c r="K72" s="284">
        <f>86970-66079.04+44970+99975+16242.84</f>
        <v>182078.80000000002</v>
      </c>
      <c r="L72" s="259"/>
      <c r="M72" s="285">
        <f t="shared" si="4"/>
        <v>0</v>
      </c>
      <c r="N72" s="257"/>
      <c r="O72" s="53"/>
      <c r="Q72" s="397"/>
    </row>
    <row r="73" spans="1:17" s="77" customFormat="1" hidden="1">
      <c r="A73" s="128" t="s">
        <v>17</v>
      </c>
      <c r="B73" s="129" t="s">
        <v>139</v>
      </c>
      <c r="C73" s="130">
        <v>42619</v>
      </c>
      <c r="D73" s="131" t="s">
        <v>19</v>
      </c>
      <c r="E73" s="132">
        <v>201819.58</v>
      </c>
      <c r="F73" s="133">
        <f>+E73*2.19925</f>
        <v>443851.71131500002</v>
      </c>
      <c r="G73" s="222">
        <f>+C73+120</f>
        <v>42739</v>
      </c>
      <c r="H73" s="227"/>
      <c r="I73" s="228"/>
      <c r="J73" s="259"/>
      <c r="K73" s="136">
        <f>90445.6+111210.5</f>
        <v>201656.1</v>
      </c>
      <c r="L73" s="137"/>
      <c r="M73" s="138">
        <f t="shared" si="4"/>
        <v>163.47999999998137</v>
      </c>
      <c r="N73" s="271"/>
      <c r="O73" s="326"/>
      <c r="Q73" s="258"/>
    </row>
    <row r="74" spans="1:17" s="65" customFormat="1" hidden="1">
      <c r="A74" s="278" t="s">
        <v>20</v>
      </c>
      <c r="B74" s="279" t="s">
        <v>140</v>
      </c>
      <c r="C74" s="280">
        <v>42619</v>
      </c>
      <c r="D74" s="228" t="s">
        <v>16</v>
      </c>
      <c r="E74" s="281">
        <v>93763.1</v>
      </c>
      <c r="F74" s="282">
        <f>+E74*2.45675</f>
        <v>230352.49592500002</v>
      </c>
      <c r="G74" s="283">
        <f>+C74+90</f>
        <v>42709</v>
      </c>
      <c r="H74" s="227"/>
      <c r="I74" s="228"/>
      <c r="J74" s="259"/>
      <c r="K74" s="284">
        <f>49970-16242.84+60035.94</f>
        <v>93763.1</v>
      </c>
      <c r="L74" s="259"/>
      <c r="M74" s="285">
        <f t="shared" si="4"/>
        <v>0</v>
      </c>
      <c r="N74" s="257"/>
      <c r="O74" s="53"/>
      <c r="Q74" s="397"/>
    </row>
    <row r="75" spans="1:17" s="65" customFormat="1" hidden="1">
      <c r="A75" s="278" t="s">
        <v>20</v>
      </c>
      <c r="B75" s="279" t="s">
        <v>141</v>
      </c>
      <c r="C75" s="280">
        <v>42634</v>
      </c>
      <c r="D75" s="228" t="s">
        <v>9</v>
      </c>
      <c r="E75" s="281">
        <v>490473.728</v>
      </c>
      <c r="F75" s="282">
        <f>+E75</f>
        <v>490473.728</v>
      </c>
      <c r="G75" s="283">
        <f>+C75+90</f>
        <v>42724</v>
      </c>
      <c r="H75" s="227">
        <v>390000</v>
      </c>
      <c r="I75" s="228"/>
      <c r="J75" s="229">
        <v>42719</v>
      </c>
      <c r="K75" s="284">
        <v>483301.39899999998</v>
      </c>
      <c r="L75" s="259"/>
      <c r="M75" s="285">
        <f t="shared" si="4"/>
        <v>7172.329000000027</v>
      </c>
      <c r="N75" s="257"/>
      <c r="O75" s="53"/>
      <c r="Q75" s="397"/>
    </row>
    <row r="76" spans="1:17" s="77" customFormat="1" hidden="1">
      <c r="A76" s="128" t="s">
        <v>17</v>
      </c>
      <c r="B76" s="129" t="s">
        <v>144</v>
      </c>
      <c r="C76" s="130">
        <v>42646</v>
      </c>
      <c r="D76" s="131" t="s">
        <v>19</v>
      </c>
      <c r="E76" s="132">
        <v>206062.8</v>
      </c>
      <c r="F76" s="133">
        <f>+E76*2.1936</f>
        <v>452019.35807999998</v>
      </c>
      <c r="G76" s="222">
        <f>+C76+120</f>
        <v>42766</v>
      </c>
      <c r="H76" s="135"/>
      <c r="I76" s="131"/>
      <c r="J76" s="134"/>
      <c r="K76" s="136">
        <f>90445.6+62781.5+52565.5</f>
        <v>205792.6</v>
      </c>
      <c r="L76" s="137"/>
      <c r="M76" s="138">
        <f t="shared" si="4"/>
        <v>270.19999999998254</v>
      </c>
      <c r="N76" s="271"/>
      <c r="O76" s="76"/>
      <c r="Q76" s="258"/>
    </row>
    <row r="77" spans="1:17" s="65" customFormat="1" hidden="1">
      <c r="A77" s="278" t="s">
        <v>20</v>
      </c>
      <c r="B77" s="279" t="s">
        <v>143</v>
      </c>
      <c r="C77" s="280">
        <v>42647</v>
      </c>
      <c r="D77" s="228" t="s">
        <v>16</v>
      </c>
      <c r="E77" s="281">
        <v>90619.199999999997</v>
      </c>
      <c r="F77" s="282">
        <f>+E77*2.4659</f>
        <v>223457.88527999999</v>
      </c>
      <c r="G77" s="283">
        <f>+C77+90</f>
        <v>42737</v>
      </c>
      <c r="H77" s="227"/>
      <c r="I77" s="228"/>
      <c r="J77" s="229"/>
      <c r="K77" s="284">
        <f>99832.71-60035.94+50800</f>
        <v>90596.77</v>
      </c>
      <c r="L77" s="259"/>
      <c r="M77" s="285">
        <f t="shared" si="4"/>
        <v>22.429999999993015</v>
      </c>
      <c r="N77" s="257"/>
      <c r="O77" s="53"/>
      <c r="Q77" s="397"/>
    </row>
    <row r="78" spans="1:17" s="77" customFormat="1" hidden="1">
      <c r="A78" s="128" t="s">
        <v>17</v>
      </c>
      <c r="B78" s="129" t="s">
        <v>145</v>
      </c>
      <c r="C78" s="130">
        <v>42661</v>
      </c>
      <c r="D78" s="131" t="s">
        <v>19</v>
      </c>
      <c r="E78" s="132">
        <v>137375.20000000001</v>
      </c>
      <c r="F78" s="133">
        <f>E78*2.23355</f>
        <v>306834.37796000007</v>
      </c>
      <c r="G78" s="222">
        <f>+C78+120</f>
        <v>42781</v>
      </c>
      <c r="H78" s="135"/>
      <c r="I78" s="131"/>
      <c r="J78" s="134"/>
      <c r="K78" s="136">
        <f>60289.4+76922.5</f>
        <v>137211.9</v>
      </c>
      <c r="L78" s="137"/>
      <c r="M78" s="138">
        <f t="shared" si="4"/>
        <v>163.30000000001746</v>
      </c>
      <c r="N78" s="271"/>
      <c r="O78" s="76"/>
      <c r="Q78" s="258"/>
    </row>
    <row r="79" spans="1:17" s="65" customFormat="1" hidden="1">
      <c r="A79" s="278" t="s">
        <v>20</v>
      </c>
      <c r="B79" s="279" t="s">
        <v>146</v>
      </c>
      <c r="C79" s="280">
        <v>42667</v>
      </c>
      <c r="D79" s="228" t="s">
        <v>16</v>
      </c>
      <c r="E79" s="281">
        <v>275267.21999999997</v>
      </c>
      <c r="F79" s="282">
        <f>E79*2.4408</f>
        <v>671872.23057599994</v>
      </c>
      <c r="G79" s="283">
        <f>+C79+90</f>
        <v>42757</v>
      </c>
      <c r="H79" s="227"/>
      <c r="I79" s="228"/>
      <c r="J79" s="229"/>
      <c r="K79" s="284">
        <f>86880.37-50800+49880.54+99832.65+50000+39400</f>
        <v>275193.56</v>
      </c>
      <c r="L79" s="259"/>
      <c r="M79" s="285">
        <f t="shared" si="4"/>
        <v>73.659999999974389</v>
      </c>
      <c r="N79" s="257"/>
      <c r="O79" s="53"/>
      <c r="Q79" s="397"/>
    </row>
    <row r="80" spans="1:17" s="65" customFormat="1" hidden="1">
      <c r="A80" s="278" t="s">
        <v>20</v>
      </c>
      <c r="B80" s="279" t="s">
        <v>147</v>
      </c>
      <c r="C80" s="280">
        <v>42674</v>
      </c>
      <c r="D80" s="228" t="s">
        <v>16</v>
      </c>
      <c r="E80" s="281">
        <v>267067.84999999998</v>
      </c>
      <c r="F80" s="282">
        <f>E80*2.45085</f>
        <v>654543.24017249991</v>
      </c>
      <c r="G80" s="283">
        <f>C80+90</f>
        <v>42764</v>
      </c>
      <c r="H80" s="227"/>
      <c r="I80" s="228"/>
      <c r="J80" s="229"/>
      <c r="K80" s="284">
        <f>11960+49900+24900+89900+79950+10400</f>
        <v>267010</v>
      </c>
      <c r="L80" s="259"/>
      <c r="M80" s="285">
        <f t="shared" si="4"/>
        <v>57.849999999976717</v>
      </c>
      <c r="N80" s="257"/>
      <c r="O80" s="53"/>
      <c r="Q80" s="397"/>
    </row>
    <row r="81" spans="1:17" s="77" customFormat="1" hidden="1">
      <c r="A81" s="128" t="s">
        <v>21</v>
      </c>
      <c r="B81" s="129" t="s">
        <v>148</v>
      </c>
      <c r="C81" s="130">
        <v>42682</v>
      </c>
      <c r="D81" s="131" t="s">
        <v>19</v>
      </c>
      <c r="E81" s="132">
        <v>61851.199999999997</v>
      </c>
      <c r="F81" s="133">
        <f>+E81*2.22055</f>
        <v>137343.68215999997</v>
      </c>
      <c r="G81" s="222">
        <f>+C81+90</f>
        <v>42772</v>
      </c>
      <c r="H81" s="135"/>
      <c r="I81" s="131"/>
      <c r="J81" s="134"/>
      <c r="K81" s="136">
        <v>61851.199999999997</v>
      </c>
      <c r="L81" s="137"/>
      <c r="M81" s="138">
        <f t="shared" si="4"/>
        <v>0</v>
      </c>
      <c r="N81" s="271"/>
      <c r="O81" s="76"/>
      <c r="Q81" s="258"/>
    </row>
    <row r="82" spans="1:17" s="65" customFormat="1" hidden="1">
      <c r="A82" s="278" t="s">
        <v>15</v>
      </c>
      <c r="B82" s="279" t="s">
        <v>149</v>
      </c>
      <c r="C82" s="280">
        <v>42688</v>
      </c>
      <c r="D82" s="228" t="s">
        <v>16</v>
      </c>
      <c r="E82" s="281">
        <v>63212.1</v>
      </c>
      <c r="F82" s="282">
        <f>+E82*2.43455</f>
        <v>153893.01805500002</v>
      </c>
      <c r="G82" s="283">
        <f>+C82+60</f>
        <v>42748</v>
      </c>
      <c r="H82" s="227"/>
      <c r="I82" s="228"/>
      <c r="J82" s="229"/>
      <c r="K82" s="284">
        <v>63200</v>
      </c>
      <c r="L82" s="259"/>
      <c r="M82" s="285">
        <f t="shared" si="4"/>
        <v>12.099999999998545</v>
      </c>
      <c r="N82" s="257"/>
      <c r="O82" s="53"/>
      <c r="Q82" s="397"/>
    </row>
    <row r="83" spans="1:17" s="77" customFormat="1" hidden="1">
      <c r="A83" s="128" t="s">
        <v>17</v>
      </c>
      <c r="B83" s="129" t="s">
        <v>150</v>
      </c>
      <c r="C83" s="130">
        <v>42695</v>
      </c>
      <c r="D83" s="131" t="s">
        <v>19</v>
      </c>
      <c r="E83" s="132">
        <v>218812.7</v>
      </c>
      <c r="F83" s="133">
        <f>+E83*2.2844</f>
        <v>499855.73188000009</v>
      </c>
      <c r="G83" s="222">
        <f>+C83+120</f>
        <v>42815</v>
      </c>
      <c r="H83" s="135">
        <v>400000</v>
      </c>
      <c r="I83" s="131"/>
      <c r="J83" s="134">
        <v>42819</v>
      </c>
      <c r="K83" s="136">
        <f>90505.8+128142.5</f>
        <v>218648.3</v>
      </c>
      <c r="L83" s="137"/>
      <c r="M83" s="138">
        <f t="shared" si="4"/>
        <v>164.40000000002328</v>
      </c>
      <c r="N83" s="271"/>
      <c r="O83" s="256"/>
      <c r="Q83" s="258"/>
    </row>
    <row r="84" spans="1:17" s="77" customFormat="1">
      <c r="A84" s="153" t="s">
        <v>21</v>
      </c>
      <c r="B84" s="154" t="s">
        <v>152</v>
      </c>
      <c r="C84" s="155">
        <v>42703</v>
      </c>
      <c r="D84" s="160" t="s">
        <v>19</v>
      </c>
      <c r="E84" s="156">
        <v>60082</v>
      </c>
      <c r="F84" s="157">
        <f>+E84*2.2879</f>
        <v>137461.6078</v>
      </c>
      <c r="G84" s="158">
        <f>+C84+90</f>
        <v>42793</v>
      </c>
      <c r="H84" s="159"/>
      <c r="I84" s="160"/>
      <c r="J84" s="252"/>
      <c r="K84" s="161"/>
      <c r="L84" s="162"/>
      <c r="M84" s="219">
        <f t="shared" si="4"/>
        <v>60082</v>
      </c>
      <c r="N84" s="271"/>
      <c r="O84" s="76"/>
      <c r="Q84" s="258"/>
    </row>
    <row r="85" spans="1:17" s="65" customFormat="1" hidden="1">
      <c r="A85" s="278" t="s">
        <v>20</v>
      </c>
      <c r="B85" s="279" t="s">
        <v>154</v>
      </c>
      <c r="C85" s="280">
        <v>42714</v>
      </c>
      <c r="D85" s="228" t="s">
        <v>16</v>
      </c>
      <c r="E85" s="281">
        <v>189405.85</v>
      </c>
      <c r="F85" s="282">
        <f>+E85*2.42685</f>
        <v>459659.58707250003</v>
      </c>
      <c r="G85" s="283">
        <f>+C85+90</f>
        <v>42804</v>
      </c>
      <c r="H85" s="227"/>
      <c r="I85" s="228"/>
      <c r="J85" s="229"/>
      <c r="K85" s="284">
        <f>11585+24960+59900+21930+14930+27960+28100</f>
        <v>189365</v>
      </c>
      <c r="L85" s="259"/>
      <c r="M85" s="285">
        <f t="shared" si="4"/>
        <v>40.850000000005821</v>
      </c>
      <c r="N85" s="257"/>
      <c r="O85" s="53"/>
      <c r="Q85" s="397"/>
    </row>
    <row r="86" spans="1:17" s="65" customFormat="1" hidden="1">
      <c r="A86" s="278" t="s">
        <v>20</v>
      </c>
      <c r="B86" s="279" t="s">
        <v>155</v>
      </c>
      <c r="C86" s="280">
        <v>42731</v>
      </c>
      <c r="D86" s="228" t="s">
        <v>16</v>
      </c>
      <c r="E86" s="281">
        <v>288116.08</v>
      </c>
      <c r="F86" s="282">
        <f>+E86*2.41755</f>
        <v>696535.02920400002</v>
      </c>
      <c r="G86" s="283">
        <f>+C86+60</f>
        <v>42791</v>
      </c>
      <c r="H86" s="227"/>
      <c r="I86" s="228"/>
      <c r="J86" s="229"/>
      <c r="K86" s="284">
        <f>31982-28100+27930+26000+14982+21955+40955+45000+51000+39900+16500</f>
        <v>288104</v>
      </c>
      <c r="L86" s="259"/>
      <c r="M86" s="285">
        <f t="shared" si="4"/>
        <v>12.080000000016298</v>
      </c>
      <c r="N86" s="257"/>
      <c r="O86" s="53"/>
      <c r="Q86" s="397"/>
    </row>
    <row r="87" spans="1:17" s="77" customFormat="1" hidden="1">
      <c r="A87" s="128" t="s">
        <v>17</v>
      </c>
      <c r="B87" s="129" t="s">
        <v>159</v>
      </c>
      <c r="C87" s="130">
        <v>42733</v>
      </c>
      <c r="D87" s="131" t="s">
        <v>19</v>
      </c>
      <c r="E87" s="132">
        <v>145787.49</v>
      </c>
      <c r="F87" s="133">
        <f>+E87*2.31175</f>
        <v>337024.23000749998</v>
      </c>
      <c r="G87" s="222">
        <f>+C87+120</f>
        <v>42853</v>
      </c>
      <c r="H87" s="135"/>
      <c r="I87" s="131"/>
      <c r="J87" s="134"/>
      <c r="K87" s="136">
        <f>60280.4+85392</f>
        <v>145672.4</v>
      </c>
      <c r="L87" s="137"/>
      <c r="M87" s="138">
        <f t="shared" si="4"/>
        <v>115.08999999999651</v>
      </c>
      <c r="N87" s="271"/>
      <c r="O87" s="76"/>
      <c r="Q87" s="258"/>
    </row>
    <row r="88" spans="1:17" s="65" customFormat="1" hidden="1">
      <c r="A88" s="278" t="s">
        <v>20</v>
      </c>
      <c r="B88" s="279" t="s">
        <v>161</v>
      </c>
      <c r="C88" s="280">
        <v>42753</v>
      </c>
      <c r="D88" s="228" t="s">
        <v>16</v>
      </c>
      <c r="E88" s="281">
        <v>288576.96000000002</v>
      </c>
      <c r="F88" s="282">
        <f>+E88*2.42535</f>
        <v>699900.12993599998</v>
      </c>
      <c r="G88" s="283">
        <f>+C88+60</f>
        <v>42813</v>
      </c>
      <c r="H88" s="227"/>
      <c r="I88" s="228"/>
      <c r="J88" s="229"/>
      <c r="K88" s="284">
        <f>34000-16500+40000+35000+50500+10000+74500+54500+6500</f>
        <v>288500</v>
      </c>
      <c r="L88" s="259"/>
      <c r="M88" s="285">
        <f t="shared" si="4"/>
        <v>76.960000000020955</v>
      </c>
      <c r="N88" s="257"/>
      <c r="O88" s="53"/>
      <c r="Q88" s="397"/>
    </row>
    <row r="89" spans="1:17" s="65" customFormat="1" hidden="1">
      <c r="A89" s="278" t="s">
        <v>20</v>
      </c>
      <c r="B89" s="279" t="s">
        <v>162</v>
      </c>
      <c r="C89" s="280">
        <v>42772</v>
      </c>
      <c r="D89" s="228" t="s">
        <v>16</v>
      </c>
      <c r="E89" s="281">
        <v>90850.1</v>
      </c>
      <c r="F89" s="282">
        <f>+E89*2.4309</f>
        <v>220847.50808999999</v>
      </c>
      <c r="G89" s="283">
        <f>+C89+60</f>
        <v>42832</v>
      </c>
      <c r="H89" s="227"/>
      <c r="I89" s="228"/>
      <c r="J89" s="229"/>
      <c r="K89" s="284">
        <f>24600-6500+72500</f>
        <v>90600</v>
      </c>
      <c r="L89" s="259"/>
      <c r="M89" s="285">
        <f t="shared" si="4"/>
        <v>250.10000000000582</v>
      </c>
      <c r="N89" s="257"/>
      <c r="O89" s="53"/>
      <c r="P89" s="399"/>
      <c r="Q89" s="397"/>
    </row>
    <row r="90" spans="1:17" s="77" customFormat="1" hidden="1">
      <c r="A90" s="128" t="s">
        <v>17</v>
      </c>
      <c r="B90" s="129" t="s">
        <v>165</v>
      </c>
      <c r="C90" s="130">
        <v>42786</v>
      </c>
      <c r="D90" s="131" t="s">
        <v>19</v>
      </c>
      <c r="E90" s="132">
        <v>152438.76999999999</v>
      </c>
      <c r="F90" s="133">
        <f>+E90*2.2847</f>
        <v>348276.85781899997</v>
      </c>
      <c r="G90" s="222">
        <f>+C90+120</f>
        <v>42906</v>
      </c>
      <c r="H90" s="135"/>
      <c r="I90" s="131"/>
      <c r="J90" s="134"/>
      <c r="K90" s="136">
        <f>60270.4+91998.5</f>
        <v>152268.9</v>
      </c>
      <c r="L90" s="137"/>
      <c r="M90" s="138">
        <f t="shared" si="4"/>
        <v>169.86999999999534</v>
      </c>
      <c r="N90" s="271"/>
      <c r="O90" s="76"/>
      <c r="P90" s="518"/>
      <c r="Q90" s="397"/>
    </row>
    <row r="91" spans="1:17" s="65" customFormat="1" hidden="1">
      <c r="A91" s="278" t="s">
        <v>20</v>
      </c>
      <c r="B91" s="279" t="s">
        <v>167</v>
      </c>
      <c r="C91" s="280">
        <v>42786</v>
      </c>
      <c r="D91" s="228" t="s">
        <v>16</v>
      </c>
      <c r="E91" s="281">
        <v>103380.36</v>
      </c>
      <c r="F91" s="282">
        <f>+E91*2.41935</f>
        <v>250113.27396600001</v>
      </c>
      <c r="G91" s="283">
        <f>+C91+60</f>
        <v>42846</v>
      </c>
      <c r="H91" s="135"/>
      <c r="I91" s="228"/>
      <c r="J91" s="229"/>
      <c r="K91" s="284">
        <f>44000+59200</f>
        <v>103200</v>
      </c>
      <c r="L91" s="259"/>
      <c r="M91" s="285">
        <f t="shared" si="4"/>
        <v>180.36000000000058</v>
      </c>
      <c r="N91" s="257"/>
      <c r="O91" s="53"/>
      <c r="P91" s="399"/>
      <c r="Q91" s="397"/>
    </row>
    <row r="92" spans="1:17" s="77" customFormat="1" hidden="1">
      <c r="A92" s="128" t="s">
        <v>17</v>
      </c>
      <c r="B92" s="129" t="s">
        <v>169</v>
      </c>
      <c r="C92" s="130">
        <v>42827</v>
      </c>
      <c r="D92" s="131" t="s">
        <v>19</v>
      </c>
      <c r="E92" s="132">
        <v>153807</v>
      </c>
      <c r="F92" s="133">
        <f>+E92*2.25845</f>
        <v>347365.41914999997</v>
      </c>
      <c r="G92" s="222">
        <f>+C92+120</f>
        <v>42947</v>
      </c>
      <c r="H92" s="135"/>
      <c r="I92" s="131"/>
      <c r="J92" s="134"/>
      <c r="K92" s="136">
        <f>60269.4+93352.5</f>
        <v>153621.9</v>
      </c>
      <c r="L92" s="137"/>
      <c r="M92" s="138">
        <f t="shared" si="4"/>
        <v>185.10000000000582</v>
      </c>
      <c r="N92" s="271"/>
      <c r="O92" s="76"/>
      <c r="P92" s="518"/>
      <c r="Q92" s="397"/>
    </row>
    <row r="93" spans="1:17" s="65" customFormat="1" hidden="1">
      <c r="A93" s="278" t="s">
        <v>20</v>
      </c>
      <c r="B93" s="279" t="s">
        <v>170</v>
      </c>
      <c r="C93" s="280">
        <v>42823</v>
      </c>
      <c r="D93" s="228" t="s">
        <v>16</v>
      </c>
      <c r="E93" s="281">
        <v>294951.15000000002</v>
      </c>
      <c r="F93" s="282">
        <f>+E93*2.42915</f>
        <v>716480.58602250007</v>
      </c>
      <c r="G93" s="283">
        <f t="shared" ref="G93:G135" si="5">+C93+60</f>
        <v>42883</v>
      </c>
      <c r="H93" s="227"/>
      <c r="I93" s="228"/>
      <c r="J93" s="229"/>
      <c r="K93" s="284">
        <f>250000+44800</f>
        <v>294800</v>
      </c>
      <c r="L93" s="259"/>
      <c r="M93" s="285">
        <f t="shared" si="4"/>
        <v>151.15000000002328</v>
      </c>
      <c r="N93" s="257"/>
      <c r="O93" s="53"/>
      <c r="Q93" s="397"/>
    </row>
    <row r="94" spans="1:17" s="65" customFormat="1" hidden="1">
      <c r="A94" s="194" t="s">
        <v>15</v>
      </c>
      <c r="B94" s="195" t="s">
        <v>172</v>
      </c>
      <c r="C94" s="196">
        <v>42849</v>
      </c>
      <c r="D94" s="197" t="s">
        <v>16</v>
      </c>
      <c r="E94" s="198">
        <v>34976.019999999997</v>
      </c>
      <c r="F94" s="199">
        <f>+E94*2.48185</f>
        <v>86805.235237000001</v>
      </c>
      <c r="G94" s="358">
        <f t="shared" si="5"/>
        <v>42909</v>
      </c>
      <c r="H94" s="217"/>
      <c r="I94" s="197"/>
      <c r="J94" s="218"/>
      <c r="K94" s="201">
        <f>15600+9960+9266.92</f>
        <v>34826.92</v>
      </c>
      <c r="L94" s="200"/>
      <c r="M94" s="221">
        <f t="shared" si="4"/>
        <v>149.09999999999854</v>
      </c>
      <c r="N94" s="257"/>
      <c r="O94" s="53"/>
      <c r="Q94" s="397"/>
    </row>
    <row r="95" spans="1:17" s="65" customFormat="1" hidden="1">
      <c r="A95" s="278" t="s">
        <v>20</v>
      </c>
      <c r="B95" s="279" t="s">
        <v>173</v>
      </c>
      <c r="C95" s="280">
        <v>42863</v>
      </c>
      <c r="D95" s="228" t="s">
        <v>16</v>
      </c>
      <c r="E95" s="281">
        <v>184309.16</v>
      </c>
      <c r="F95" s="282">
        <f>+E95*2.6311</f>
        <v>484935.83087599999</v>
      </c>
      <c r="G95" s="283">
        <f t="shared" si="5"/>
        <v>42923</v>
      </c>
      <c r="H95" s="227"/>
      <c r="I95" s="228"/>
      <c r="J95" s="229"/>
      <c r="K95" s="284">
        <f>36000+15000+95000+4000+34200</f>
        <v>184200</v>
      </c>
      <c r="L95" s="259"/>
      <c r="M95" s="285">
        <f t="shared" si="4"/>
        <v>109.16000000000349</v>
      </c>
      <c r="N95" s="257"/>
      <c r="O95" s="53"/>
      <c r="Q95" s="397"/>
    </row>
    <row r="96" spans="1:17" s="65" customFormat="1" hidden="1">
      <c r="A96" s="278" t="s">
        <v>20</v>
      </c>
      <c r="B96" s="279" t="s">
        <v>177</v>
      </c>
      <c r="C96" s="280">
        <v>42898</v>
      </c>
      <c r="D96" s="228" t="s">
        <v>16</v>
      </c>
      <c r="E96" s="281">
        <v>295149.58</v>
      </c>
      <c r="F96" s="282">
        <f>+E96*2.74135</f>
        <v>809108.30113300006</v>
      </c>
      <c r="G96" s="283">
        <f t="shared" si="5"/>
        <v>42958</v>
      </c>
      <c r="H96" s="227"/>
      <c r="I96" s="228"/>
      <c r="J96" s="229"/>
      <c r="K96" s="284">
        <f>70000-34200+86000+111000+62300</f>
        <v>295100</v>
      </c>
      <c r="L96" s="259"/>
      <c r="M96" s="285">
        <f t="shared" si="4"/>
        <v>49.580000000016298</v>
      </c>
      <c r="N96" s="257"/>
      <c r="O96" s="53"/>
      <c r="Q96" s="397"/>
    </row>
    <row r="97" spans="1:22" s="65" customFormat="1">
      <c r="A97" s="264" t="s">
        <v>15</v>
      </c>
      <c r="B97" s="262" t="s">
        <v>178</v>
      </c>
      <c r="C97" s="265">
        <v>42906</v>
      </c>
      <c r="D97" s="164" t="s">
        <v>16</v>
      </c>
      <c r="E97" s="266">
        <v>52992.7</v>
      </c>
      <c r="F97" s="263">
        <f>+E97*2.7377</f>
        <v>145078.11478999999</v>
      </c>
      <c r="G97" s="267">
        <f t="shared" si="5"/>
        <v>42966</v>
      </c>
      <c r="H97" s="165"/>
      <c r="I97" s="164"/>
      <c r="J97" s="268"/>
      <c r="K97" s="167"/>
      <c r="L97" s="166"/>
      <c r="M97" s="220">
        <f t="shared" si="4"/>
        <v>52992.7</v>
      </c>
      <c r="N97" s="257"/>
      <c r="O97" s="53"/>
      <c r="Q97" s="397"/>
    </row>
    <row r="98" spans="1:22" s="65" customFormat="1" hidden="1">
      <c r="A98" s="278" t="s">
        <v>20</v>
      </c>
      <c r="B98" s="279" t="s">
        <v>187</v>
      </c>
      <c r="C98" s="280">
        <v>42933</v>
      </c>
      <c r="D98" s="228" t="s">
        <v>16</v>
      </c>
      <c r="E98" s="281">
        <v>286403.78999999998</v>
      </c>
      <c r="F98" s="282">
        <f>+E98*2.7746</f>
        <v>794655.95573399996</v>
      </c>
      <c r="G98" s="283">
        <f t="shared" si="5"/>
        <v>42993</v>
      </c>
      <c r="H98" s="227"/>
      <c r="I98" s="228"/>
      <c r="J98" s="229"/>
      <c r="K98" s="284">
        <f>180000+47200+7500+51650</f>
        <v>286350</v>
      </c>
      <c r="L98" s="259"/>
      <c r="M98" s="285">
        <f t="shared" si="4"/>
        <v>53.789999999979045</v>
      </c>
      <c r="N98" s="257"/>
      <c r="O98" s="53"/>
      <c r="Q98" s="397"/>
    </row>
    <row r="99" spans="1:22" s="65" customFormat="1" hidden="1">
      <c r="A99" s="194" t="s">
        <v>20</v>
      </c>
      <c r="B99" s="195" t="s">
        <v>193</v>
      </c>
      <c r="C99" s="196">
        <v>42963</v>
      </c>
      <c r="D99" s="197" t="s">
        <v>16</v>
      </c>
      <c r="E99" s="198">
        <v>94511.3</v>
      </c>
      <c r="F99" s="199">
        <f>+E99*2.80685</f>
        <v>265279.04240500001</v>
      </c>
      <c r="G99" s="358">
        <f t="shared" si="5"/>
        <v>43023</v>
      </c>
      <c r="H99" s="217"/>
      <c r="I99" s="197"/>
      <c r="J99" s="218"/>
      <c r="K99" s="201">
        <f>125000-51650+21100</f>
        <v>94450</v>
      </c>
      <c r="L99" s="200"/>
      <c r="M99" s="221">
        <f t="shared" si="4"/>
        <v>61.30000000000291</v>
      </c>
      <c r="N99" s="257"/>
      <c r="O99" s="53"/>
      <c r="Q99" s="397"/>
    </row>
    <row r="100" spans="1:22" s="65" customFormat="1" hidden="1">
      <c r="A100" s="194" t="s">
        <v>20</v>
      </c>
      <c r="B100" s="195" t="s">
        <v>195</v>
      </c>
      <c r="C100" s="196">
        <v>42975</v>
      </c>
      <c r="D100" s="197" t="s">
        <v>16</v>
      </c>
      <c r="E100" s="198">
        <v>278132.68</v>
      </c>
      <c r="F100" s="199">
        <f>+E100*2.88515</f>
        <v>802454.50170199992</v>
      </c>
      <c r="G100" s="358">
        <f t="shared" si="5"/>
        <v>43035</v>
      </c>
      <c r="H100" s="217"/>
      <c r="I100" s="197"/>
      <c r="J100" s="218"/>
      <c r="K100" s="201">
        <f>100000-21100+102000+97200</f>
        <v>278100</v>
      </c>
      <c r="L100" s="200"/>
      <c r="M100" s="221">
        <f t="shared" si="4"/>
        <v>32.679999999993015</v>
      </c>
      <c r="N100" s="257"/>
      <c r="O100" s="53"/>
      <c r="Q100" s="397"/>
    </row>
    <row r="101" spans="1:22" s="65" customFormat="1" hidden="1">
      <c r="A101" s="194" t="s">
        <v>20</v>
      </c>
      <c r="B101" s="195" t="s">
        <v>200</v>
      </c>
      <c r="C101" s="196">
        <v>43010</v>
      </c>
      <c r="D101" s="197" t="s">
        <v>16</v>
      </c>
      <c r="E101" s="198">
        <v>94696.34</v>
      </c>
      <c r="F101" s="199">
        <f>+E101*2.8948</f>
        <v>274126.96503199998</v>
      </c>
      <c r="G101" s="358">
        <f t="shared" si="5"/>
        <v>43070</v>
      </c>
      <c r="H101" s="217"/>
      <c r="I101" s="197"/>
      <c r="J101" s="218"/>
      <c r="K101" s="201">
        <v>94650</v>
      </c>
      <c r="L101" s="200"/>
      <c r="M101" s="221">
        <f t="shared" si="4"/>
        <v>46.339999999996508</v>
      </c>
      <c r="N101" s="257"/>
      <c r="O101" s="53"/>
      <c r="Q101" s="397"/>
    </row>
    <row r="102" spans="1:22" s="65" customFormat="1" hidden="1">
      <c r="A102" s="194" t="s">
        <v>20</v>
      </c>
      <c r="B102" s="195" t="s">
        <v>202</v>
      </c>
      <c r="C102" s="196">
        <v>43019</v>
      </c>
      <c r="D102" s="197" t="s">
        <v>16</v>
      </c>
      <c r="E102" s="198">
        <v>87025.13</v>
      </c>
      <c r="F102" s="199">
        <f>+E102*2.902</f>
        <v>252546.92726000003</v>
      </c>
      <c r="G102" s="358">
        <f t="shared" si="5"/>
        <v>43079</v>
      </c>
      <c r="H102" s="217"/>
      <c r="I102" s="197"/>
      <c r="J102" s="218"/>
      <c r="K102" s="201">
        <f>8150+78800</f>
        <v>86950</v>
      </c>
      <c r="L102" s="200"/>
      <c r="M102" s="221">
        <f t="shared" si="4"/>
        <v>75.130000000004657</v>
      </c>
      <c r="N102" s="257"/>
      <c r="O102" s="53"/>
      <c r="Q102" s="397"/>
    </row>
    <row r="103" spans="1:22" s="65" customFormat="1" hidden="1">
      <c r="A103" s="194" t="s">
        <v>20</v>
      </c>
      <c r="B103" s="195" t="s">
        <v>204</v>
      </c>
      <c r="C103" s="196">
        <v>43026</v>
      </c>
      <c r="D103" s="197" t="s">
        <v>16</v>
      </c>
      <c r="E103" s="198">
        <v>98676.9</v>
      </c>
      <c r="F103" s="199">
        <f>+E103*2.89915</f>
        <v>286079.13463499997</v>
      </c>
      <c r="G103" s="358">
        <f t="shared" si="5"/>
        <v>43086</v>
      </c>
      <c r="H103" s="217"/>
      <c r="I103" s="197"/>
      <c r="J103" s="218"/>
      <c r="K103" s="201">
        <v>98600</v>
      </c>
      <c r="L103" s="200"/>
      <c r="M103" s="221">
        <f t="shared" si="4"/>
        <v>76.899999999994179</v>
      </c>
      <c r="N103" s="257"/>
      <c r="O103" s="53"/>
      <c r="Q103" s="397"/>
    </row>
    <row r="104" spans="1:22" s="65" customFormat="1" hidden="1">
      <c r="A104" s="194" t="s">
        <v>20</v>
      </c>
      <c r="B104" s="195" t="s">
        <v>205</v>
      </c>
      <c r="C104" s="196">
        <v>43031</v>
      </c>
      <c r="D104" s="197" t="s">
        <v>16</v>
      </c>
      <c r="E104" s="198">
        <v>90761.4</v>
      </c>
      <c r="F104" s="199">
        <f>+E104*2.9083</f>
        <v>263961.37962000002</v>
      </c>
      <c r="G104" s="358">
        <f t="shared" si="5"/>
        <v>43091</v>
      </c>
      <c r="H104" s="217"/>
      <c r="I104" s="197"/>
      <c r="J104" s="218"/>
      <c r="K104" s="201">
        <f>22600+60000+8100</f>
        <v>90700</v>
      </c>
      <c r="L104" s="200"/>
      <c r="M104" s="221">
        <f t="shared" si="4"/>
        <v>61.399999999994179</v>
      </c>
      <c r="N104" s="257"/>
      <c r="O104" s="53"/>
      <c r="Q104" s="397"/>
    </row>
    <row r="105" spans="1:22" s="65" customFormat="1" hidden="1">
      <c r="A105" s="194" t="s">
        <v>20</v>
      </c>
      <c r="B105" s="195" t="s">
        <v>209</v>
      </c>
      <c r="C105" s="196">
        <v>43035</v>
      </c>
      <c r="D105" s="197" t="s">
        <v>16</v>
      </c>
      <c r="E105" s="198">
        <v>101159.6</v>
      </c>
      <c r="F105" s="199">
        <f>+E105*2.9096</f>
        <v>294333.97216000006</v>
      </c>
      <c r="G105" s="358">
        <f t="shared" si="5"/>
        <v>43095</v>
      </c>
      <c r="H105" s="217"/>
      <c r="I105" s="197"/>
      <c r="J105" s="218"/>
      <c r="K105" s="201">
        <f>62000-8100+47200</f>
        <v>101100</v>
      </c>
      <c r="L105" s="200"/>
      <c r="M105" s="221">
        <f t="shared" si="4"/>
        <v>59.600000000005821</v>
      </c>
      <c r="N105" s="257"/>
      <c r="O105" s="53"/>
      <c r="Q105" s="397"/>
    </row>
    <row r="106" spans="1:22" s="65" customFormat="1" hidden="1">
      <c r="A106" s="194" t="s">
        <v>20</v>
      </c>
      <c r="B106" s="195" t="s">
        <v>210</v>
      </c>
      <c r="C106" s="196">
        <v>43041</v>
      </c>
      <c r="D106" s="197" t="s">
        <v>16</v>
      </c>
      <c r="E106" s="198">
        <v>101167.8</v>
      </c>
      <c r="F106" s="199">
        <f>+E106*2.8951</f>
        <v>292890.89778</v>
      </c>
      <c r="G106" s="358">
        <f t="shared" si="5"/>
        <v>43101</v>
      </c>
      <c r="H106" s="217"/>
      <c r="I106" s="197"/>
      <c r="J106" s="218"/>
      <c r="K106" s="201">
        <f>70000-47200+78350</f>
        <v>101150</v>
      </c>
      <c r="L106" s="200"/>
      <c r="M106" s="221">
        <f t="shared" si="4"/>
        <v>17.80000000000291</v>
      </c>
      <c r="N106" s="257"/>
      <c r="O106" s="53"/>
      <c r="P106" s="399"/>
      <c r="Q106" s="397"/>
    </row>
    <row r="107" spans="1:22" s="65" customFormat="1" hidden="1">
      <c r="A107" s="194" t="s">
        <v>20</v>
      </c>
      <c r="B107" s="195" t="s">
        <v>211</v>
      </c>
      <c r="C107" s="196">
        <v>43048</v>
      </c>
      <c r="D107" s="197" t="s">
        <v>16</v>
      </c>
      <c r="E107" s="198">
        <v>96608.7</v>
      </c>
      <c r="F107" s="199">
        <f>+E107*2.8966</f>
        <v>279836.76041999995</v>
      </c>
      <c r="G107" s="358">
        <f t="shared" si="5"/>
        <v>43108</v>
      </c>
      <c r="H107" s="217"/>
      <c r="I107" s="197"/>
      <c r="J107" s="218"/>
      <c r="K107" s="201">
        <v>96550.7</v>
      </c>
      <c r="L107" s="200"/>
      <c r="M107" s="221">
        <f t="shared" si="4"/>
        <v>58</v>
      </c>
      <c r="N107" s="257"/>
      <c r="O107" s="53"/>
      <c r="P107" s="399"/>
      <c r="Q107" s="397"/>
      <c r="S107" s="398"/>
      <c r="T107" s="398"/>
      <c r="U107" s="398"/>
    </row>
    <row r="108" spans="1:22" s="65" customFormat="1" hidden="1">
      <c r="A108" s="194" t="s">
        <v>20</v>
      </c>
      <c r="B108" s="195" t="s">
        <v>213</v>
      </c>
      <c r="C108" s="196">
        <v>43055</v>
      </c>
      <c r="D108" s="197" t="s">
        <v>16</v>
      </c>
      <c r="E108" s="198">
        <v>97238.05</v>
      </c>
      <c r="F108" s="199">
        <f>+E108*2.9226</f>
        <v>284187.92493000004</v>
      </c>
      <c r="G108" s="358">
        <f t="shared" si="5"/>
        <v>43115</v>
      </c>
      <c r="H108" s="217"/>
      <c r="I108" s="197"/>
      <c r="J108" s="218"/>
      <c r="K108" s="201">
        <f>35099.3+62100</f>
        <v>97199.3</v>
      </c>
      <c r="L108" s="200"/>
      <c r="M108" s="221">
        <f t="shared" si="4"/>
        <v>38.75</v>
      </c>
      <c r="N108" s="257"/>
      <c r="O108" s="53"/>
      <c r="P108" s="399"/>
      <c r="Q108" s="397"/>
      <c r="R108" s="399"/>
      <c r="S108" s="399"/>
      <c r="T108" s="399"/>
      <c r="U108" s="399"/>
    </row>
    <row r="109" spans="1:22" s="65" customFormat="1" hidden="1">
      <c r="A109" s="194" t="s">
        <v>20</v>
      </c>
      <c r="B109" s="195" t="s">
        <v>215</v>
      </c>
      <c r="C109" s="196">
        <v>43060</v>
      </c>
      <c r="D109" s="197" t="s">
        <v>16</v>
      </c>
      <c r="E109" s="198">
        <v>98581.08</v>
      </c>
      <c r="F109" s="199">
        <f>+E109*2.9136</f>
        <v>287225.83468800003</v>
      </c>
      <c r="G109" s="358">
        <f t="shared" si="5"/>
        <v>43120</v>
      </c>
      <c r="H109" s="217"/>
      <c r="I109" s="197"/>
      <c r="J109" s="218"/>
      <c r="K109" s="201">
        <f>120000-62100+40600</f>
        <v>98500</v>
      </c>
      <c r="L109" s="200"/>
      <c r="M109" s="221">
        <f t="shared" si="4"/>
        <v>81.080000000001746</v>
      </c>
      <c r="N109" s="257"/>
      <c r="O109" s="53"/>
      <c r="P109" s="399"/>
      <c r="Q109" s="397"/>
      <c r="R109" s="399"/>
      <c r="S109" s="399"/>
      <c r="T109" s="399"/>
      <c r="U109" s="399"/>
    </row>
    <row r="110" spans="1:22" s="65" customFormat="1" hidden="1">
      <c r="A110" s="194" t="s">
        <v>20</v>
      </c>
      <c r="B110" s="195" t="s">
        <v>216</v>
      </c>
      <c r="C110" s="196">
        <v>43062</v>
      </c>
      <c r="D110" s="197" t="s">
        <v>16</v>
      </c>
      <c r="E110" s="198">
        <v>98946.8</v>
      </c>
      <c r="F110" s="199">
        <f>+E110*2.9144</f>
        <v>288370.55392000003</v>
      </c>
      <c r="G110" s="358">
        <f t="shared" si="5"/>
        <v>43122</v>
      </c>
      <c r="H110" s="217"/>
      <c r="I110" s="197"/>
      <c r="J110" s="218"/>
      <c r="K110" s="201">
        <v>98900</v>
      </c>
      <c r="L110" s="200"/>
      <c r="M110" s="221">
        <f t="shared" si="4"/>
        <v>46.80000000000291</v>
      </c>
      <c r="N110" s="257"/>
      <c r="O110" s="53"/>
      <c r="Q110" s="397"/>
      <c r="R110" s="399"/>
      <c r="S110" s="399"/>
      <c r="T110" s="399"/>
      <c r="U110" s="399"/>
    </row>
    <row r="111" spans="1:22" s="65" customFormat="1" hidden="1">
      <c r="A111" s="194" t="s">
        <v>20</v>
      </c>
      <c r="B111" s="195" t="s">
        <v>219</v>
      </c>
      <c r="C111" s="196">
        <v>43075</v>
      </c>
      <c r="D111" s="197" t="s">
        <v>16</v>
      </c>
      <c r="E111" s="198">
        <v>185065.83</v>
      </c>
      <c r="F111" s="199">
        <f>+E111*2.9164</f>
        <v>539725.98661199992</v>
      </c>
      <c r="G111" s="358">
        <f t="shared" si="5"/>
        <v>43135</v>
      </c>
      <c r="H111" s="217"/>
      <c r="I111" s="197"/>
      <c r="J111" s="218"/>
      <c r="K111" s="201">
        <f>11500+46500+90000+37000</f>
        <v>185000</v>
      </c>
      <c r="L111" s="200"/>
      <c r="M111" s="221">
        <f t="shared" si="4"/>
        <v>65.829999999987194</v>
      </c>
      <c r="N111" s="257"/>
      <c r="O111" s="53"/>
      <c r="Q111" s="397"/>
      <c r="R111" s="399"/>
      <c r="S111" s="399"/>
      <c r="U111" s="399"/>
      <c r="V111" s="399"/>
    </row>
    <row r="112" spans="1:22" s="65" customFormat="1">
      <c r="A112" s="55" t="s">
        <v>15</v>
      </c>
      <c r="B112" s="56" t="s">
        <v>220</v>
      </c>
      <c r="C112" s="57">
        <v>43075</v>
      </c>
      <c r="D112" s="61" t="s">
        <v>16</v>
      </c>
      <c r="E112" s="58">
        <v>14634.52</v>
      </c>
      <c r="F112" s="59">
        <f>+E112*2.9164</f>
        <v>42680.114128000001</v>
      </c>
      <c r="G112" s="60">
        <f t="shared" si="5"/>
        <v>43135</v>
      </c>
      <c r="H112" s="192"/>
      <c r="I112" s="61"/>
      <c r="J112" s="191"/>
      <c r="K112" s="63"/>
      <c r="L112" s="62"/>
      <c r="M112" s="238">
        <f t="shared" si="4"/>
        <v>14634.52</v>
      </c>
      <c r="N112" s="257"/>
      <c r="O112" s="53"/>
      <c r="P112" s="397"/>
      <c r="Q112" s="397"/>
    </row>
    <row r="113" spans="1:17" s="65" customFormat="1" hidden="1">
      <c r="A113" s="194" t="s">
        <v>20</v>
      </c>
      <c r="B113" s="195" t="s">
        <v>223</v>
      </c>
      <c r="C113" s="196">
        <v>43082</v>
      </c>
      <c r="D113" s="197" t="s">
        <v>16</v>
      </c>
      <c r="E113" s="198">
        <v>168283.6</v>
      </c>
      <c r="F113" s="199">
        <f>+E113*2.9163</f>
        <v>490765.46268000006</v>
      </c>
      <c r="G113" s="358">
        <f t="shared" si="5"/>
        <v>43142</v>
      </c>
      <c r="H113" s="217"/>
      <c r="I113" s="197"/>
      <c r="J113" s="218"/>
      <c r="K113" s="201">
        <f>128000-37000+54980+22200</f>
        <v>168180</v>
      </c>
      <c r="L113" s="200"/>
      <c r="M113" s="221">
        <f t="shared" si="4"/>
        <v>103.60000000000582</v>
      </c>
      <c r="N113" s="257"/>
      <c r="O113" s="53"/>
      <c r="P113" s="397"/>
      <c r="Q113" s="397"/>
    </row>
    <row r="114" spans="1:17" s="65" customFormat="1" hidden="1">
      <c r="A114" s="194" t="s">
        <v>20</v>
      </c>
      <c r="B114" s="195" t="s">
        <v>224</v>
      </c>
      <c r="C114" s="196">
        <v>43083</v>
      </c>
      <c r="D114" s="197" t="s">
        <v>16</v>
      </c>
      <c r="E114" s="198">
        <v>88099.11</v>
      </c>
      <c r="F114" s="199">
        <f>+E114*2.9163</f>
        <v>256923.43449300001</v>
      </c>
      <c r="G114" s="358">
        <f t="shared" si="5"/>
        <v>43143</v>
      </c>
      <c r="H114" s="217"/>
      <c r="I114" s="197"/>
      <c r="J114" s="218"/>
      <c r="K114" s="201">
        <f>49985-22200+50000+10300</f>
        <v>88085</v>
      </c>
      <c r="L114" s="200"/>
      <c r="M114" s="221">
        <f t="shared" si="4"/>
        <v>14.110000000000582</v>
      </c>
      <c r="N114" s="257"/>
      <c r="O114" s="53"/>
      <c r="Q114" s="397"/>
    </row>
    <row r="115" spans="1:17" s="65" customFormat="1" hidden="1">
      <c r="A115" s="194" t="s">
        <v>20</v>
      </c>
      <c r="B115" s="195" t="s">
        <v>227</v>
      </c>
      <c r="C115" s="196">
        <v>43091</v>
      </c>
      <c r="D115" s="197" t="s">
        <v>16</v>
      </c>
      <c r="E115" s="198">
        <v>97608.05</v>
      </c>
      <c r="F115" s="199">
        <f>+E115*2.92675</f>
        <v>285674.36033750005</v>
      </c>
      <c r="G115" s="358">
        <f t="shared" si="5"/>
        <v>43151</v>
      </c>
      <c r="H115" s="217"/>
      <c r="I115" s="197"/>
      <c r="J115" s="218"/>
      <c r="K115" s="201">
        <v>97600</v>
      </c>
      <c r="L115" s="200"/>
      <c r="M115" s="221">
        <f t="shared" si="4"/>
        <v>8.0500000000029104</v>
      </c>
      <c r="N115" s="257"/>
      <c r="O115" s="53"/>
      <c r="Q115" s="397"/>
    </row>
    <row r="116" spans="1:17" s="65" customFormat="1" hidden="1">
      <c r="A116" s="194" t="s">
        <v>20</v>
      </c>
      <c r="B116" s="195" t="s">
        <v>229</v>
      </c>
      <c r="C116" s="196">
        <v>43104</v>
      </c>
      <c r="D116" s="197" t="s">
        <v>16</v>
      </c>
      <c r="E116" s="198">
        <v>102081.42</v>
      </c>
      <c r="F116" s="199">
        <f>+E116*2.94</f>
        <v>300119.37479999999</v>
      </c>
      <c r="G116" s="358">
        <f t="shared" si="5"/>
        <v>43164</v>
      </c>
      <c r="H116" s="217"/>
      <c r="I116" s="197"/>
      <c r="J116" s="218"/>
      <c r="K116" s="201">
        <f>11600+80500+9900</f>
        <v>102000</v>
      </c>
      <c r="L116" s="200"/>
      <c r="M116" s="221">
        <f t="shared" si="4"/>
        <v>81.419999999998254</v>
      </c>
      <c r="N116" s="257"/>
      <c r="O116" s="53"/>
      <c r="Q116" s="397"/>
    </row>
    <row r="117" spans="1:17" s="65" customFormat="1">
      <c r="A117" s="55" t="s">
        <v>20</v>
      </c>
      <c r="B117" s="56" t="s">
        <v>230</v>
      </c>
      <c r="C117" s="57">
        <v>43109</v>
      </c>
      <c r="D117" s="61" t="s">
        <v>16</v>
      </c>
      <c r="E117" s="58">
        <v>93737.67</v>
      </c>
      <c r="F117" s="59">
        <f>+E117*2.9394</f>
        <v>275532.50719799998</v>
      </c>
      <c r="G117" s="60">
        <f t="shared" si="5"/>
        <v>43169</v>
      </c>
      <c r="H117" s="192"/>
      <c r="I117" s="61"/>
      <c r="J117" s="191"/>
      <c r="K117" s="63">
        <f>41000-9900</f>
        <v>31100</v>
      </c>
      <c r="L117" s="62"/>
      <c r="M117" s="238">
        <f t="shared" si="4"/>
        <v>62637.67</v>
      </c>
      <c r="N117" s="257"/>
      <c r="O117" s="53"/>
      <c r="Q117" s="397"/>
    </row>
    <row r="118" spans="1:17" s="65" customFormat="1">
      <c r="A118" s="55" t="s">
        <v>232</v>
      </c>
      <c r="B118" s="56" t="s">
        <v>242</v>
      </c>
      <c r="C118" s="57">
        <v>43147</v>
      </c>
      <c r="D118" s="61" t="s">
        <v>16</v>
      </c>
      <c r="E118" s="58">
        <v>73120.639999999999</v>
      </c>
      <c r="F118" s="59">
        <f>+E118*2.9473</f>
        <v>215508.46227199998</v>
      </c>
      <c r="G118" s="60">
        <f t="shared" si="5"/>
        <v>43207</v>
      </c>
      <c r="H118" s="192"/>
      <c r="I118" s="61"/>
      <c r="J118" s="191"/>
      <c r="K118" s="63">
        <f>40000+30000</f>
        <v>70000</v>
      </c>
      <c r="L118" s="62"/>
      <c r="M118" s="238">
        <f t="shared" si="4"/>
        <v>3120.6399999999994</v>
      </c>
      <c r="N118" s="257"/>
      <c r="O118" s="53"/>
      <c r="Q118" s="397"/>
    </row>
    <row r="119" spans="1:17" s="65" customFormat="1" hidden="1">
      <c r="A119" s="194" t="s">
        <v>20</v>
      </c>
      <c r="B119" s="195" t="s">
        <v>246</v>
      </c>
      <c r="C119" s="196">
        <v>43165</v>
      </c>
      <c r="D119" s="197" t="s">
        <v>9</v>
      </c>
      <c r="E119" s="198"/>
      <c r="F119" s="199">
        <v>501228</v>
      </c>
      <c r="G119" s="358">
        <f t="shared" si="5"/>
        <v>43225</v>
      </c>
      <c r="H119" s="217"/>
      <c r="I119" s="197"/>
      <c r="J119" s="218"/>
      <c r="K119" s="201">
        <v>493175.53399999999</v>
      </c>
      <c r="L119" s="200"/>
      <c r="M119" s="221">
        <f>F119-K119</f>
        <v>8052.4660000000149</v>
      </c>
      <c r="N119" s="257"/>
      <c r="O119" s="53"/>
      <c r="Q119" s="397"/>
    </row>
    <row r="120" spans="1:17" s="65" customFormat="1" hidden="1">
      <c r="A120" s="194" t="s">
        <v>244</v>
      </c>
      <c r="B120" s="195" t="s">
        <v>245</v>
      </c>
      <c r="C120" s="196">
        <v>43174</v>
      </c>
      <c r="D120" s="197" t="s">
        <v>16</v>
      </c>
      <c r="E120" s="198">
        <v>74078.350000000006</v>
      </c>
      <c r="F120" s="199">
        <f>+E120*2.9419</f>
        <v>217931.09786500002</v>
      </c>
      <c r="G120" s="358">
        <f t="shared" si="5"/>
        <v>43234</v>
      </c>
      <c r="H120" s="217"/>
      <c r="I120" s="197"/>
      <c r="J120" s="218"/>
      <c r="K120" s="201">
        <f>5*12500+11578.35</f>
        <v>74078.350000000006</v>
      </c>
      <c r="L120" s="200"/>
      <c r="M120" s="221">
        <f t="shared" si="4"/>
        <v>0</v>
      </c>
      <c r="N120" s="257"/>
      <c r="O120" s="53"/>
      <c r="Q120" s="397"/>
    </row>
    <row r="121" spans="1:17" s="65" customFormat="1">
      <c r="A121" s="55" t="s">
        <v>20</v>
      </c>
      <c r="B121" s="56" t="s">
        <v>251</v>
      </c>
      <c r="C121" s="57">
        <v>43206</v>
      </c>
      <c r="D121" s="61" t="s">
        <v>16</v>
      </c>
      <c r="E121" s="58">
        <v>85002.64</v>
      </c>
      <c r="F121" s="59">
        <f>+E121*2.9521</f>
        <v>250936.29354400001</v>
      </c>
      <c r="G121" s="60">
        <f t="shared" si="5"/>
        <v>43266</v>
      </c>
      <c r="H121" s="192"/>
      <c r="I121" s="61"/>
      <c r="J121" s="191"/>
      <c r="K121" s="63"/>
      <c r="L121" s="62"/>
      <c r="M121" s="238">
        <f t="shared" si="4"/>
        <v>85002.64</v>
      </c>
      <c r="N121" s="257"/>
      <c r="O121" s="53"/>
      <c r="Q121" s="397"/>
    </row>
    <row r="122" spans="1:17" s="65" customFormat="1" hidden="1">
      <c r="A122" s="194" t="s">
        <v>244</v>
      </c>
      <c r="B122" s="195" t="s">
        <v>259</v>
      </c>
      <c r="C122" s="196">
        <v>43209</v>
      </c>
      <c r="D122" s="197" t="s">
        <v>16</v>
      </c>
      <c r="E122" s="198">
        <v>9990.2800000000007</v>
      </c>
      <c r="F122" s="199">
        <f>+E122*2.9558</f>
        <v>29529.269624</v>
      </c>
      <c r="G122" s="358">
        <f t="shared" si="5"/>
        <v>43269</v>
      </c>
      <c r="H122" s="217"/>
      <c r="I122" s="197"/>
      <c r="J122" s="218"/>
      <c r="K122" s="201">
        <v>9990.2800000000007</v>
      </c>
      <c r="L122" s="200"/>
      <c r="M122" s="221">
        <f t="shared" si="4"/>
        <v>0</v>
      </c>
      <c r="N122" s="257"/>
      <c r="O122" s="53"/>
      <c r="Q122" s="397"/>
    </row>
    <row r="123" spans="1:17" s="65" customFormat="1" hidden="1">
      <c r="A123" s="194" t="s">
        <v>244</v>
      </c>
      <c r="B123" s="195" t="s">
        <v>250</v>
      </c>
      <c r="C123" s="196">
        <v>43213</v>
      </c>
      <c r="D123" s="197" t="s">
        <v>16</v>
      </c>
      <c r="E123" s="198">
        <v>70110.52</v>
      </c>
      <c r="F123" s="199">
        <f>+E123*2.95395</f>
        <v>207102.970554</v>
      </c>
      <c r="G123" s="358">
        <f t="shared" si="5"/>
        <v>43273</v>
      </c>
      <c r="H123" s="217"/>
      <c r="I123" s="197"/>
      <c r="J123" s="218"/>
      <c r="K123" s="201">
        <f>12500+12500+12500+12500+12500+7610.52</f>
        <v>70110.52</v>
      </c>
      <c r="L123" s="200"/>
      <c r="M123" s="221">
        <f t="shared" si="4"/>
        <v>0</v>
      </c>
      <c r="N123" s="257"/>
      <c r="O123" s="53"/>
      <c r="Q123" s="397"/>
    </row>
    <row r="124" spans="1:17" s="65" customFormat="1">
      <c r="A124" s="55" t="s">
        <v>20</v>
      </c>
      <c r="B124" s="56" t="s">
        <v>264</v>
      </c>
      <c r="C124" s="57">
        <v>43236</v>
      </c>
      <c r="D124" s="61" t="s">
        <v>16</v>
      </c>
      <c r="E124" s="58">
        <v>92220.66</v>
      </c>
      <c r="F124" s="59">
        <f>E124*2.97195</f>
        <v>274075.19048700004</v>
      </c>
      <c r="G124" s="60">
        <f t="shared" si="5"/>
        <v>43296</v>
      </c>
      <c r="H124" s="192"/>
      <c r="I124" s="61"/>
      <c r="J124" s="191"/>
      <c r="K124" s="63"/>
      <c r="L124" s="62"/>
      <c r="M124" s="238">
        <f t="shared" si="4"/>
        <v>92220.66</v>
      </c>
      <c r="N124" s="257"/>
      <c r="O124" s="53"/>
      <c r="Q124" s="397"/>
    </row>
    <row r="125" spans="1:17" s="65" customFormat="1" hidden="1">
      <c r="A125" s="194" t="s">
        <v>244</v>
      </c>
      <c r="B125" s="195" t="s">
        <v>263</v>
      </c>
      <c r="C125" s="196">
        <v>43235</v>
      </c>
      <c r="D125" s="197" t="s">
        <v>16</v>
      </c>
      <c r="E125" s="198">
        <v>59539.5</v>
      </c>
      <c r="F125" s="199">
        <f>+E125*2.97945</f>
        <v>177394.96327499999</v>
      </c>
      <c r="G125" s="358">
        <f t="shared" si="5"/>
        <v>43295</v>
      </c>
      <c r="H125" s="217"/>
      <c r="I125" s="197"/>
      <c r="J125" s="218"/>
      <c r="K125" s="201">
        <f>12500+12500+12500+12500+9539.5</f>
        <v>59539.5</v>
      </c>
      <c r="L125" s="200"/>
      <c r="M125" s="221">
        <f t="shared" si="4"/>
        <v>0</v>
      </c>
      <c r="N125" s="257"/>
      <c r="O125" s="53"/>
      <c r="Q125" s="397"/>
    </row>
    <row r="126" spans="1:17" s="65" customFormat="1" hidden="1">
      <c r="A126" s="194" t="s">
        <v>244</v>
      </c>
      <c r="B126" s="195" t="s">
        <v>265</v>
      </c>
      <c r="C126" s="196">
        <v>43243</v>
      </c>
      <c r="D126" s="197" t="s">
        <v>16</v>
      </c>
      <c r="E126" s="198">
        <v>64244.86</v>
      </c>
      <c r="F126" s="199">
        <f>+E126*2.97525</f>
        <v>191144.519715</v>
      </c>
      <c r="G126" s="358">
        <f t="shared" si="5"/>
        <v>43303</v>
      </c>
      <c r="H126" s="217"/>
      <c r="I126" s="197"/>
      <c r="J126" s="218"/>
      <c r="K126" s="201">
        <f>12500+12500+12500+12500+12500+1744.86</f>
        <v>64244.86</v>
      </c>
      <c r="L126" s="200"/>
      <c r="M126" s="221">
        <f t="shared" si="4"/>
        <v>0</v>
      </c>
      <c r="N126" s="257"/>
      <c r="O126" s="53"/>
      <c r="Q126" s="397"/>
    </row>
    <row r="127" spans="1:17" s="65" customFormat="1">
      <c r="A127" s="55" t="s">
        <v>20</v>
      </c>
      <c r="B127" s="56" t="s">
        <v>270</v>
      </c>
      <c r="C127" s="57">
        <v>43251</v>
      </c>
      <c r="D127" s="61" t="s">
        <v>16</v>
      </c>
      <c r="E127" s="58">
        <v>96319.08</v>
      </c>
      <c r="F127" s="59">
        <f>+E127*2.99085</f>
        <v>288075.92041800002</v>
      </c>
      <c r="G127" s="60">
        <f t="shared" si="5"/>
        <v>43311</v>
      </c>
      <c r="H127" s="192"/>
      <c r="I127" s="61"/>
      <c r="J127" s="191"/>
      <c r="K127" s="63"/>
      <c r="L127" s="62"/>
      <c r="M127" s="238">
        <f t="shared" si="4"/>
        <v>96319.08</v>
      </c>
      <c r="N127" s="257"/>
      <c r="O127" s="53"/>
      <c r="Q127" s="397"/>
    </row>
    <row r="128" spans="1:17" s="65" customFormat="1">
      <c r="A128" s="55" t="s">
        <v>244</v>
      </c>
      <c r="B128" s="56" t="s">
        <v>272</v>
      </c>
      <c r="C128" s="57">
        <v>43262</v>
      </c>
      <c r="D128" s="61" t="s">
        <v>16</v>
      </c>
      <c r="E128" s="58">
        <v>62886.3</v>
      </c>
      <c r="F128" s="59">
        <f>+E128*3.01205</f>
        <v>189416.67991500002</v>
      </c>
      <c r="G128" s="60">
        <f t="shared" si="5"/>
        <v>43322</v>
      </c>
      <c r="H128" s="192"/>
      <c r="I128" s="61"/>
      <c r="J128" s="191"/>
      <c r="K128" s="63">
        <f>10000+11886.3+12500</f>
        <v>34386.300000000003</v>
      </c>
      <c r="L128" s="62"/>
      <c r="M128" s="238">
        <f t="shared" si="4"/>
        <v>28500</v>
      </c>
      <c r="N128" s="257"/>
      <c r="O128" s="53"/>
      <c r="Q128" s="397"/>
    </row>
    <row r="129" spans="1:17" s="65" customFormat="1">
      <c r="A129" s="55" t="s">
        <v>20</v>
      </c>
      <c r="B129" s="56" t="s">
        <v>271</v>
      </c>
      <c r="C129" s="57">
        <v>43262</v>
      </c>
      <c r="D129" s="61" t="s">
        <v>16</v>
      </c>
      <c r="E129" s="58">
        <v>89476.73</v>
      </c>
      <c r="F129" s="59">
        <f>+E129*3.0199</f>
        <v>270210.77692699997</v>
      </c>
      <c r="G129" s="60">
        <f t="shared" si="5"/>
        <v>43322</v>
      </c>
      <c r="H129" s="192"/>
      <c r="I129" s="61"/>
      <c r="J129" s="191"/>
      <c r="K129" s="63"/>
      <c r="L129" s="62"/>
      <c r="M129" s="238">
        <f t="shared" si="4"/>
        <v>89476.73</v>
      </c>
      <c r="N129" s="257"/>
      <c r="O129" s="53"/>
      <c r="Q129" s="397"/>
    </row>
    <row r="130" spans="1:17" s="65" customFormat="1">
      <c r="A130" s="55" t="s">
        <v>20</v>
      </c>
      <c r="B130" s="56" t="s">
        <v>274</v>
      </c>
      <c r="C130" s="57">
        <v>43291</v>
      </c>
      <c r="D130" s="61" t="s">
        <v>16</v>
      </c>
      <c r="E130" s="58">
        <v>92676.52</v>
      </c>
      <c r="F130" s="59">
        <f>+E130*3.0721</f>
        <v>284711.53709200001</v>
      </c>
      <c r="G130" s="60">
        <f t="shared" si="5"/>
        <v>43351</v>
      </c>
      <c r="H130" s="192"/>
      <c r="I130" s="61"/>
      <c r="J130" s="191"/>
      <c r="K130" s="63"/>
      <c r="L130" s="62"/>
      <c r="M130" s="238">
        <f t="shared" si="4"/>
        <v>92676.52</v>
      </c>
      <c r="N130" s="257"/>
      <c r="O130" s="53"/>
      <c r="Q130" s="397"/>
    </row>
    <row r="131" spans="1:17" s="65" customFormat="1">
      <c r="A131" s="55" t="s">
        <v>244</v>
      </c>
      <c r="B131" s="56" t="s">
        <v>275</v>
      </c>
      <c r="C131" s="57">
        <v>43291</v>
      </c>
      <c r="D131" s="61" t="s">
        <v>16</v>
      </c>
      <c r="E131" s="58">
        <v>70446.11</v>
      </c>
      <c r="F131" s="59">
        <f>+E131*3.0721</f>
        <v>216417.494531</v>
      </c>
      <c r="G131" s="60">
        <f t="shared" si="5"/>
        <v>43351</v>
      </c>
      <c r="H131" s="192"/>
      <c r="I131" s="61"/>
      <c r="J131" s="191"/>
      <c r="K131" s="63"/>
      <c r="L131" s="62"/>
      <c r="M131" s="238">
        <f t="shared" si="4"/>
        <v>70446.11</v>
      </c>
      <c r="N131" s="257"/>
      <c r="O131" s="53"/>
      <c r="Q131" s="397"/>
    </row>
    <row r="132" spans="1:17" s="65" customFormat="1">
      <c r="A132" s="55" t="s">
        <v>20</v>
      </c>
      <c r="B132" s="56" t="s">
        <v>278</v>
      </c>
      <c r="C132" s="57">
        <v>43325</v>
      </c>
      <c r="D132" s="61" t="s">
        <v>16</v>
      </c>
      <c r="E132" s="58">
        <v>91649.06</v>
      </c>
      <c r="F132" s="59">
        <f>+E132*3.1493</f>
        <v>288630.38465800002</v>
      </c>
      <c r="G132" s="60">
        <f t="shared" si="5"/>
        <v>43385</v>
      </c>
      <c r="H132" s="192"/>
      <c r="I132" s="61"/>
      <c r="J132" s="191"/>
      <c r="K132" s="63"/>
      <c r="L132" s="62"/>
      <c r="M132" s="238">
        <f t="shared" si="4"/>
        <v>91649.06</v>
      </c>
      <c r="N132" s="257"/>
      <c r="O132" s="53"/>
      <c r="Q132" s="397"/>
    </row>
    <row r="133" spans="1:17" s="65" customFormat="1">
      <c r="A133" s="55" t="s">
        <v>244</v>
      </c>
      <c r="B133" s="56" t="s">
        <v>748</v>
      </c>
      <c r="C133" s="57">
        <v>43339</v>
      </c>
      <c r="D133" s="61" t="s">
        <v>16</v>
      </c>
      <c r="E133" s="58">
        <v>69666.17</v>
      </c>
      <c r="F133" s="59">
        <f>+E133*3.19445</f>
        <v>222545.09675649999</v>
      </c>
      <c r="G133" s="60">
        <f t="shared" si="5"/>
        <v>43399</v>
      </c>
      <c r="H133" s="192"/>
      <c r="I133" s="61"/>
      <c r="J133" s="191"/>
      <c r="K133" s="63"/>
      <c r="L133" s="62"/>
      <c r="M133" s="238">
        <f t="shared" si="4"/>
        <v>69666.17</v>
      </c>
      <c r="N133" s="257"/>
      <c r="O133" s="53"/>
      <c r="Q133" s="397"/>
    </row>
    <row r="134" spans="1:17" s="65" customFormat="1" ht="12" customHeight="1">
      <c r="A134" s="55" t="s">
        <v>244</v>
      </c>
      <c r="B134" s="56" t="s">
        <v>991</v>
      </c>
      <c r="C134" s="57">
        <v>43367</v>
      </c>
      <c r="D134" s="61" t="s">
        <v>16</v>
      </c>
      <c r="E134" s="58">
        <v>79458.42</v>
      </c>
      <c r="F134" s="59">
        <f>+E134*3.258</f>
        <v>258875.53235999998</v>
      </c>
      <c r="G134" s="60">
        <f t="shared" si="5"/>
        <v>43427</v>
      </c>
      <c r="H134" s="192"/>
      <c r="I134" s="61"/>
      <c r="J134" s="191"/>
      <c r="K134" s="63"/>
      <c r="L134" s="62"/>
      <c r="M134" s="238">
        <f t="shared" si="4"/>
        <v>79458.42</v>
      </c>
      <c r="N134" s="257"/>
      <c r="O134" s="53"/>
      <c r="Q134" s="397"/>
    </row>
    <row r="135" spans="1:17" s="65" customFormat="1" hidden="1">
      <c r="A135" s="278" t="s">
        <v>992</v>
      </c>
      <c r="B135" s="279" t="s">
        <v>1327</v>
      </c>
      <c r="C135" s="280">
        <v>43395</v>
      </c>
      <c r="D135" s="228" t="s">
        <v>16</v>
      </c>
      <c r="E135" s="281">
        <v>41622.879999999997</v>
      </c>
      <c r="F135" s="282">
        <f>+E135*3.2642</f>
        <v>135865.40489599999</v>
      </c>
      <c r="G135" s="283">
        <f t="shared" si="5"/>
        <v>43455</v>
      </c>
      <c r="H135" s="227"/>
      <c r="I135" s="228"/>
      <c r="J135" s="229"/>
      <c r="K135" s="284">
        <f>16454.5+25057.13</f>
        <v>41511.630000000005</v>
      </c>
      <c r="L135" s="259"/>
      <c r="M135" s="285">
        <f t="shared" si="4"/>
        <v>111.24999999999272</v>
      </c>
      <c r="N135" s="257"/>
      <c r="O135" s="53"/>
      <c r="Q135" s="397"/>
    </row>
    <row r="136" spans="1:17" s="65" customFormat="1">
      <c r="A136" s="55" t="s">
        <v>20</v>
      </c>
      <c r="B136" s="56" t="s">
        <v>1067</v>
      </c>
      <c r="C136" s="57">
        <v>43381</v>
      </c>
      <c r="D136" s="61" t="s">
        <v>16</v>
      </c>
      <c r="E136" s="58">
        <v>88658.559999999998</v>
      </c>
      <c r="F136" s="59">
        <f>+E136*3.24755</f>
        <v>287923.10652799997</v>
      </c>
      <c r="G136" s="60">
        <f>+C136+60</f>
        <v>43441</v>
      </c>
      <c r="H136" s="192"/>
      <c r="I136" s="61"/>
      <c r="J136" s="191"/>
      <c r="K136" s="63"/>
      <c r="L136" s="62"/>
      <c r="M136" s="238">
        <f t="shared" ref="M136:M139" si="6">E136-K136</f>
        <v>88658.559999999998</v>
      </c>
      <c r="N136" s="257"/>
      <c r="O136" s="53"/>
      <c r="Q136" s="397"/>
    </row>
    <row r="137" spans="1:17" s="65" customFormat="1">
      <c r="A137" s="55" t="s">
        <v>244</v>
      </c>
      <c r="B137" s="56" t="s">
        <v>1068</v>
      </c>
      <c r="C137" s="57">
        <v>43384</v>
      </c>
      <c r="D137" s="61" t="s">
        <v>16</v>
      </c>
      <c r="E137" s="58">
        <v>64664.99</v>
      </c>
      <c r="F137" s="59">
        <f>+E137*3.2542</f>
        <v>210432.81045799999</v>
      </c>
      <c r="G137" s="60">
        <f>+C137+60</f>
        <v>43444</v>
      </c>
      <c r="H137" s="192"/>
      <c r="I137" s="61"/>
      <c r="J137" s="191"/>
      <c r="K137" s="63"/>
      <c r="L137" s="62"/>
      <c r="M137" s="238">
        <f t="shared" si="6"/>
        <v>64664.99</v>
      </c>
      <c r="N137" s="257"/>
      <c r="O137" s="53"/>
      <c r="Q137" s="397"/>
    </row>
    <row r="138" spans="1:17" s="65" customFormat="1">
      <c r="A138" s="55" t="s">
        <v>244</v>
      </c>
      <c r="B138" s="56" t="s">
        <v>1298</v>
      </c>
      <c r="C138" s="57">
        <v>43409</v>
      </c>
      <c r="D138" s="61" t="s">
        <v>16</v>
      </c>
      <c r="E138" s="58">
        <v>65673.23</v>
      </c>
      <c r="F138" s="59">
        <f>+E138*3.2927</f>
        <v>216242.24442099998</v>
      </c>
      <c r="G138" s="60">
        <f>+C138+60</f>
        <v>43469</v>
      </c>
      <c r="H138" s="192"/>
      <c r="I138" s="61"/>
      <c r="J138" s="191"/>
      <c r="K138" s="63"/>
      <c r="L138" s="62"/>
      <c r="M138" s="238">
        <f t="shared" si="6"/>
        <v>65673.23</v>
      </c>
      <c r="N138" s="257"/>
      <c r="O138" s="53"/>
      <c r="Q138" s="397"/>
    </row>
    <row r="139" spans="1:17" s="65" customFormat="1">
      <c r="A139" s="55" t="s">
        <v>20</v>
      </c>
      <c r="B139" s="56" t="s">
        <v>1328</v>
      </c>
      <c r="C139" s="57">
        <v>43418</v>
      </c>
      <c r="D139" s="61" t="s">
        <v>16</v>
      </c>
      <c r="E139" s="58">
        <v>395277.2</v>
      </c>
      <c r="F139" s="59">
        <f>+E139*3.30095</f>
        <v>1304790.2733400001</v>
      </c>
      <c r="G139" s="60">
        <f>+C139+60</f>
        <v>43478</v>
      </c>
      <c r="H139" s="192"/>
      <c r="I139" s="61"/>
      <c r="J139" s="191"/>
      <c r="K139" s="63"/>
      <c r="L139" s="62"/>
      <c r="M139" s="238">
        <f t="shared" si="6"/>
        <v>395277.2</v>
      </c>
      <c r="N139" s="257"/>
      <c r="O139" s="53"/>
      <c r="Q139" s="397"/>
    </row>
    <row r="140" spans="1:17" s="65" customFormat="1">
      <c r="A140" s="55"/>
      <c r="B140" s="56"/>
      <c r="C140" s="57"/>
      <c r="D140" s="61"/>
      <c r="E140" s="58"/>
      <c r="F140" s="59"/>
      <c r="G140" s="60"/>
      <c r="H140" s="192"/>
      <c r="I140" s="61"/>
      <c r="J140" s="191"/>
      <c r="K140" s="63"/>
      <c r="L140" s="62"/>
      <c r="M140" s="238"/>
      <c r="N140" s="257"/>
      <c r="O140" s="53"/>
      <c r="Q140" s="397"/>
    </row>
    <row r="141" spans="1:17" s="65" customFormat="1" ht="13.5" thickBot="1">
      <c r="A141" s="66"/>
      <c r="B141" s="67"/>
      <c r="C141" s="68"/>
      <c r="D141" s="68"/>
      <c r="E141" s="69"/>
      <c r="F141" s="70"/>
      <c r="G141" s="71"/>
      <c r="H141" s="72"/>
      <c r="I141" s="68"/>
      <c r="J141" s="73"/>
      <c r="K141" s="74"/>
      <c r="L141" s="73"/>
      <c r="M141" s="255"/>
      <c r="N141" s="257"/>
      <c r="O141" s="53"/>
      <c r="Q141" s="397"/>
    </row>
    <row r="142" spans="1:17" ht="13.5" thickBot="1">
      <c r="G142" s="232"/>
    </row>
    <row r="143" spans="1:17" ht="13.5" thickBot="1">
      <c r="A143" s="836" t="s">
        <v>0</v>
      </c>
      <c r="B143" s="834" t="s">
        <v>1</v>
      </c>
      <c r="C143" s="834"/>
      <c r="D143" s="834"/>
      <c r="E143" s="834"/>
      <c r="F143" s="834"/>
      <c r="G143" s="834"/>
      <c r="H143" s="835" t="s">
        <v>2</v>
      </c>
      <c r="I143" s="835"/>
      <c r="J143" s="835"/>
      <c r="K143" s="835" t="s">
        <v>3</v>
      </c>
      <c r="L143" s="835"/>
      <c r="M143" s="836" t="s">
        <v>4</v>
      </c>
    </row>
    <row r="144" spans="1:17" ht="13.5" thickBot="1">
      <c r="A144" s="836"/>
      <c r="B144" s="416" t="s">
        <v>5</v>
      </c>
      <c r="C144" s="416" t="s">
        <v>6</v>
      </c>
      <c r="D144" s="416" t="s">
        <v>7</v>
      </c>
      <c r="E144" s="28" t="s">
        <v>8</v>
      </c>
      <c r="F144" s="27" t="s">
        <v>9</v>
      </c>
      <c r="G144" s="417" t="s">
        <v>10</v>
      </c>
      <c r="H144" s="27" t="s">
        <v>11</v>
      </c>
      <c r="I144" s="416" t="s">
        <v>12</v>
      </c>
      <c r="J144" s="417" t="s">
        <v>13</v>
      </c>
      <c r="K144" s="28" t="s">
        <v>11</v>
      </c>
      <c r="L144" s="417" t="s">
        <v>14</v>
      </c>
      <c r="M144" s="836"/>
    </row>
    <row r="145" spans="1:17" s="26" customFormat="1" hidden="1">
      <c r="A145" s="278" t="s">
        <v>181</v>
      </c>
      <c r="B145" s="279" t="s">
        <v>182</v>
      </c>
      <c r="C145" s="280">
        <v>42922</v>
      </c>
      <c r="D145" s="228" t="s">
        <v>16</v>
      </c>
      <c r="E145" s="281">
        <v>16500</v>
      </c>
      <c r="F145" s="282">
        <f>+E145*2.75975</f>
        <v>45535.875</v>
      </c>
      <c r="G145" s="229">
        <f t="shared" ref="G145:G163" si="7">+C145+60</f>
        <v>42982</v>
      </c>
      <c r="H145" s="227"/>
      <c r="I145" s="280"/>
      <c r="J145" s="229"/>
      <c r="K145" s="284">
        <v>16448</v>
      </c>
      <c r="L145" s="259"/>
      <c r="M145" s="285">
        <f>E145-K145</f>
        <v>52</v>
      </c>
      <c r="N145" s="273"/>
      <c r="O145" s="348"/>
      <c r="Q145" s="273"/>
    </row>
    <row r="146" spans="1:17" s="26" customFormat="1" hidden="1">
      <c r="A146" s="278" t="s">
        <v>181</v>
      </c>
      <c r="B146" s="279" t="s">
        <v>183</v>
      </c>
      <c r="C146" s="280">
        <v>42929</v>
      </c>
      <c r="D146" s="228" t="s">
        <v>16</v>
      </c>
      <c r="E146" s="281">
        <v>6020</v>
      </c>
      <c r="F146" s="282">
        <f>+E146*2.77865</f>
        <v>16727.472999999998</v>
      </c>
      <c r="G146" s="229">
        <f t="shared" si="7"/>
        <v>42989</v>
      </c>
      <c r="H146" s="227"/>
      <c r="I146" s="280"/>
      <c r="J146" s="229"/>
      <c r="K146" s="284">
        <v>6000</v>
      </c>
      <c r="L146" s="259"/>
      <c r="M146" s="285">
        <f t="shared" ref="M146:M163" si="8">E146-K146</f>
        <v>20</v>
      </c>
      <c r="N146" s="273"/>
      <c r="O146" s="294"/>
      <c r="Q146" s="273"/>
    </row>
    <row r="147" spans="1:17" s="26" customFormat="1" hidden="1">
      <c r="A147" s="278" t="s">
        <v>181</v>
      </c>
      <c r="B147" s="279" t="s">
        <v>184</v>
      </c>
      <c r="C147" s="280">
        <v>42936</v>
      </c>
      <c r="D147" s="228" t="s">
        <v>16</v>
      </c>
      <c r="E147" s="281">
        <v>16500</v>
      </c>
      <c r="F147" s="282">
        <f>+E147*2.78795</f>
        <v>46001.174999999996</v>
      </c>
      <c r="G147" s="229">
        <f t="shared" si="7"/>
        <v>42996</v>
      </c>
      <c r="H147" s="227"/>
      <c r="I147" s="280"/>
      <c r="J147" s="229"/>
      <c r="K147" s="284">
        <f>6500+10000</f>
        <v>16500</v>
      </c>
      <c r="L147" s="259"/>
      <c r="M147" s="285">
        <f t="shared" si="8"/>
        <v>0</v>
      </c>
      <c r="N147" s="273"/>
      <c r="O147" s="294"/>
      <c r="Q147" s="273"/>
    </row>
    <row r="148" spans="1:17" s="26" customFormat="1" hidden="1">
      <c r="A148" s="278" t="s">
        <v>181</v>
      </c>
      <c r="B148" s="279" t="s">
        <v>185</v>
      </c>
      <c r="C148" s="280">
        <v>42951</v>
      </c>
      <c r="D148" s="228" t="s">
        <v>16</v>
      </c>
      <c r="E148" s="281">
        <v>11215</v>
      </c>
      <c r="F148" s="282">
        <f>+E148*2.81145</f>
        <v>31530.411749999999</v>
      </c>
      <c r="G148" s="229">
        <f t="shared" si="7"/>
        <v>43011</v>
      </c>
      <c r="H148" s="227"/>
      <c r="I148" s="280"/>
      <c r="J148" s="229"/>
      <c r="K148" s="284">
        <v>11215</v>
      </c>
      <c r="L148" s="259"/>
      <c r="M148" s="285">
        <f t="shared" si="8"/>
        <v>0</v>
      </c>
      <c r="N148" s="273"/>
      <c r="O148" s="294"/>
      <c r="Q148" s="273"/>
    </row>
    <row r="149" spans="1:17" s="26" customFormat="1" hidden="1">
      <c r="A149" s="278" t="s">
        <v>181</v>
      </c>
      <c r="B149" s="279" t="s">
        <v>192</v>
      </c>
      <c r="C149" s="280">
        <v>42958</v>
      </c>
      <c r="D149" s="228" t="s">
        <v>16</v>
      </c>
      <c r="E149" s="281">
        <v>8140</v>
      </c>
      <c r="F149" s="282">
        <f>+E149*2.80365</f>
        <v>22821.711000000003</v>
      </c>
      <c r="G149" s="229">
        <f t="shared" si="7"/>
        <v>43018</v>
      </c>
      <c r="H149" s="227"/>
      <c r="I149" s="280"/>
      <c r="J149" s="229"/>
      <c r="K149" s="284">
        <v>8140</v>
      </c>
      <c r="L149" s="259"/>
      <c r="M149" s="285">
        <f t="shared" si="8"/>
        <v>0</v>
      </c>
      <c r="N149" s="273"/>
      <c r="O149" s="294"/>
      <c r="Q149" s="273"/>
    </row>
    <row r="150" spans="1:17" s="26" customFormat="1" hidden="1">
      <c r="A150" s="278" t="s">
        <v>181</v>
      </c>
      <c r="B150" s="279" t="s">
        <v>194</v>
      </c>
      <c r="C150" s="280">
        <v>42965</v>
      </c>
      <c r="D150" s="228" t="s">
        <v>16</v>
      </c>
      <c r="E150" s="281">
        <v>15050</v>
      </c>
      <c r="F150" s="282">
        <f>+E150*2.80865</f>
        <v>42270.182500000003</v>
      </c>
      <c r="G150" s="229">
        <f t="shared" si="7"/>
        <v>43025</v>
      </c>
      <c r="H150" s="227"/>
      <c r="I150" s="280"/>
      <c r="J150" s="229"/>
      <c r="K150" s="284">
        <v>15000</v>
      </c>
      <c r="L150" s="259"/>
      <c r="M150" s="285">
        <f t="shared" si="8"/>
        <v>50</v>
      </c>
      <c r="N150" s="273"/>
      <c r="O150" s="294"/>
      <c r="Q150" s="273"/>
    </row>
    <row r="151" spans="1:17" s="26" customFormat="1">
      <c r="A151" s="295" t="s">
        <v>181</v>
      </c>
      <c r="B151" s="260" t="s">
        <v>196</v>
      </c>
      <c r="C151" s="296">
        <v>42977</v>
      </c>
      <c r="D151" s="297" t="s">
        <v>16</v>
      </c>
      <c r="E151" s="298">
        <v>30250</v>
      </c>
      <c r="F151" s="261">
        <f>+E151*2.889</f>
        <v>87392.25</v>
      </c>
      <c r="G151" s="299">
        <f t="shared" si="7"/>
        <v>43037</v>
      </c>
      <c r="H151" s="300"/>
      <c r="I151" s="296"/>
      <c r="J151" s="299"/>
      <c r="K151" s="301">
        <f>23714.59-15000+12500</f>
        <v>21214.59</v>
      </c>
      <c r="L151" s="302"/>
      <c r="M151" s="303">
        <f t="shared" si="8"/>
        <v>9035.41</v>
      </c>
      <c r="N151" s="273"/>
      <c r="O151" s="294"/>
      <c r="Q151" s="273"/>
    </row>
    <row r="152" spans="1:17" s="26" customFormat="1" hidden="1">
      <c r="A152" s="278" t="s">
        <v>181</v>
      </c>
      <c r="B152" s="279" t="s">
        <v>197</v>
      </c>
      <c r="C152" s="280">
        <v>42985</v>
      </c>
      <c r="D152" s="228" t="s">
        <v>16</v>
      </c>
      <c r="E152" s="281">
        <v>7200</v>
      </c>
      <c r="F152" s="282">
        <f>E152*2.893</f>
        <v>20829.599999999999</v>
      </c>
      <c r="G152" s="229">
        <f t="shared" si="7"/>
        <v>43045</v>
      </c>
      <c r="H152" s="227"/>
      <c r="I152" s="280"/>
      <c r="J152" s="229"/>
      <c r="K152" s="284">
        <v>7200</v>
      </c>
      <c r="L152" s="259"/>
      <c r="M152" s="285">
        <f t="shared" si="8"/>
        <v>0</v>
      </c>
      <c r="N152" s="273"/>
      <c r="O152" s="294"/>
      <c r="Q152" s="273"/>
    </row>
    <row r="153" spans="1:17" s="26" customFormat="1">
      <c r="A153" s="295" t="s">
        <v>181</v>
      </c>
      <c r="B153" s="260" t="s">
        <v>198</v>
      </c>
      <c r="C153" s="296">
        <v>42992</v>
      </c>
      <c r="D153" s="297" t="s">
        <v>16</v>
      </c>
      <c r="E153" s="298">
        <v>34946.269999999997</v>
      </c>
      <c r="F153" s="261">
        <f>+E153*2.899</f>
        <v>101309.23672999999</v>
      </c>
      <c r="G153" s="299">
        <f t="shared" si="7"/>
        <v>43052</v>
      </c>
      <c r="H153" s="300"/>
      <c r="I153" s="296"/>
      <c r="J153" s="299"/>
      <c r="K153" s="301"/>
      <c r="L153" s="302"/>
      <c r="M153" s="303">
        <f t="shared" si="8"/>
        <v>34946.269999999997</v>
      </c>
      <c r="N153" s="273"/>
      <c r="O153" s="294"/>
      <c r="Q153" s="273"/>
    </row>
    <row r="154" spans="1:17" s="26" customFormat="1">
      <c r="A154" s="295" t="s">
        <v>181</v>
      </c>
      <c r="B154" s="260" t="s">
        <v>201</v>
      </c>
      <c r="C154" s="296">
        <v>43006</v>
      </c>
      <c r="D154" s="297" t="s">
        <v>16</v>
      </c>
      <c r="E154" s="298">
        <v>44550</v>
      </c>
      <c r="F154" s="261">
        <f>+E154*2.893</f>
        <v>128883.15</v>
      </c>
      <c r="G154" s="299">
        <f t="shared" si="7"/>
        <v>43066</v>
      </c>
      <c r="H154" s="300"/>
      <c r="I154" s="296"/>
      <c r="J154" s="299"/>
      <c r="K154" s="301"/>
      <c r="L154" s="302"/>
      <c r="M154" s="303">
        <f t="shared" si="8"/>
        <v>44550</v>
      </c>
      <c r="N154" s="273"/>
      <c r="O154" s="294"/>
      <c r="Q154" s="273"/>
    </row>
    <row r="155" spans="1:17" s="26" customFormat="1">
      <c r="A155" s="295" t="s">
        <v>181</v>
      </c>
      <c r="B155" s="260" t="s">
        <v>203</v>
      </c>
      <c r="C155" s="296">
        <v>43019</v>
      </c>
      <c r="D155" s="297" t="s">
        <v>16</v>
      </c>
      <c r="E155" s="298">
        <v>27337.5</v>
      </c>
      <c r="F155" s="261">
        <f>+E155*2.9093</f>
        <v>79532.988750000004</v>
      </c>
      <c r="G155" s="299">
        <f t="shared" si="7"/>
        <v>43079</v>
      </c>
      <c r="H155" s="300"/>
      <c r="I155" s="296"/>
      <c r="J155" s="299"/>
      <c r="K155" s="301"/>
      <c r="L155" s="302"/>
      <c r="M155" s="303">
        <f t="shared" si="8"/>
        <v>27337.5</v>
      </c>
      <c r="N155" s="273"/>
      <c r="O155" s="294"/>
      <c r="Q155" s="273"/>
    </row>
    <row r="156" spans="1:17" s="26" customFormat="1">
      <c r="A156" s="295" t="s">
        <v>181</v>
      </c>
      <c r="B156" s="260" t="s">
        <v>208</v>
      </c>
      <c r="C156" s="296">
        <v>43034</v>
      </c>
      <c r="D156" s="297" t="s">
        <v>16</v>
      </c>
      <c r="E156" s="298">
        <v>15386.35</v>
      </c>
      <c r="F156" s="261">
        <f>+E156*2.9096</f>
        <v>44768.123960000004</v>
      </c>
      <c r="G156" s="299">
        <f t="shared" si="7"/>
        <v>43094</v>
      </c>
      <c r="H156" s="300"/>
      <c r="I156" s="296"/>
      <c r="J156" s="299"/>
      <c r="K156" s="301"/>
      <c r="L156" s="302"/>
      <c r="M156" s="303">
        <f t="shared" si="8"/>
        <v>15386.35</v>
      </c>
      <c r="N156" s="273"/>
      <c r="O156" s="294"/>
      <c r="Q156" s="273"/>
    </row>
    <row r="157" spans="1:17" s="26" customFormat="1" hidden="1">
      <c r="A157" s="278" t="s">
        <v>181</v>
      </c>
      <c r="B157" s="279" t="s">
        <v>214</v>
      </c>
      <c r="C157" s="280">
        <v>43054</v>
      </c>
      <c r="D157" s="228" t="s">
        <v>16</v>
      </c>
      <c r="E157" s="281">
        <v>13053.6</v>
      </c>
      <c r="F157" s="282">
        <f>+E157*2.9226</f>
        <v>38150.451359999999</v>
      </c>
      <c r="G157" s="229">
        <f t="shared" si="7"/>
        <v>43114</v>
      </c>
      <c r="H157" s="227"/>
      <c r="I157" s="280"/>
      <c r="J157" s="229"/>
      <c r="K157" s="284">
        <v>13053.6</v>
      </c>
      <c r="L157" s="259"/>
      <c r="M157" s="285">
        <f t="shared" si="8"/>
        <v>0</v>
      </c>
      <c r="N157" s="273"/>
      <c r="O157" s="294"/>
      <c r="Q157" s="273"/>
    </row>
    <row r="158" spans="1:17" s="38" customFormat="1" hidden="1">
      <c r="A158" s="278" t="s">
        <v>15</v>
      </c>
      <c r="B158" s="279" t="s">
        <v>221</v>
      </c>
      <c r="C158" s="280">
        <v>43075</v>
      </c>
      <c r="D158" s="228" t="s">
        <v>16</v>
      </c>
      <c r="E158" s="281">
        <v>20473.650000000001</v>
      </c>
      <c r="F158" s="282">
        <f>+E158*2.9164</f>
        <v>59709.352859999999</v>
      </c>
      <c r="G158" s="229">
        <f t="shared" si="7"/>
        <v>43135</v>
      </c>
      <c r="H158" s="227"/>
      <c r="I158" s="280"/>
      <c r="J158" s="229"/>
      <c r="K158" s="284">
        <v>20423.650000000001</v>
      </c>
      <c r="L158" s="259"/>
      <c r="M158" s="285">
        <f t="shared" si="8"/>
        <v>50</v>
      </c>
      <c r="N158" s="234"/>
      <c r="O158" s="360"/>
      <c r="Q158" s="234"/>
    </row>
    <row r="159" spans="1:17" s="38" customFormat="1" hidden="1">
      <c r="A159" s="278" t="s">
        <v>181</v>
      </c>
      <c r="B159" s="279" t="s">
        <v>222</v>
      </c>
      <c r="C159" s="280">
        <v>43075</v>
      </c>
      <c r="D159" s="228" t="s">
        <v>16</v>
      </c>
      <c r="E159" s="281">
        <v>21698.71</v>
      </c>
      <c r="F159" s="282">
        <f>+E159*2.9164</f>
        <v>63282.117843999993</v>
      </c>
      <c r="G159" s="229">
        <f t="shared" si="7"/>
        <v>43135</v>
      </c>
      <c r="H159" s="227"/>
      <c r="I159" s="280"/>
      <c r="J159" s="229"/>
      <c r="K159" s="284">
        <v>21642.81</v>
      </c>
      <c r="L159" s="229">
        <v>43098</v>
      </c>
      <c r="M159" s="285">
        <f t="shared" si="8"/>
        <v>55.899999999997817</v>
      </c>
      <c r="N159" s="234"/>
      <c r="O159" s="360"/>
      <c r="Q159" s="234"/>
    </row>
    <row r="160" spans="1:17" s="38" customFormat="1" hidden="1">
      <c r="A160" s="278" t="s">
        <v>181</v>
      </c>
      <c r="B160" s="279" t="s">
        <v>226</v>
      </c>
      <c r="C160" s="280">
        <v>43084</v>
      </c>
      <c r="D160" s="228" t="s">
        <v>16</v>
      </c>
      <c r="E160" s="281">
        <v>10090</v>
      </c>
      <c r="F160" s="282">
        <f>+E160*2.9214</f>
        <v>29476.926000000003</v>
      </c>
      <c r="G160" s="229">
        <f t="shared" si="7"/>
        <v>43144</v>
      </c>
      <c r="H160" s="227"/>
      <c r="I160" s="280"/>
      <c r="J160" s="229"/>
      <c r="K160" s="284">
        <v>10047.5</v>
      </c>
      <c r="L160" s="259"/>
      <c r="M160" s="285">
        <f t="shared" si="8"/>
        <v>42.5</v>
      </c>
      <c r="N160" s="234"/>
      <c r="O160" s="360"/>
      <c r="Q160" s="234"/>
    </row>
    <row r="161" spans="1:17" s="38" customFormat="1" hidden="1">
      <c r="A161" s="278" t="s">
        <v>181</v>
      </c>
      <c r="B161" s="279" t="s">
        <v>228</v>
      </c>
      <c r="C161" s="280">
        <v>43096</v>
      </c>
      <c r="D161" s="228" t="s">
        <v>16</v>
      </c>
      <c r="E161" s="281">
        <v>22074.959999999999</v>
      </c>
      <c r="F161" s="282">
        <f>+E161*2.9288</f>
        <v>64653.142847999996</v>
      </c>
      <c r="G161" s="229">
        <f t="shared" si="7"/>
        <v>43156</v>
      </c>
      <c r="H161" s="227"/>
      <c r="I161" s="280"/>
      <c r="J161" s="229"/>
      <c r="K161" s="284">
        <v>22018.31</v>
      </c>
      <c r="L161" s="259"/>
      <c r="M161" s="285">
        <f t="shared" si="8"/>
        <v>56.649999999997817</v>
      </c>
      <c r="N161" s="234"/>
      <c r="O161" s="360"/>
      <c r="Q161" s="234"/>
    </row>
    <row r="162" spans="1:17" s="38" customFormat="1" hidden="1">
      <c r="A162" s="278" t="s">
        <v>181</v>
      </c>
      <c r="B162" s="279" t="s">
        <v>231</v>
      </c>
      <c r="C162" s="280">
        <v>43111</v>
      </c>
      <c r="D162" s="228" t="s">
        <v>16</v>
      </c>
      <c r="E162" s="281">
        <v>28798.14</v>
      </c>
      <c r="F162" s="282">
        <f>+E162*2.9312</f>
        <v>84413.107967999997</v>
      </c>
      <c r="G162" s="229">
        <f t="shared" si="7"/>
        <v>43171</v>
      </c>
      <c r="H162" s="227"/>
      <c r="I162" s="280"/>
      <c r="J162" s="229"/>
      <c r="K162" s="284">
        <v>28773.14</v>
      </c>
      <c r="L162" s="259"/>
      <c r="M162" s="285">
        <f t="shared" si="8"/>
        <v>25</v>
      </c>
      <c r="N162" s="234"/>
      <c r="O162" s="360"/>
      <c r="Q162" s="234"/>
    </row>
    <row r="163" spans="1:17" s="38" customFormat="1" hidden="1">
      <c r="A163" s="278" t="s">
        <v>232</v>
      </c>
      <c r="B163" s="279" t="s">
        <v>233</v>
      </c>
      <c r="C163" s="280">
        <v>43124</v>
      </c>
      <c r="D163" s="228" t="s">
        <v>16</v>
      </c>
      <c r="E163" s="281">
        <v>30983.22</v>
      </c>
      <c r="F163" s="282">
        <f>+E163*2.9437</f>
        <v>91205.304714000013</v>
      </c>
      <c r="G163" s="229">
        <f t="shared" si="7"/>
        <v>43184</v>
      </c>
      <c r="H163" s="227"/>
      <c r="I163" s="280"/>
      <c r="J163" s="229"/>
      <c r="K163" s="284">
        <v>30983.22</v>
      </c>
      <c r="L163" s="259"/>
      <c r="M163" s="285">
        <f t="shared" si="8"/>
        <v>0</v>
      </c>
      <c r="N163" s="234"/>
      <c r="O163" s="360"/>
      <c r="Q163" s="234"/>
    </row>
    <row r="164" spans="1:17" ht="13.5" thickBot="1">
      <c r="A164" s="9"/>
      <c r="B164" s="10"/>
      <c r="C164" s="11"/>
      <c r="D164" s="12"/>
      <c r="E164" s="13"/>
      <c r="F164" s="14"/>
      <c r="G164" s="15"/>
      <c r="H164" s="16"/>
      <c r="I164" s="11"/>
      <c r="J164" s="15"/>
      <c r="K164" s="17"/>
      <c r="L164" s="18"/>
      <c r="M164" s="19"/>
    </row>
    <row r="165" spans="1:17" ht="13.5" thickBot="1">
      <c r="G165" s="231"/>
    </row>
    <row r="166" spans="1:17" ht="13.5" thickBot="1">
      <c r="B166" s="213" t="s">
        <v>47</v>
      </c>
      <c r="C166" s="293" t="s">
        <v>48</v>
      </c>
      <c r="D166" s="826" t="s">
        <v>9</v>
      </c>
      <c r="E166" s="827"/>
    </row>
    <row r="167" spans="1:17">
      <c r="A167" s="206" t="s">
        <v>20</v>
      </c>
      <c r="B167" s="211"/>
      <c r="C167" s="212"/>
      <c r="D167" s="830"/>
      <c r="E167" s="831"/>
    </row>
    <row r="168" spans="1:17">
      <c r="A168" s="207">
        <v>2017</v>
      </c>
      <c r="B168" s="202"/>
      <c r="C168" s="203"/>
      <c r="D168" s="820"/>
      <c r="E168" s="821"/>
    </row>
    <row r="169" spans="1:17">
      <c r="A169" s="208">
        <v>2018</v>
      </c>
      <c r="B169" s="202">
        <f>M117+M121+M124+M127+M129+M130+M132+M136+M139</f>
        <v>1093918.1199999999</v>
      </c>
      <c r="C169" s="203"/>
      <c r="D169" s="828">
        <v>0</v>
      </c>
      <c r="E169" s="829"/>
    </row>
    <row r="170" spans="1:17">
      <c r="A170" s="8" t="s">
        <v>15</v>
      </c>
      <c r="B170" s="202">
        <f>M97+M112</f>
        <v>67627.22</v>
      </c>
      <c r="C170" s="204">
        <v>0</v>
      </c>
      <c r="D170" s="820"/>
      <c r="E170" s="821"/>
    </row>
    <row r="171" spans="1:17">
      <c r="A171" s="8" t="s">
        <v>17</v>
      </c>
      <c r="B171" s="202">
        <f>+M35</f>
        <v>5190.95</v>
      </c>
      <c r="C171" s="205">
        <f>+M30</f>
        <v>1211.8600000000006</v>
      </c>
      <c r="D171" s="820"/>
      <c r="E171" s="821"/>
    </row>
    <row r="172" spans="1:17">
      <c r="A172" s="274" t="s">
        <v>232</v>
      </c>
      <c r="B172" s="276">
        <f>M118</f>
        <v>3120.6399999999994</v>
      </c>
      <c r="C172" s="275"/>
      <c r="D172" s="820"/>
      <c r="E172" s="821"/>
    </row>
    <row r="173" spans="1:17">
      <c r="A173" s="274" t="s">
        <v>247</v>
      </c>
      <c r="B173" s="276">
        <f>M126+M128+M131+M133+M134+M137</f>
        <v>312735.69</v>
      </c>
      <c r="C173" s="275"/>
      <c r="D173" s="820"/>
      <c r="E173" s="821"/>
    </row>
    <row r="174" spans="1:17">
      <c r="A174" s="274" t="s">
        <v>174</v>
      </c>
      <c r="B174" s="276">
        <f>M151+M152+M153+M154+M155+M156</f>
        <v>131255.53</v>
      </c>
      <c r="C174" s="275"/>
      <c r="D174" s="820"/>
      <c r="E174" s="821"/>
    </row>
    <row r="175" spans="1:17" ht="13.5" thickBot="1">
      <c r="A175" s="9" t="s">
        <v>142</v>
      </c>
      <c r="B175" s="10"/>
      <c r="C175" s="13">
        <f>+M84</f>
        <v>60082</v>
      </c>
      <c r="D175" s="822"/>
      <c r="E175" s="823"/>
    </row>
    <row r="176" spans="1:17" ht="13.5" thickBot="1">
      <c r="B176" s="209">
        <f>SUM(B167:B175)</f>
        <v>1613848.1499999997</v>
      </c>
      <c r="C176" s="210">
        <f>SUM(C167:C175)</f>
        <v>61293.86</v>
      </c>
      <c r="D176" s="824">
        <f>SUM(D167:D175)</f>
        <v>0</v>
      </c>
      <c r="E176" s="825"/>
    </row>
    <row r="178" spans="2:13">
      <c r="B178" s="3"/>
      <c r="C178" s="3"/>
    </row>
    <row r="179" spans="2:13">
      <c r="B179" s="2"/>
    </row>
    <row r="184" spans="2:13">
      <c r="M184" s="349"/>
    </row>
  </sheetData>
  <autoFilter ref="A1:A176"/>
  <mergeCells count="26">
    <mergeCell ref="A143:A144"/>
    <mergeCell ref="B143:G143"/>
    <mergeCell ref="H143:J143"/>
    <mergeCell ref="K143:L143"/>
    <mergeCell ref="M143:M144"/>
    <mergeCell ref="A2:A3"/>
    <mergeCell ref="B2:G2"/>
    <mergeCell ref="H2:J2"/>
    <mergeCell ref="K2:L2"/>
    <mergeCell ref="M2:M3"/>
    <mergeCell ref="A33:A34"/>
    <mergeCell ref="B33:G33"/>
    <mergeCell ref="H33:J33"/>
    <mergeCell ref="K33:L33"/>
    <mergeCell ref="M33:M34"/>
    <mergeCell ref="D171:E171"/>
    <mergeCell ref="D175:E175"/>
    <mergeCell ref="D176:E176"/>
    <mergeCell ref="D166:E166"/>
    <mergeCell ref="D169:E169"/>
    <mergeCell ref="D167:E167"/>
    <mergeCell ref="D168:E168"/>
    <mergeCell ref="D170:E170"/>
    <mergeCell ref="D174:E174"/>
    <mergeCell ref="D172:E172"/>
    <mergeCell ref="D173:E173"/>
  </mergeCells>
  <pageMargins left="0.70866141732283472" right="0.70866141732283472" top="0.74803149606299213" bottom="0.74803149606299213" header="0.31496062992125984" footer="0.31496062992125984"/>
  <pageSetup paperSize="9" scale="90" orientation="landscape" horizontalDpi="180" verticalDpi="180" r:id="rId1"/>
  <ignoredErrors>
    <ignoredError sqref="F44 G48 G73 G76:G78 G80 G87 G90:G92 G19 F27:G27 G29 M119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68"/>
  <sheetViews>
    <sheetView topLeftCell="A10" workbookViewId="0">
      <selection activeCell="J36" sqref="J36"/>
    </sheetView>
  </sheetViews>
  <sheetFormatPr baseColWidth="10" defaultRowHeight="12.75"/>
  <cols>
    <col min="1" max="1" width="10.140625" style="26" bestFit="1" customWidth="1"/>
    <col min="2" max="2" width="17" style="26" bestFit="1" customWidth="1"/>
    <col min="3" max="3" width="3.5703125" style="26" bestFit="1" customWidth="1"/>
    <col min="4" max="4" width="10.140625" style="26" bestFit="1" customWidth="1"/>
    <col min="5" max="5" width="11" style="26" bestFit="1" customWidth="1"/>
    <col min="6" max="6" width="12.28515625" style="26" bestFit="1" customWidth="1"/>
    <col min="7" max="7" width="10.85546875" style="26" bestFit="1" customWidth="1"/>
    <col min="8" max="8" width="12.28515625" style="26" bestFit="1" customWidth="1"/>
    <col min="9" max="10" width="11.42578125" style="26"/>
    <col min="11" max="11" width="17" style="26" bestFit="1" customWidth="1"/>
    <col min="12" max="16384" width="11.42578125" style="26"/>
  </cols>
  <sheetData>
    <row r="1" spans="1:17">
      <c r="A1" s="850" t="s">
        <v>1474</v>
      </c>
      <c r="B1" s="850"/>
      <c r="C1" s="850"/>
      <c r="D1" s="850"/>
      <c r="E1" s="850"/>
      <c r="F1" s="850"/>
      <c r="G1" s="850"/>
      <c r="H1" s="850"/>
    </row>
    <row r="2" spans="1:17" ht="13.5" thickBot="1">
      <c r="A2" s="314"/>
      <c r="C2" s="519"/>
      <c r="D2" s="273"/>
      <c r="E2" s="313"/>
      <c r="F2" s="313"/>
      <c r="G2" s="313"/>
      <c r="H2" s="313"/>
    </row>
    <row r="3" spans="1:17">
      <c r="A3" s="851" t="s">
        <v>252</v>
      </c>
      <c r="B3" s="852"/>
      <c r="C3" s="404" t="s">
        <v>168</v>
      </c>
      <c r="D3" s="853">
        <f>404820+D29</f>
        <v>432700</v>
      </c>
      <c r="E3" s="854"/>
      <c r="F3" s="405">
        <f>582489+F29</f>
        <v>622915</v>
      </c>
      <c r="G3" s="405">
        <f>110672.91+G29</f>
        <v>118353.85</v>
      </c>
      <c r="H3" s="406">
        <f>+F3+G3</f>
        <v>741268.85</v>
      </c>
    </row>
    <row r="4" spans="1:17">
      <c r="A4" s="843" t="s">
        <v>253</v>
      </c>
      <c r="B4" s="844"/>
      <c r="C4" s="407" t="s">
        <v>168</v>
      </c>
      <c r="D4" s="845">
        <f>564700+D25</f>
        <v>605920</v>
      </c>
      <c r="E4" s="846"/>
      <c r="F4" s="408">
        <f>936092+F25</f>
        <v>1008227</v>
      </c>
      <c r="G4" s="408">
        <f>177857.48+G25</f>
        <v>191563.13</v>
      </c>
      <c r="H4" s="409">
        <f>+F4+G4</f>
        <v>1199790.1299999999</v>
      </c>
    </row>
    <row r="5" spans="1:17">
      <c r="A5" s="843" t="s">
        <v>254</v>
      </c>
      <c r="B5" s="844"/>
      <c r="C5" s="407" t="s">
        <v>168</v>
      </c>
      <c r="D5" s="845">
        <f>30689+D26</f>
        <v>33546</v>
      </c>
      <c r="E5" s="846"/>
      <c r="F5" s="408">
        <f>1012737+F26</f>
        <v>1107018</v>
      </c>
      <c r="G5" s="408">
        <f>192420.03+G26</f>
        <v>210333.41999999998</v>
      </c>
      <c r="H5" s="409">
        <f t="shared" ref="H5:H7" si="0">+F5+G5</f>
        <v>1317351.42</v>
      </c>
    </row>
    <row r="6" spans="1:17">
      <c r="A6" s="855" t="s">
        <v>273</v>
      </c>
      <c r="B6" s="856"/>
      <c r="C6" s="407" t="s">
        <v>168</v>
      </c>
      <c r="D6" s="845">
        <v>1109</v>
      </c>
      <c r="E6" s="846"/>
      <c r="F6" s="408">
        <v>3327</v>
      </c>
      <c r="G6" s="408">
        <v>632.13</v>
      </c>
      <c r="H6" s="409">
        <f t="shared" si="0"/>
        <v>3959.13</v>
      </c>
    </row>
    <row r="7" spans="1:17">
      <c r="A7" s="843" t="s">
        <v>255</v>
      </c>
      <c r="B7" s="844"/>
      <c r="C7" s="407" t="s">
        <v>168</v>
      </c>
      <c r="D7" s="845">
        <f>++D13+D14+317625+D15+D16+D17+D18+D19+D20+D21+D22+D23+D24+D27+D28</f>
        <v>378370</v>
      </c>
      <c r="E7" s="846"/>
      <c r="F7" s="408">
        <f>1390639.9+F13+F14+F15+F16+F17+F18+F19+F20+F21+F22+F23+F24+F27+F28</f>
        <v>1651843.3999999997</v>
      </c>
      <c r="G7" s="408">
        <f>264221.581+G13+G14+G15+G16+G17+G18+G19+G20+G21+G22+G23+G24+G27+G28</f>
        <v>313850.24599999998</v>
      </c>
      <c r="H7" s="409">
        <f t="shared" si="0"/>
        <v>1965693.6459999997</v>
      </c>
    </row>
    <row r="8" spans="1:17">
      <c r="A8" s="837" t="s">
        <v>77</v>
      </c>
      <c r="B8" s="838"/>
      <c r="C8" s="838"/>
      <c r="D8" s="838"/>
      <c r="E8" s="838"/>
      <c r="F8" s="410">
        <f>SUM(F3:F7)</f>
        <v>4393330.3999999994</v>
      </c>
      <c r="G8" s="410">
        <f>SUM(G3:G7)</f>
        <v>834732.77599999995</v>
      </c>
      <c r="H8" s="411">
        <f>SUM(H3:H7)</f>
        <v>5228063.175999999</v>
      </c>
      <c r="K8" s="313"/>
      <c r="M8" s="645"/>
    </row>
    <row r="9" spans="1:17">
      <c r="A9" s="841" t="s">
        <v>256</v>
      </c>
      <c r="B9" s="842"/>
      <c r="C9" s="842"/>
      <c r="D9" s="842"/>
      <c r="E9" s="842"/>
      <c r="F9" s="842"/>
      <c r="G9" s="842"/>
      <c r="H9" s="411">
        <f>4250509.889+100000+104471.601+200000+200000</f>
        <v>4854981.49</v>
      </c>
      <c r="K9" s="313"/>
      <c r="M9" s="645"/>
    </row>
    <row r="10" spans="1:17" ht="13.5" thickBot="1">
      <c r="A10" s="839" t="s">
        <v>257</v>
      </c>
      <c r="B10" s="840"/>
      <c r="C10" s="840"/>
      <c r="D10" s="840"/>
      <c r="E10" s="840"/>
      <c r="F10" s="840"/>
      <c r="G10" s="840"/>
      <c r="H10" s="412">
        <f>+H8-H9</f>
        <v>373081.68599999882</v>
      </c>
      <c r="J10" s="313"/>
      <c r="M10" s="645"/>
    </row>
    <row r="11" spans="1:17" ht="13.5" thickBot="1">
      <c r="A11" s="314"/>
      <c r="C11" s="519"/>
      <c r="D11" s="273"/>
      <c r="E11" s="313"/>
      <c r="F11" s="313"/>
      <c r="G11" s="313"/>
      <c r="H11" s="313"/>
      <c r="M11" s="645"/>
    </row>
    <row r="12" spans="1:17">
      <c r="A12" s="847" t="s">
        <v>258</v>
      </c>
      <c r="B12" s="848"/>
      <c r="C12" s="848"/>
      <c r="D12" s="848"/>
      <c r="E12" s="848"/>
      <c r="F12" s="848"/>
      <c r="G12" s="848"/>
      <c r="H12" s="849"/>
      <c r="M12" s="645"/>
    </row>
    <row r="13" spans="1:17" s="332" customFormat="1">
      <c r="A13" s="494">
        <v>43405</v>
      </c>
      <c r="B13" s="333" t="s">
        <v>277</v>
      </c>
      <c r="C13" s="338" t="s">
        <v>168</v>
      </c>
      <c r="D13" s="339">
        <v>11270</v>
      </c>
      <c r="E13" s="340">
        <v>4.3</v>
      </c>
      <c r="F13" s="340">
        <f>+D13*E13</f>
        <v>48461</v>
      </c>
      <c r="G13" s="340">
        <f>+F13*0.19</f>
        <v>9207.59</v>
      </c>
      <c r="H13" s="495">
        <f>+F13+G13</f>
        <v>57668.59</v>
      </c>
      <c r="I13" s="333"/>
      <c r="J13" s="672"/>
      <c r="K13" s="338"/>
      <c r="L13" s="340"/>
      <c r="M13" s="341"/>
      <c r="N13" s="334"/>
      <c r="O13" s="336"/>
      <c r="P13" s="334"/>
      <c r="Q13" s="333"/>
    </row>
    <row r="14" spans="1:17" s="332" customFormat="1">
      <c r="A14" s="494">
        <v>43409</v>
      </c>
      <c r="B14" s="333" t="s">
        <v>277</v>
      </c>
      <c r="C14" s="338" t="s">
        <v>168</v>
      </c>
      <c r="D14" s="339">
        <v>6205</v>
      </c>
      <c r="E14" s="340">
        <v>4.3</v>
      </c>
      <c r="F14" s="340">
        <f>+D14*E14</f>
        <v>26681.5</v>
      </c>
      <c r="G14" s="340">
        <f>+F14*0.19</f>
        <v>5069.4849999999997</v>
      </c>
      <c r="H14" s="495">
        <f>+F14+G14</f>
        <v>31750.985000000001</v>
      </c>
      <c r="I14" s="333"/>
      <c r="J14" s="672"/>
      <c r="K14" s="338"/>
      <c r="L14" s="340"/>
      <c r="M14" s="341"/>
      <c r="N14" s="334"/>
      <c r="O14" s="336"/>
      <c r="P14" s="334"/>
      <c r="Q14" s="333"/>
    </row>
    <row r="15" spans="1:17" s="332" customFormat="1">
      <c r="A15" s="494">
        <v>43412</v>
      </c>
      <c r="B15" s="333" t="s">
        <v>277</v>
      </c>
      <c r="C15" s="338" t="s">
        <v>168</v>
      </c>
      <c r="D15" s="339">
        <v>1414</v>
      </c>
      <c r="E15" s="340">
        <v>4.3</v>
      </c>
      <c r="F15" s="340">
        <f t="shared" ref="F15:F23" si="1">+D15*E15</f>
        <v>6080.2</v>
      </c>
      <c r="G15" s="340">
        <f t="shared" ref="G15:G23" si="2">+F15*0.19</f>
        <v>1155.2380000000001</v>
      </c>
      <c r="H15" s="495">
        <f t="shared" ref="H15:H23" si="3">+F15+G15</f>
        <v>7235.4380000000001</v>
      </c>
      <c r="I15" s="333"/>
      <c r="J15" s="672"/>
      <c r="K15" s="338"/>
      <c r="L15" s="340"/>
      <c r="M15" s="341"/>
      <c r="N15" s="334"/>
      <c r="O15" s="336"/>
      <c r="P15" s="334"/>
      <c r="Q15" s="333"/>
    </row>
    <row r="16" spans="1:17" s="332" customFormat="1">
      <c r="A16" s="494">
        <v>43416</v>
      </c>
      <c r="B16" s="333" t="s">
        <v>277</v>
      </c>
      <c r="C16" s="338" t="s">
        <v>168</v>
      </c>
      <c r="D16" s="339">
        <v>1454</v>
      </c>
      <c r="E16" s="340">
        <v>4.3</v>
      </c>
      <c r="F16" s="340">
        <f t="shared" si="1"/>
        <v>6252.2</v>
      </c>
      <c r="G16" s="340">
        <f t="shared" si="2"/>
        <v>1187.9179999999999</v>
      </c>
      <c r="H16" s="495">
        <f t="shared" si="3"/>
        <v>7440.1179999999995</v>
      </c>
      <c r="I16" s="333"/>
      <c r="J16" s="672"/>
      <c r="K16" s="338"/>
      <c r="L16" s="340"/>
      <c r="M16" s="341"/>
      <c r="N16" s="334"/>
      <c r="O16" s="336"/>
      <c r="P16" s="334"/>
      <c r="Q16" s="333"/>
    </row>
    <row r="17" spans="1:17" s="332" customFormat="1">
      <c r="A17" s="494">
        <v>43419</v>
      </c>
      <c r="B17" s="333" t="s">
        <v>277</v>
      </c>
      <c r="C17" s="338" t="s">
        <v>168</v>
      </c>
      <c r="D17" s="339">
        <v>3998</v>
      </c>
      <c r="E17" s="340">
        <v>4.3</v>
      </c>
      <c r="F17" s="340">
        <f t="shared" si="1"/>
        <v>17191.399999999998</v>
      </c>
      <c r="G17" s="340">
        <f t="shared" si="2"/>
        <v>3266.3659999999995</v>
      </c>
      <c r="H17" s="495">
        <f t="shared" si="3"/>
        <v>20457.765999999996</v>
      </c>
      <c r="I17" s="333"/>
      <c r="J17" s="672"/>
      <c r="K17" s="338"/>
      <c r="L17" s="340"/>
      <c r="M17" s="341"/>
      <c r="N17" s="334"/>
      <c r="O17" s="336"/>
      <c r="P17" s="334"/>
      <c r="Q17" s="333"/>
    </row>
    <row r="18" spans="1:17" s="332" customFormat="1">
      <c r="A18" s="494">
        <v>43420</v>
      </c>
      <c r="B18" s="333" t="s">
        <v>277</v>
      </c>
      <c r="C18" s="338" t="s">
        <v>168</v>
      </c>
      <c r="D18" s="339">
        <v>7286</v>
      </c>
      <c r="E18" s="340">
        <v>4.3</v>
      </c>
      <c r="F18" s="340">
        <f t="shared" si="1"/>
        <v>31329.8</v>
      </c>
      <c r="G18" s="340">
        <f t="shared" si="2"/>
        <v>5952.6620000000003</v>
      </c>
      <c r="H18" s="495">
        <f t="shared" si="3"/>
        <v>37282.462</v>
      </c>
      <c r="I18" s="333"/>
      <c r="J18" s="672"/>
      <c r="K18" s="338"/>
      <c r="L18" s="340"/>
      <c r="M18" s="341"/>
      <c r="N18" s="334"/>
      <c r="O18" s="336"/>
      <c r="P18" s="334"/>
      <c r="Q18" s="333"/>
    </row>
    <row r="19" spans="1:17" s="332" customFormat="1">
      <c r="A19" s="494">
        <v>43423</v>
      </c>
      <c r="B19" s="333" t="s">
        <v>277</v>
      </c>
      <c r="C19" s="338" t="s">
        <v>168</v>
      </c>
      <c r="D19" s="339">
        <v>4510</v>
      </c>
      <c r="E19" s="340">
        <v>4.3</v>
      </c>
      <c r="F19" s="340">
        <f t="shared" si="1"/>
        <v>19393</v>
      </c>
      <c r="G19" s="340">
        <f t="shared" si="2"/>
        <v>3684.67</v>
      </c>
      <c r="H19" s="495">
        <f t="shared" si="3"/>
        <v>23077.67</v>
      </c>
      <c r="I19" s="333"/>
      <c r="J19" s="672"/>
      <c r="K19" s="338"/>
      <c r="L19" s="340"/>
      <c r="M19" s="341"/>
      <c r="N19" s="334"/>
      <c r="O19" s="336"/>
      <c r="P19" s="334"/>
      <c r="Q19" s="333"/>
    </row>
    <row r="20" spans="1:17" s="332" customFormat="1">
      <c r="A20" s="494">
        <v>43427</v>
      </c>
      <c r="B20" s="333" t="s">
        <v>277</v>
      </c>
      <c r="C20" s="338" t="s">
        <v>168</v>
      </c>
      <c r="D20" s="339">
        <v>1929</v>
      </c>
      <c r="E20" s="340">
        <v>4.3</v>
      </c>
      <c r="F20" s="340">
        <f t="shared" si="1"/>
        <v>8294.6999999999989</v>
      </c>
      <c r="G20" s="340">
        <f t="shared" si="2"/>
        <v>1575.9929999999997</v>
      </c>
      <c r="H20" s="495">
        <f t="shared" si="3"/>
        <v>9870.6929999999993</v>
      </c>
      <c r="I20" s="333"/>
      <c r="J20" s="672"/>
      <c r="K20" s="338"/>
      <c r="L20" s="340"/>
      <c r="M20" s="341"/>
      <c r="N20" s="334"/>
      <c r="O20" s="336"/>
      <c r="P20" s="334"/>
      <c r="Q20" s="333"/>
    </row>
    <row r="21" spans="1:17" s="332" customFormat="1">
      <c r="A21" s="494">
        <v>43430</v>
      </c>
      <c r="B21" s="333" t="s">
        <v>277</v>
      </c>
      <c r="C21" s="338" t="s">
        <v>168</v>
      </c>
      <c r="D21" s="339">
        <v>3913</v>
      </c>
      <c r="E21" s="340">
        <v>4.3</v>
      </c>
      <c r="F21" s="340">
        <f t="shared" si="1"/>
        <v>16825.899999999998</v>
      </c>
      <c r="G21" s="340">
        <f t="shared" si="2"/>
        <v>3196.9209999999998</v>
      </c>
      <c r="H21" s="495">
        <f t="shared" si="3"/>
        <v>20022.820999999996</v>
      </c>
      <c r="I21" s="333"/>
      <c r="J21" s="672"/>
      <c r="K21" s="338"/>
      <c r="L21" s="340"/>
      <c r="M21" s="341"/>
      <c r="N21" s="334"/>
      <c r="O21" s="336"/>
      <c r="P21" s="334"/>
      <c r="Q21" s="333"/>
    </row>
    <row r="22" spans="1:17" s="332" customFormat="1">
      <c r="A22" s="494">
        <v>43431</v>
      </c>
      <c r="B22" s="333" t="s">
        <v>277</v>
      </c>
      <c r="C22" s="338" t="s">
        <v>168</v>
      </c>
      <c r="D22" s="339">
        <v>2297</v>
      </c>
      <c r="E22" s="340">
        <v>4.3</v>
      </c>
      <c r="F22" s="340">
        <f t="shared" si="1"/>
        <v>9877.1</v>
      </c>
      <c r="G22" s="340">
        <f t="shared" si="2"/>
        <v>1876.6490000000001</v>
      </c>
      <c r="H22" s="495">
        <f t="shared" si="3"/>
        <v>11753.749</v>
      </c>
      <c r="I22" s="333"/>
      <c r="J22" s="672"/>
      <c r="K22" s="338"/>
      <c r="L22" s="340"/>
      <c r="M22" s="341"/>
      <c r="N22" s="334"/>
      <c r="O22" s="336"/>
      <c r="P22" s="334"/>
      <c r="Q22" s="333"/>
    </row>
    <row r="23" spans="1:17" s="332" customFormat="1">
      <c r="A23" s="494">
        <v>43432</v>
      </c>
      <c r="B23" s="333" t="s">
        <v>277</v>
      </c>
      <c r="C23" s="338" t="s">
        <v>168</v>
      </c>
      <c r="D23" s="339">
        <f>2255+2296</f>
        <v>4551</v>
      </c>
      <c r="E23" s="340">
        <v>4.3</v>
      </c>
      <c r="F23" s="340">
        <f t="shared" si="1"/>
        <v>19569.3</v>
      </c>
      <c r="G23" s="340">
        <f t="shared" si="2"/>
        <v>3718.1669999999999</v>
      </c>
      <c r="H23" s="495">
        <f t="shared" si="3"/>
        <v>23287.467000000001</v>
      </c>
      <c r="I23" s="333"/>
      <c r="J23" s="672"/>
      <c r="K23" s="338"/>
      <c r="L23" s="340"/>
      <c r="M23" s="341"/>
      <c r="N23" s="334"/>
      <c r="O23" s="336"/>
      <c r="P23" s="334"/>
      <c r="Q23" s="333"/>
    </row>
    <row r="24" spans="1:17" s="332" customFormat="1">
      <c r="A24" s="494">
        <v>43433</v>
      </c>
      <c r="B24" s="333" t="s">
        <v>277</v>
      </c>
      <c r="C24" s="338" t="s">
        <v>168</v>
      </c>
      <c r="D24" s="339">
        <v>1678</v>
      </c>
      <c r="E24" s="340">
        <v>4.3</v>
      </c>
      <c r="F24" s="340">
        <f t="shared" ref="F24:F28" si="4">+D24*E24</f>
        <v>7215.4</v>
      </c>
      <c r="G24" s="340">
        <f t="shared" ref="G24:G28" si="5">+F24*0.19</f>
        <v>1370.9259999999999</v>
      </c>
      <c r="H24" s="495">
        <f t="shared" ref="H24:H28" si="6">+F24+G24</f>
        <v>8586.3259999999991</v>
      </c>
      <c r="I24" s="333"/>
      <c r="J24" s="672"/>
      <c r="K24" s="338"/>
      <c r="L24" s="340"/>
      <c r="M24" s="341"/>
      <c r="N24" s="334"/>
      <c r="O24" s="336"/>
      <c r="P24" s="334"/>
      <c r="Q24" s="333"/>
    </row>
    <row r="25" spans="1:17" s="332" customFormat="1">
      <c r="A25" s="494">
        <v>43418</v>
      </c>
      <c r="B25" s="333" t="s">
        <v>175</v>
      </c>
      <c r="C25" s="338" t="s">
        <v>168</v>
      </c>
      <c r="D25" s="339">
        <v>41220</v>
      </c>
      <c r="E25" s="340">
        <v>1.75</v>
      </c>
      <c r="F25" s="340">
        <f t="shared" si="4"/>
        <v>72135</v>
      </c>
      <c r="G25" s="340">
        <f t="shared" si="5"/>
        <v>13705.65</v>
      </c>
      <c r="H25" s="495">
        <f t="shared" si="6"/>
        <v>85840.65</v>
      </c>
      <c r="I25" s="333"/>
      <c r="J25" s="672"/>
      <c r="K25" s="338"/>
      <c r="L25" s="340"/>
      <c r="M25" s="341"/>
      <c r="N25" s="334"/>
      <c r="O25" s="336"/>
      <c r="P25" s="334"/>
      <c r="Q25" s="333"/>
    </row>
    <row r="26" spans="1:17" s="332" customFormat="1">
      <c r="A26" s="494">
        <v>43420</v>
      </c>
      <c r="B26" s="333" t="s">
        <v>1401</v>
      </c>
      <c r="C26" s="338" t="s">
        <v>168</v>
      </c>
      <c r="D26" s="339">
        <v>2857</v>
      </c>
      <c r="E26" s="340">
        <v>33</v>
      </c>
      <c r="F26" s="340">
        <f t="shared" si="4"/>
        <v>94281</v>
      </c>
      <c r="G26" s="340">
        <f t="shared" si="5"/>
        <v>17913.39</v>
      </c>
      <c r="H26" s="495">
        <f t="shared" si="6"/>
        <v>112194.39</v>
      </c>
      <c r="I26" s="333"/>
      <c r="J26" s="672"/>
      <c r="K26" s="338"/>
      <c r="L26" s="340"/>
      <c r="M26" s="341"/>
      <c r="N26" s="334"/>
      <c r="O26" s="336"/>
      <c r="P26" s="334"/>
      <c r="Q26" s="333"/>
    </row>
    <row r="27" spans="1:17" s="332" customFormat="1">
      <c r="A27" s="494">
        <v>43435</v>
      </c>
      <c r="B27" s="333" t="s">
        <v>277</v>
      </c>
      <c r="C27" s="338" t="s">
        <v>168</v>
      </c>
      <c r="D27" s="339">
        <v>1996</v>
      </c>
      <c r="E27" s="340">
        <v>4.3</v>
      </c>
      <c r="F27" s="340">
        <f t="shared" si="4"/>
        <v>8582.7999999999993</v>
      </c>
      <c r="G27" s="340">
        <f t="shared" si="5"/>
        <v>1630.732</v>
      </c>
      <c r="H27" s="495">
        <f t="shared" si="6"/>
        <v>10213.531999999999</v>
      </c>
      <c r="I27" s="333"/>
      <c r="J27" s="672"/>
      <c r="K27" s="338"/>
      <c r="L27" s="340"/>
      <c r="M27" s="341"/>
      <c r="N27" s="334"/>
      <c r="O27" s="336"/>
      <c r="P27" s="334"/>
      <c r="Q27" s="333"/>
    </row>
    <row r="28" spans="1:17" s="332" customFormat="1">
      <c r="A28" s="494">
        <v>43437</v>
      </c>
      <c r="B28" s="333" t="s">
        <v>277</v>
      </c>
      <c r="C28" s="338" t="s">
        <v>168</v>
      </c>
      <c r="D28" s="339">
        <f>4417+3827</f>
        <v>8244</v>
      </c>
      <c r="E28" s="340">
        <v>4.3</v>
      </c>
      <c r="F28" s="340">
        <f t="shared" si="4"/>
        <v>35449.199999999997</v>
      </c>
      <c r="G28" s="340">
        <f t="shared" si="5"/>
        <v>6735.348</v>
      </c>
      <c r="H28" s="495">
        <f t="shared" si="6"/>
        <v>42184.547999999995</v>
      </c>
      <c r="I28" s="333"/>
      <c r="J28" s="672"/>
      <c r="K28" s="338"/>
      <c r="L28" s="340"/>
      <c r="M28" s="341"/>
      <c r="N28" s="334"/>
      <c r="O28" s="336"/>
      <c r="P28" s="334"/>
      <c r="Q28" s="333"/>
    </row>
    <row r="29" spans="1:17" s="332" customFormat="1">
      <c r="A29" s="494">
        <v>43433</v>
      </c>
      <c r="B29" s="333" t="s">
        <v>1473</v>
      </c>
      <c r="C29" s="338" t="s">
        <v>168</v>
      </c>
      <c r="D29" s="339">
        <v>27880</v>
      </c>
      <c r="E29" s="340">
        <v>1.45</v>
      </c>
      <c r="F29" s="340">
        <f t="shared" ref="F29:F31" si="7">+D29*E29</f>
        <v>40426</v>
      </c>
      <c r="G29" s="340">
        <f t="shared" ref="G29:G31" si="8">+F29*0.19</f>
        <v>7680.9400000000005</v>
      </c>
      <c r="H29" s="495">
        <f t="shared" ref="H29:H31" si="9">+F29+G29</f>
        <v>48106.94</v>
      </c>
      <c r="I29" s="333"/>
      <c r="J29" s="672"/>
      <c r="K29" s="338"/>
      <c r="L29" s="340"/>
      <c r="M29" s="341"/>
      <c r="N29" s="334"/>
      <c r="O29" s="336"/>
      <c r="P29" s="334"/>
      <c r="Q29" s="333"/>
    </row>
    <row r="30" spans="1:17" s="332" customFormat="1">
      <c r="A30" s="494">
        <v>43438</v>
      </c>
      <c r="B30" s="333" t="s">
        <v>277</v>
      </c>
      <c r="C30" s="338" t="s">
        <v>168</v>
      </c>
      <c r="D30" s="339">
        <v>2291</v>
      </c>
      <c r="E30" s="340">
        <v>4.3</v>
      </c>
      <c r="F30" s="340">
        <f t="shared" si="7"/>
        <v>9851.2999999999993</v>
      </c>
      <c r="G30" s="340">
        <f t="shared" si="8"/>
        <v>1871.7469999999998</v>
      </c>
      <c r="H30" s="495">
        <f t="shared" si="9"/>
        <v>11723.046999999999</v>
      </c>
      <c r="I30" s="333"/>
      <c r="J30" s="672"/>
      <c r="K30" s="338"/>
      <c r="L30" s="340"/>
      <c r="M30" s="341"/>
      <c r="N30" s="334"/>
      <c r="O30" s="336"/>
      <c r="P30" s="334"/>
      <c r="Q30" s="333"/>
    </row>
    <row r="31" spans="1:17" s="332" customFormat="1">
      <c r="A31" s="494">
        <v>43439</v>
      </c>
      <c r="B31" s="333" t="s">
        <v>277</v>
      </c>
      <c r="C31" s="338" t="s">
        <v>168</v>
      </c>
      <c r="D31" s="339">
        <v>2225</v>
      </c>
      <c r="E31" s="340">
        <v>4.3</v>
      </c>
      <c r="F31" s="340">
        <f t="shared" si="7"/>
        <v>9567.5</v>
      </c>
      <c r="G31" s="340">
        <f t="shared" si="8"/>
        <v>1817.825</v>
      </c>
      <c r="H31" s="495">
        <f t="shared" si="9"/>
        <v>11385.325000000001</v>
      </c>
      <c r="I31" s="333"/>
      <c r="J31" s="672"/>
      <c r="K31" s="338"/>
      <c r="L31" s="340"/>
      <c r="M31" s="341"/>
      <c r="N31" s="334"/>
      <c r="O31" s="336"/>
      <c r="P31" s="334"/>
      <c r="Q31" s="333"/>
    </row>
    <row r="32" spans="1:17" s="332" customFormat="1">
      <c r="A32" s="494"/>
      <c r="B32" s="333"/>
      <c r="C32" s="338"/>
      <c r="D32" s="339"/>
      <c r="E32" s="340"/>
      <c r="F32" s="340"/>
      <c r="G32" s="340"/>
      <c r="H32" s="495"/>
      <c r="I32" s="333"/>
      <c r="J32" s="672"/>
      <c r="K32" s="338"/>
      <c r="L32" s="340"/>
      <c r="M32" s="341"/>
      <c r="N32" s="334"/>
      <c r="O32" s="336"/>
      <c r="P32" s="334"/>
      <c r="Q32" s="333"/>
    </row>
    <row r="33" spans="1:17" s="38" customFormat="1" ht="13.5" thickBot="1">
      <c r="A33" s="493"/>
      <c r="B33" s="489"/>
      <c r="C33" s="490"/>
      <c r="D33" s="491"/>
      <c r="E33" s="492"/>
      <c r="F33" s="492"/>
      <c r="G33" s="492"/>
      <c r="H33" s="691"/>
      <c r="J33" s="487"/>
      <c r="K33" s="487"/>
      <c r="L33" s="241"/>
      <c r="M33" s="37"/>
      <c r="N33" s="54"/>
      <c r="O33" s="488"/>
      <c r="P33" s="335"/>
    </row>
    <row r="34" spans="1:17" ht="13.5" thickBot="1">
      <c r="H34" s="690">
        <f>SUM(H13:H33)</f>
        <v>580082.51699999999</v>
      </c>
    </row>
    <row r="36" spans="1:17">
      <c r="A36" s="850" t="s">
        <v>1402</v>
      </c>
      <c r="B36" s="850"/>
      <c r="C36" s="850"/>
      <c r="D36" s="850"/>
      <c r="E36" s="850"/>
      <c r="F36" s="850"/>
      <c r="G36" s="850"/>
      <c r="H36" s="850"/>
    </row>
    <row r="37" spans="1:17" ht="13.5" thickBot="1">
      <c r="A37" s="314"/>
      <c r="C37" s="519"/>
      <c r="D37" s="273"/>
      <c r="E37" s="313"/>
      <c r="F37" s="313"/>
      <c r="G37" s="313"/>
      <c r="H37" s="313"/>
    </row>
    <row r="38" spans="1:17">
      <c r="A38" s="851" t="s">
        <v>252</v>
      </c>
      <c r="B38" s="852"/>
      <c r="C38" s="404" t="s">
        <v>168</v>
      </c>
      <c r="D38" s="853">
        <v>0</v>
      </c>
      <c r="E38" s="854"/>
      <c r="F38" s="405">
        <v>0</v>
      </c>
      <c r="G38" s="405">
        <v>0</v>
      </c>
      <c r="H38" s="406">
        <v>0</v>
      </c>
    </row>
    <row r="39" spans="1:17">
      <c r="A39" s="843" t="s">
        <v>253</v>
      </c>
      <c r="B39" s="844"/>
      <c r="C39" s="407" t="s">
        <v>168</v>
      </c>
      <c r="D39" s="845">
        <f>1548148+D52+D53</f>
        <v>1609513</v>
      </c>
      <c r="E39" s="846"/>
      <c r="F39" s="408">
        <f>2915233.6+F52+F53</f>
        <v>3025690.6</v>
      </c>
      <c r="G39" s="408">
        <f>553894.384+G52+G53</f>
        <v>574881.21399999992</v>
      </c>
      <c r="H39" s="409">
        <f>3469157.984+H52+H53</f>
        <v>3600603.0140000004</v>
      </c>
    </row>
    <row r="40" spans="1:17">
      <c r="A40" s="843" t="s">
        <v>254</v>
      </c>
      <c r="B40" s="844"/>
      <c r="C40" s="407" t="s">
        <v>168</v>
      </c>
      <c r="D40" s="845">
        <v>531</v>
      </c>
      <c r="E40" s="846"/>
      <c r="F40" s="408">
        <v>16992</v>
      </c>
      <c r="G40" s="408">
        <v>3228.48</v>
      </c>
      <c r="H40" s="409">
        <v>20221.080000000002</v>
      </c>
    </row>
    <row r="41" spans="1:17">
      <c r="A41" s="843" t="s">
        <v>255</v>
      </c>
      <c r="B41" s="844"/>
      <c r="C41" s="407" t="s">
        <v>168</v>
      </c>
      <c r="D41" s="845">
        <v>47612</v>
      </c>
      <c r="E41" s="846"/>
      <c r="F41" s="408">
        <v>201670.8</v>
      </c>
      <c r="G41" s="408">
        <v>38317.451999999997</v>
      </c>
      <c r="H41" s="409">
        <v>239991.85200000001</v>
      </c>
    </row>
    <row r="42" spans="1:17">
      <c r="A42" s="837" t="s">
        <v>77</v>
      </c>
      <c r="B42" s="838"/>
      <c r="C42" s="838"/>
      <c r="D42" s="838"/>
      <c r="E42" s="838"/>
      <c r="F42" s="410">
        <f>SUM(F38:F41)</f>
        <v>3244353.4</v>
      </c>
      <c r="G42" s="410">
        <f>SUM(G38:G41)</f>
        <v>616427.14599999995</v>
      </c>
      <c r="H42" s="411">
        <f>SUM(H38:H41)</f>
        <v>3860815.9460000005</v>
      </c>
    </row>
    <row r="43" spans="1:17">
      <c r="A43" s="841" t="s">
        <v>256</v>
      </c>
      <c r="B43" s="842"/>
      <c r="C43" s="842"/>
      <c r="D43" s="842"/>
      <c r="E43" s="842"/>
      <c r="F43" s="842"/>
      <c r="G43" s="842"/>
      <c r="H43" s="411">
        <f>3494532.266+100000</f>
        <v>3594532.2659999998</v>
      </c>
    </row>
    <row r="44" spans="1:17" ht="13.5" thickBot="1">
      <c r="A44" s="839" t="s">
        <v>257</v>
      </c>
      <c r="B44" s="840"/>
      <c r="C44" s="840"/>
      <c r="D44" s="840"/>
      <c r="E44" s="840"/>
      <c r="F44" s="840"/>
      <c r="G44" s="840"/>
      <c r="H44" s="412">
        <f>+H42-H43</f>
        <v>266283.68000000063</v>
      </c>
      <c r="J44" s="313"/>
    </row>
    <row r="45" spans="1:17" ht="13.5" thickBot="1"/>
    <row r="46" spans="1:17" s="332" customFormat="1">
      <c r="A46" s="664">
        <v>43370</v>
      </c>
      <c r="B46" s="665" t="s">
        <v>175</v>
      </c>
      <c r="C46" s="666" t="s">
        <v>207</v>
      </c>
      <c r="D46" s="667">
        <v>17160</v>
      </c>
      <c r="E46" s="668">
        <v>1.7</v>
      </c>
      <c r="F46" s="668">
        <f t="shared" ref="F46:F53" si="10">D46*E46</f>
        <v>29172</v>
      </c>
      <c r="G46" s="668">
        <f t="shared" ref="G46:G53" si="11">F46*0.19</f>
        <v>5542.68</v>
      </c>
      <c r="H46" s="669">
        <f>F46+G46</f>
        <v>34714.68</v>
      </c>
      <c r="I46" s="333"/>
      <c r="J46" s="672"/>
      <c r="K46" s="338"/>
      <c r="L46" s="340"/>
      <c r="M46" s="341"/>
      <c r="N46" s="334"/>
      <c r="O46" s="336"/>
      <c r="P46" s="334"/>
      <c r="Q46" s="333"/>
    </row>
    <row r="47" spans="1:17" s="332" customFormat="1">
      <c r="A47" s="494">
        <v>43370</v>
      </c>
      <c r="B47" s="333" t="s">
        <v>277</v>
      </c>
      <c r="C47" s="338" t="s">
        <v>207</v>
      </c>
      <c r="D47" s="339">
        <v>22480</v>
      </c>
      <c r="E47" s="340">
        <v>4.2</v>
      </c>
      <c r="F47" s="340">
        <f t="shared" si="10"/>
        <v>94416</v>
      </c>
      <c r="G47" s="340">
        <f t="shared" si="11"/>
        <v>17939.04</v>
      </c>
      <c r="H47" s="495">
        <f>F47+G47</f>
        <v>112355.04000000001</v>
      </c>
      <c r="I47" s="333"/>
      <c r="J47" s="672"/>
      <c r="K47" s="338"/>
      <c r="L47" s="340"/>
      <c r="M47" s="341"/>
      <c r="N47" s="334"/>
      <c r="O47" s="336"/>
      <c r="P47" s="334"/>
      <c r="Q47" s="333"/>
    </row>
    <row r="48" spans="1:17" s="332" customFormat="1">
      <c r="A48" s="494">
        <v>43385</v>
      </c>
      <c r="B48" s="333" t="s">
        <v>175</v>
      </c>
      <c r="C48" s="338" t="s">
        <v>207</v>
      </c>
      <c r="D48" s="339">
        <v>22710</v>
      </c>
      <c r="E48" s="340">
        <v>1.7</v>
      </c>
      <c r="F48" s="340">
        <f t="shared" si="10"/>
        <v>38607</v>
      </c>
      <c r="G48" s="340">
        <f t="shared" si="11"/>
        <v>7335.33</v>
      </c>
      <c r="H48" s="495">
        <f t="shared" ref="H48:H53" si="12">F48+G48+0.6</f>
        <v>45942.93</v>
      </c>
      <c r="I48" s="333"/>
      <c r="J48" s="672"/>
      <c r="K48" s="338"/>
      <c r="L48" s="340"/>
      <c r="M48" s="341"/>
      <c r="N48" s="334"/>
      <c r="O48" s="336"/>
      <c r="P48" s="334"/>
      <c r="Q48" s="333"/>
    </row>
    <row r="49" spans="1:17" s="332" customFormat="1">
      <c r="A49" s="494">
        <v>43385</v>
      </c>
      <c r="B49" s="333" t="s">
        <v>277</v>
      </c>
      <c r="C49" s="338" t="s">
        <v>207</v>
      </c>
      <c r="D49" s="339">
        <v>10850</v>
      </c>
      <c r="E49" s="340">
        <v>4.2</v>
      </c>
      <c r="F49" s="340">
        <f t="shared" si="10"/>
        <v>45570</v>
      </c>
      <c r="G49" s="340">
        <f t="shared" si="11"/>
        <v>8658.2999999999993</v>
      </c>
      <c r="H49" s="495">
        <f t="shared" si="12"/>
        <v>54228.9</v>
      </c>
      <c r="I49" s="333"/>
      <c r="J49" s="672"/>
      <c r="K49" s="338"/>
      <c r="L49" s="340"/>
      <c r="M49" s="341"/>
      <c r="N49" s="334"/>
      <c r="O49" s="336"/>
      <c r="P49" s="334"/>
      <c r="Q49" s="333"/>
    </row>
    <row r="50" spans="1:17" s="332" customFormat="1">
      <c r="A50" s="494">
        <v>43395</v>
      </c>
      <c r="B50" s="333" t="s">
        <v>175</v>
      </c>
      <c r="C50" s="338" t="s">
        <v>207</v>
      </c>
      <c r="D50" s="339">
        <v>29020</v>
      </c>
      <c r="E50" s="340">
        <v>1.7</v>
      </c>
      <c r="F50" s="340">
        <f t="shared" si="10"/>
        <v>49334</v>
      </c>
      <c r="G50" s="340">
        <f t="shared" si="11"/>
        <v>9373.4600000000009</v>
      </c>
      <c r="H50" s="495">
        <f t="shared" si="12"/>
        <v>58708.06</v>
      </c>
      <c r="I50" s="333"/>
      <c r="J50" s="672"/>
      <c r="K50" s="338"/>
      <c r="L50" s="340"/>
      <c r="M50" s="341"/>
      <c r="N50" s="334"/>
      <c r="O50" s="336"/>
      <c r="P50" s="334"/>
      <c r="Q50" s="333"/>
    </row>
    <row r="51" spans="1:17" s="332" customFormat="1">
      <c r="A51" s="494">
        <v>43395</v>
      </c>
      <c r="B51" s="333" t="s">
        <v>277</v>
      </c>
      <c r="C51" s="338" t="s">
        <v>207</v>
      </c>
      <c r="D51" s="339">
        <v>5780</v>
      </c>
      <c r="E51" s="340">
        <v>4.2</v>
      </c>
      <c r="F51" s="340">
        <f t="shared" si="10"/>
        <v>24276</v>
      </c>
      <c r="G51" s="340">
        <f t="shared" si="11"/>
        <v>4612.4399999999996</v>
      </c>
      <c r="H51" s="495">
        <f t="shared" si="12"/>
        <v>28889.039999999997</v>
      </c>
      <c r="I51" s="333"/>
      <c r="J51" s="672"/>
      <c r="K51" s="338"/>
      <c r="L51" s="340"/>
      <c r="M51" s="341"/>
      <c r="N51" s="334"/>
      <c r="O51" s="336"/>
      <c r="P51" s="334"/>
      <c r="Q51" s="333"/>
    </row>
    <row r="52" spans="1:17" s="332" customFormat="1">
      <c r="A52" s="494">
        <v>43406</v>
      </c>
      <c r="B52" s="333" t="s">
        <v>175</v>
      </c>
      <c r="C52" s="338" t="s">
        <v>207</v>
      </c>
      <c r="D52" s="339">
        <v>29505</v>
      </c>
      <c r="E52" s="340">
        <v>1.8</v>
      </c>
      <c r="F52" s="340">
        <f t="shared" si="10"/>
        <v>53109</v>
      </c>
      <c r="G52" s="340">
        <f t="shared" si="11"/>
        <v>10090.710000000001</v>
      </c>
      <c r="H52" s="495">
        <f t="shared" si="12"/>
        <v>63200.31</v>
      </c>
      <c r="I52" s="333"/>
      <c r="J52" s="672"/>
      <c r="K52" s="338"/>
      <c r="L52" s="340"/>
      <c r="M52" s="341"/>
      <c r="N52" s="334"/>
      <c r="O52" s="336"/>
      <c r="P52" s="334"/>
      <c r="Q52" s="333"/>
    </row>
    <row r="53" spans="1:17" s="332" customFormat="1">
      <c r="A53" s="494">
        <v>43419</v>
      </c>
      <c r="B53" s="333" t="s">
        <v>175</v>
      </c>
      <c r="C53" s="338" t="s">
        <v>207</v>
      </c>
      <c r="D53" s="339">
        <v>31860</v>
      </c>
      <c r="E53" s="340">
        <v>1.8</v>
      </c>
      <c r="F53" s="340">
        <f t="shared" si="10"/>
        <v>57348</v>
      </c>
      <c r="G53" s="340">
        <f t="shared" si="11"/>
        <v>10896.12</v>
      </c>
      <c r="H53" s="495">
        <f t="shared" si="12"/>
        <v>68244.72</v>
      </c>
      <c r="I53" s="333"/>
      <c r="J53" s="672"/>
      <c r="K53" s="338"/>
      <c r="L53" s="340"/>
      <c r="M53" s="341"/>
      <c r="N53" s="334"/>
      <c r="O53" s="336"/>
      <c r="P53" s="334"/>
      <c r="Q53" s="333"/>
    </row>
    <row r="54" spans="1:17" s="332" customFormat="1" ht="13.5" thickBot="1">
      <c r="A54" s="496"/>
      <c r="B54" s="497"/>
      <c r="C54" s="498"/>
      <c r="D54" s="499"/>
      <c r="E54" s="500"/>
      <c r="F54" s="500"/>
      <c r="G54" s="500"/>
      <c r="H54" s="501"/>
      <c r="I54" s="333"/>
      <c r="J54" s="333"/>
      <c r="K54" s="338"/>
      <c r="L54" s="340"/>
      <c r="M54" s="341"/>
      <c r="N54" s="656"/>
      <c r="O54" s="336"/>
      <c r="P54" s="334"/>
      <c r="Q54" s="333"/>
    </row>
    <row r="55" spans="1:17" s="332" customFormat="1">
      <c r="A55" s="337"/>
      <c r="B55" s="333"/>
      <c r="C55" s="338"/>
      <c r="D55" s="339"/>
      <c r="E55" s="340"/>
      <c r="F55" s="340"/>
      <c r="G55" s="340"/>
      <c r="H55" s="340"/>
      <c r="I55" s="333"/>
      <c r="J55" s="333"/>
      <c r="K55" s="338"/>
      <c r="L55" s="340"/>
      <c r="M55" s="341"/>
      <c r="N55" s="334"/>
      <c r="O55" s="336"/>
      <c r="P55" s="334"/>
      <c r="Q55" s="333"/>
    </row>
    <row r="56" spans="1:17">
      <c r="A56" s="850" t="s">
        <v>1403</v>
      </c>
      <c r="B56" s="850"/>
      <c r="C56" s="850"/>
      <c r="D56" s="850"/>
      <c r="E56" s="850"/>
      <c r="F56" s="850"/>
      <c r="G56" s="850"/>
      <c r="H56" s="850"/>
    </row>
    <row r="57" spans="1:17" ht="13.5" thickBot="1">
      <c r="A57" s="314"/>
      <c r="C57" s="519"/>
      <c r="D57" s="273"/>
      <c r="E57" s="313"/>
      <c r="F57" s="313"/>
      <c r="G57" s="313"/>
      <c r="H57" s="313"/>
    </row>
    <row r="58" spans="1:17">
      <c r="A58" s="851" t="s">
        <v>252</v>
      </c>
      <c r="B58" s="852"/>
      <c r="C58" s="404" t="s">
        <v>168</v>
      </c>
      <c r="D58" s="853">
        <v>0</v>
      </c>
      <c r="E58" s="854"/>
      <c r="F58" s="405">
        <v>0</v>
      </c>
      <c r="G58" s="405">
        <v>0</v>
      </c>
      <c r="H58" s="406">
        <v>0</v>
      </c>
    </row>
    <row r="59" spans="1:17">
      <c r="A59" s="843" t="s">
        <v>253</v>
      </c>
      <c r="B59" s="844"/>
      <c r="C59" s="407" t="s">
        <v>168</v>
      </c>
      <c r="D59" s="845">
        <f>705400+D66</f>
        <v>744120</v>
      </c>
      <c r="E59" s="846"/>
      <c r="F59" s="408">
        <f>1154684+F66</f>
        <v>1224380</v>
      </c>
      <c r="G59" s="408">
        <f>220110.94+G66</f>
        <v>233485.6024</v>
      </c>
      <c r="H59" s="409">
        <f>1382367.396+H66</f>
        <v>1466135.6184</v>
      </c>
    </row>
    <row r="60" spans="1:17">
      <c r="A60" s="843" t="s">
        <v>254</v>
      </c>
      <c r="B60" s="844"/>
      <c r="C60" s="407" t="s">
        <v>168</v>
      </c>
      <c r="D60" s="845">
        <v>0</v>
      </c>
      <c r="E60" s="846"/>
      <c r="F60" s="408">
        <v>0</v>
      </c>
      <c r="G60" s="408">
        <v>0</v>
      </c>
      <c r="H60" s="409">
        <v>0</v>
      </c>
    </row>
    <row r="61" spans="1:17">
      <c r="A61" s="843" t="s">
        <v>255</v>
      </c>
      <c r="B61" s="844"/>
      <c r="C61" s="407" t="s">
        <v>168</v>
      </c>
      <c r="D61" s="845">
        <v>0</v>
      </c>
      <c r="E61" s="846"/>
      <c r="F61" s="408">
        <v>0</v>
      </c>
      <c r="G61" s="408">
        <v>0</v>
      </c>
      <c r="H61" s="409">
        <v>0</v>
      </c>
    </row>
    <row r="62" spans="1:17">
      <c r="A62" s="837" t="s">
        <v>77</v>
      </c>
      <c r="B62" s="838"/>
      <c r="C62" s="838"/>
      <c r="D62" s="838"/>
      <c r="E62" s="838"/>
      <c r="F62" s="410">
        <f>SUM(F58:F61)</f>
        <v>1224380</v>
      </c>
      <c r="G62" s="410">
        <f>SUM(G58:G61)</f>
        <v>233485.6024</v>
      </c>
      <c r="H62" s="411">
        <f>SUM(H58:H61)</f>
        <v>1466135.6184</v>
      </c>
    </row>
    <row r="63" spans="1:17">
      <c r="A63" s="841" t="s">
        <v>256</v>
      </c>
      <c r="B63" s="842"/>
      <c r="C63" s="842"/>
      <c r="D63" s="842"/>
      <c r="E63" s="842"/>
      <c r="F63" s="842"/>
      <c r="G63" s="842"/>
      <c r="H63" s="411">
        <f>1382367.396+81605.4</f>
        <v>1463972.7959999999</v>
      </c>
    </row>
    <row r="64" spans="1:17" ht="13.5" thickBot="1">
      <c r="A64" s="839" t="s">
        <v>257</v>
      </c>
      <c r="B64" s="840"/>
      <c r="C64" s="840"/>
      <c r="D64" s="840"/>
      <c r="E64" s="840"/>
      <c r="F64" s="840"/>
      <c r="G64" s="840"/>
      <c r="H64" s="412">
        <f>+H62-H63</f>
        <v>2162.8224000001792</v>
      </c>
    </row>
    <row r="65" spans="1:17" ht="13.5" thickBot="1"/>
    <row r="66" spans="1:17" s="332" customFormat="1">
      <c r="A66" s="664">
        <v>43427</v>
      </c>
      <c r="B66" s="665" t="s">
        <v>175</v>
      </c>
      <c r="C66" s="666" t="s">
        <v>207</v>
      </c>
      <c r="D66" s="667">
        <v>38720</v>
      </c>
      <c r="E66" s="668">
        <v>1.8</v>
      </c>
      <c r="F66" s="668">
        <f t="shared" ref="F66" si="13">D66*E66</f>
        <v>69696</v>
      </c>
      <c r="G66" s="668">
        <f>F66*1.01*0.19</f>
        <v>13374.662400000001</v>
      </c>
      <c r="H66" s="669">
        <f>F66*1.01+G66+0.6</f>
        <v>83768.222400000013</v>
      </c>
      <c r="I66" s="333"/>
      <c r="J66" s="672"/>
      <c r="K66" s="338"/>
      <c r="L66" s="340"/>
      <c r="M66" s="341"/>
      <c r="N66" s="334"/>
      <c r="O66" s="336"/>
      <c r="P66" s="334"/>
      <c r="Q66" s="333"/>
    </row>
    <row r="67" spans="1:17">
      <c r="A67" s="699"/>
      <c r="B67" s="679"/>
      <c r="C67" s="679"/>
      <c r="D67" s="679"/>
      <c r="E67" s="679"/>
      <c r="F67" s="679"/>
      <c r="G67" s="679"/>
      <c r="H67" s="700"/>
    </row>
    <row r="68" spans="1:17" ht="13.5" thickBot="1">
      <c r="A68" s="646"/>
      <c r="B68" s="647"/>
      <c r="C68" s="647"/>
      <c r="D68" s="647"/>
      <c r="E68" s="647"/>
      <c r="F68" s="647"/>
      <c r="G68" s="647"/>
      <c r="H68" s="648"/>
    </row>
  </sheetData>
  <sortState ref="A14:H32">
    <sortCondition ref="B14:B32"/>
  </sortState>
  <mergeCells count="39">
    <mergeCell ref="D3:E3"/>
    <mergeCell ref="D4:E4"/>
    <mergeCell ref="D5:E5"/>
    <mergeCell ref="D7:E7"/>
    <mergeCell ref="A3:B3"/>
    <mergeCell ref="A4:B4"/>
    <mergeCell ref="A5:B5"/>
    <mergeCell ref="A6:B6"/>
    <mergeCell ref="A7:B7"/>
    <mergeCell ref="A1:H1"/>
    <mergeCell ref="A36:H36"/>
    <mergeCell ref="A38:B38"/>
    <mergeCell ref="D38:E38"/>
    <mergeCell ref="A64:G64"/>
    <mergeCell ref="A60:B60"/>
    <mergeCell ref="D60:E60"/>
    <mergeCell ref="A61:B61"/>
    <mergeCell ref="D61:E61"/>
    <mergeCell ref="A62:E62"/>
    <mergeCell ref="A63:G63"/>
    <mergeCell ref="D6:E6"/>
    <mergeCell ref="A58:B58"/>
    <mergeCell ref="D58:E58"/>
    <mergeCell ref="A59:B59"/>
    <mergeCell ref="D59:E59"/>
    <mergeCell ref="A42:E42"/>
    <mergeCell ref="A44:G44"/>
    <mergeCell ref="A56:H56"/>
    <mergeCell ref="A43:G43"/>
    <mergeCell ref="A40:B40"/>
    <mergeCell ref="D40:E40"/>
    <mergeCell ref="A8:E8"/>
    <mergeCell ref="A10:G10"/>
    <mergeCell ref="A9:G9"/>
    <mergeCell ref="A41:B41"/>
    <mergeCell ref="D41:E41"/>
    <mergeCell ref="A39:B39"/>
    <mergeCell ref="D39:E39"/>
    <mergeCell ref="A12:H12"/>
  </mergeCells>
  <pageMargins left="0.70866141732283472" right="0.70866141732283472" top="0.21" bottom="3.937007874015748E-2" header="0.17" footer="0.22"/>
  <pageSetup paperSize="9" orientation="portrait" horizontalDpi="180" verticalDpi="180" r:id="rId1"/>
  <ignoredErrors>
    <ignoredError sqref="E41 E39 E40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dimension ref="A1:E1268"/>
  <sheetViews>
    <sheetView topLeftCell="A400" workbookViewId="0">
      <selection activeCell="J19" sqref="J19"/>
    </sheetView>
  </sheetViews>
  <sheetFormatPr baseColWidth="10" defaultRowHeight="15"/>
  <cols>
    <col min="1" max="1" width="8.140625" style="359" bestFit="1" customWidth="1"/>
    <col min="2" max="2" width="33.5703125" style="359" bestFit="1" customWidth="1"/>
    <col min="3" max="3" width="10.7109375" style="359" bestFit="1" customWidth="1"/>
    <col min="4" max="4" width="14" style="40" bestFit="1" customWidth="1"/>
    <col min="5" max="5" width="8" style="359" bestFit="1" customWidth="1"/>
    <col min="6" max="16384" width="11.42578125" style="359"/>
  </cols>
  <sheetData>
    <row r="1" spans="1:4" s="624" customFormat="1" ht="15.75" thickBot="1">
      <c r="A1" s="621" t="s">
        <v>279</v>
      </c>
      <c r="B1" s="622" t="s">
        <v>280</v>
      </c>
      <c r="C1" s="622" t="s">
        <v>750</v>
      </c>
      <c r="D1" s="623" t="s">
        <v>751</v>
      </c>
    </row>
    <row r="2" spans="1:4">
      <c r="A2" s="359" t="s">
        <v>702</v>
      </c>
      <c r="B2" s="359" t="s">
        <v>437</v>
      </c>
      <c r="C2" s="89">
        <v>43441</v>
      </c>
      <c r="D2" s="40">
        <v>1155</v>
      </c>
    </row>
    <row r="3" spans="1:4">
      <c r="A3" s="359" t="s">
        <v>359</v>
      </c>
      <c r="B3" s="359" t="s">
        <v>360</v>
      </c>
      <c r="C3" s="89">
        <v>43441</v>
      </c>
      <c r="D3" s="40">
        <v>1052.31</v>
      </c>
    </row>
    <row r="4" spans="1:4">
      <c r="A4" s="359" t="s">
        <v>400</v>
      </c>
      <c r="B4" s="359" t="s">
        <v>401</v>
      </c>
      <c r="C4" s="89">
        <v>43441</v>
      </c>
      <c r="D4" s="40">
        <v>2500</v>
      </c>
    </row>
    <row r="5" spans="1:4">
      <c r="A5" s="359" t="s">
        <v>301</v>
      </c>
      <c r="B5" s="359" t="s">
        <v>302</v>
      </c>
      <c r="C5" s="89">
        <v>43441</v>
      </c>
      <c r="D5" s="40">
        <v>3000</v>
      </c>
    </row>
    <row r="6" spans="1:4">
      <c r="A6" s="359" t="s">
        <v>746</v>
      </c>
      <c r="B6" s="359" t="s">
        <v>562</v>
      </c>
      <c r="C6" s="89">
        <v>43442</v>
      </c>
      <c r="D6" s="40">
        <v>2534.5140000000001</v>
      </c>
    </row>
    <row r="7" spans="1:4">
      <c r="A7" s="359" t="s">
        <v>1214</v>
      </c>
      <c r="B7" s="359" t="s">
        <v>700</v>
      </c>
      <c r="C7" s="89">
        <v>43442</v>
      </c>
      <c r="D7" s="40">
        <v>1747.9010000000001</v>
      </c>
    </row>
    <row r="8" spans="1:4">
      <c r="A8" s="359" t="s">
        <v>1024</v>
      </c>
      <c r="B8" s="359" t="s">
        <v>592</v>
      </c>
      <c r="C8" s="89">
        <v>43442</v>
      </c>
      <c r="D8" s="40">
        <v>1006.678</v>
      </c>
    </row>
    <row r="9" spans="1:4">
      <c r="A9" s="359" t="s">
        <v>939</v>
      </c>
      <c r="B9" s="359" t="s">
        <v>361</v>
      </c>
      <c r="C9" s="89">
        <v>43442</v>
      </c>
      <c r="D9" s="40">
        <v>1764.913</v>
      </c>
    </row>
    <row r="10" spans="1:4">
      <c r="A10" s="359" t="s">
        <v>295</v>
      </c>
      <c r="B10" s="359" t="s">
        <v>296</v>
      </c>
      <c r="C10" s="89">
        <v>43442</v>
      </c>
      <c r="D10" s="40">
        <v>534.125</v>
      </c>
    </row>
    <row r="11" spans="1:4" s="558" customFormat="1">
      <c r="A11" s="359" t="s">
        <v>295</v>
      </c>
      <c r="B11" s="359" t="s">
        <v>296</v>
      </c>
      <c r="C11" s="89">
        <v>43442</v>
      </c>
      <c r="D11" s="40">
        <v>665.625</v>
      </c>
    </row>
    <row r="12" spans="1:4">
      <c r="A12" s="359" t="s">
        <v>968</v>
      </c>
      <c r="B12" s="359" t="s">
        <v>967</v>
      </c>
      <c r="C12" s="89">
        <v>43442</v>
      </c>
      <c r="D12" s="40">
        <v>329.57600000000002</v>
      </c>
    </row>
    <row r="13" spans="1:4">
      <c r="A13" s="359" t="s">
        <v>351</v>
      </c>
      <c r="B13" s="359" t="s">
        <v>352</v>
      </c>
      <c r="C13" s="89">
        <v>43442</v>
      </c>
      <c r="D13" s="40">
        <v>2004.8030000000001</v>
      </c>
    </row>
    <row r="14" spans="1:4">
      <c r="A14" s="359" t="s">
        <v>764</v>
      </c>
      <c r="B14" s="359" t="s">
        <v>765</v>
      </c>
      <c r="C14" s="89">
        <v>43442</v>
      </c>
      <c r="D14" s="40">
        <v>2450.761</v>
      </c>
    </row>
    <row r="15" spans="1:4">
      <c r="A15" s="359" t="s">
        <v>587</v>
      </c>
      <c r="B15" s="359" t="s">
        <v>588</v>
      </c>
      <c r="C15" s="89">
        <v>43442</v>
      </c>
      <c r="D15" s="40">
        <v>2048.4319999999998</v>
      </c>
    </row>
    <row r="16" spans="1:4">
      <c r="A16" s="359" t="s">
        <v>1201</v>
      </c>
      <c r="B16" s="359" t="s">
        <v>1200</v>
      </c>
      <c r="C16" s="89">
        <v>43443</v>
      </c>
      <c r="D16" s="40">
        <v>637.36699999999996</v>
      </c>
    </row>
    <row r="17" spans="1:4">
      <c r="A17" s="359" t="s">
        <v>293</v>
      </c>
      <c r="B17" s="359" t="s">
        <v>294</v>
      </c>
      <c r="C17" s="89">
        <v>43443</v>
      </c>
      <c r="D17" s="40">
        <v>1145</v>
      </c>
    </row>
    <row r="18" spans="1:4">
      <c r="A18" s="582" t="s">
        <v>565</v>
      </c>
      <c r="B18" s="582" t="s">
        <v>566</v>
      </c>
      <c r="C18" s="725">
        <v>43444</v>
      </c>
      <c r="D18" s="726">
        <v>1956.769</v>
      </c>
    </row>
    <row r="19" spans="1:4">
      <c r="A19" s="359" t="s">
        <v>987</v>
      </c>
      <c r="B19" s="359" t="s">
        <v>496</v>
      </c>
      <c r="C19" s="89">
        <v>43444</v>
      </c>
      <c r="D19" s="40">
        <v>971.62699999999995</v>
      </c>
    </row>
    <row r="20" spans="1:4">
      <c r="A20" s="359" t="s">
        <v>738</v>
      </c>
      <c r="B20" s="359" t="s">
        <v>499</v>
      </c>
      <c r="C20" s="89">
        <v>43444</v>
      </c>
      <c r="D20" s="40">
        <v>3831.7460000000001</v>
      </c>
    </row>
    <row r="21" spans="1:4">
      <c r="A21" s="359" t="s">
        <v>357</v>
      </c>
      <c r="B21" s="359" t="s">
        <v>358</v>
      </c>
      <c r="C21" s="89">
        <v>43444</v>
      </c>
      <c r="D21" s="40">
        <v>373</v>
      </c>
    </row>
    <row r="22" spans="1:4">
      <c r="A22" s="359" t="s">
        <v>1028</v>
      </c>
      <c r="B22" s="359" t="s">
        <v>610</v>
      </c>
      <c r="C22" s="89">
        <v>43444</v>
      </c>
      <c r="D22" s="40">
        <v>1000.001</v>
      </c>
    </row>
    <row r="23" spans="1:4">
      <c r="A23" s="359" t="s">
        <v>1023</v>
      </c>
      <c r="B23" s="359" t="s">
        <v>420</v>
      </c>
      <c r="C23" s="89">
        <v>43444</v>
      </c>
      <c r="D23" s="40">
        <v>1020.913</v>
      </c>
    </row>
    <row r="24" spans="1:4">
      <c r="A24" s="359" t="s">
        <v>702</v>
      </c>
      <c r="B24" s="359" t="s">
        <v>437</v>
      </c>
      <c r="C24" s="89">
        <v>43444</v>
      </c>
      <c r="D24" s="40">
        <v>1145</v>
      </c>
    </row>
    <row r="25" spans="1:4">
      <c r="A25" s="359" t="s">
        <v>428</v>
      </c>
      <c r="B25" s="359" t="s">
        <v>429</v>
      </c>
      <c r="C25" s="89">
        <v>43444</v>
      </c>
      <c r="D25" s="40">
        <v>747.21500000000003</v>
      </c>
    </row>
    <row r="26" spans="1:4">
      <c r="A26" s="359" t="s">
        <v>569</v>
      </c>
      <c r="B26" s="359" t="s">
        <v>570</v>
      </c>
      <c r="C26" s="89">
        <v>43444</v>
      </c>
      <c r="D26" s="40">
        <v>500.84699999999998</v>
      </c>
    </row>
    <row r="27" spans="1:4">
      <c r="A27" s="359" t="s">
        <v>1250</v>
      </c>
      <c r="B27" s="359" t="s">
        <v>1249</v>
      </c>
      <c r="C27" s="89">
        <v>43444</v>
      </c>
      <c r="D27" s="40">
        <v>1346.5509999999999</v>
      </c>
    </row>
    <row r="28" spans="1:4">
      <c r="A28" s="359" t="s">
        <v>681</v>
      </c>
      <c r="B28" s="359" t="s">
        <v>682</v>
      </c>
      <c r="C28" s="89">
        <v>43444</v>
      </c>
      <c r="D28" s="40">
        <v>637.30799999999999</v>
      </c>
    </row>
    <row r="29" spans="1:4">
      <c r="A29" s="359" t="s">
        <v>374</v>
      </c>
      <c r="B29" s="359" t="s">
        <v>375</v>
      </c>
      <c r="C29" s="89">
        <v>43444</v>
      </c>
      <c r="D29" s="40">
        <v>1002.549</v>
      </c>
    </row>
    <row r="30" spans="1:4">
      <c r="A30" s="359" t="s">
        <v>642</v>
      </c>
      <c r="B30" s="359" t="s">
        <v>515</v>
      </c>
      <c r="C30" s="89">
        <v>43444</v>
      </c>
      <c r="D30" s="40">
        <v>2908</v>
      </c>
    </row>
    <row r="31" spans="1:4">
      <c r="A31" s="359" t="s">
        <v>754</v>
      </c>
      <c r="B31" s="359" t="s">
        <v>518</v>
      </c>
      <c r="C31" s="89">
        <v>43444</v>
      </c>
      <c r="D31" s="40">
        <v>300</v>
      </c>
    </row>
    <row r="32" spans="1:4">
      <c r="A32" s="359" t="s">
        <v>754</v>
      </c>
      <c r="B32" s="359" t="s">
        <v>518</v>
      </c>
      <c r="C32" s="89">
        <v>43444</v>
      </c>
      <c r="D32" s="40">
        <v>285.36500000000001</v>
      </c>
    </row>
    <row r="33" spans="1:4">
      <c r="A33" s="359" t="s">
        <v>669</v>
      </c>
      <c r="B33" s="359" t="s">
        <v>282</v>
      </c>
      <c r="C33" s="89">
        <v>43444</v>
      </c>
      <c r="D33" s="40">
        <v>1892.269</v>
      </c>
    </row>
    <row r="34" spans="1:4">
      <c r="A34" s="359" t="s">
        <v>1630</v>
      </c>
      <c r="B34" s="359" t="s">
        <v>964</v>
      </c>
      <c r="C34" s="89">
        <v>43444</v>
      </c>
      <c r="D34" s="40">
        <v>190</v>
      </c>
    </row>
    <row r="35" spans="1:4">
      <c r="A35" s="359" t="s">
        <v>956</v>
      </c>
      <c r="B35" s="359" t="s">
        <v>379</v>
      </c>
      <c r="C35" s="89">
        <v>43444</v>
      </c>
      <c r="D35" s="40">
        <v>511.31400000000002</v>
      </c>
    </row>
    <row r="36" spans="1:4">
      <c r="A36" s="359" t="s">
        <v>1370</v>
      </c>
      <c r="B36" s="359" t="s">
        <v>1369</v>
      </c>
      <c r="C36" s="89">
        <v>43444</v>
      </c>
      <c r="D36" s="40">
        <v>785.52300000000002</v>
      </c>
    </row>
    <row r="37" spans="1:4">
      <c r="A37" s="359" t="s">
        <v>1234</v>
      </c>
      <c r="B37" s="359" t="s">
        <v>1360</v>
      </c>
      <c r="C37" s="89">
        <v>43444</v>
      </c>
      <c r="D37" s="40">
        <v>7648.3419999999996</v>
      </c>
    </row>
    <row r="38" spans="1:4">
      <c r="A38" s="359" t="s">
        <v>413</v>
      </c>
      <c r="B38" s="359" t="s">
        <v>414</v>
      </c>
      <c r="C38" s="89">
        <v>43444</v>
      </c>
      <c r="D38" s="40">
        <v>6073.31</v>
      </c>
    </row>
    <row r="39" spans="1:4">
      <c r="A39" s="359" t="s">
        <v>380</v>
      </c>
      <c r="B39" s="359" t="s">
        <v>381</v>
      </c>
      <c r="C39" s="89">
        <v>43444</v>
      </c>
      <c r="D39" s="40">
        <v>1112</v>
      </c>
    </row>
    <row r="40" spans="1:4">
      <c r="A40" s="359" t="s">
        <v>333</v>
      </c>
      <c r="B40" s="359" t="s">
        <v>334</v>
      </c>
      <c r="C40" s="89">
        <v>43444</v>
      </c>
      <c r="D40" s="40">
        <v>2061.9229999999998</v>
      </c>
    </row>
    <row r="41" spans="1:4">
      <c r="A41" s="359" t="s">
        <v>981</v>
      </c>
      <c r="B41" s="359" t="s">
        <v>980</v>
      </c>
      <c r="C41" s="89">
        <v>43444</v>
      </c>
      <c r="D41" s="40">
        <v>1935</v>
      </c>
    </row>
    <row r="42" spans="1:4">
      <c r="A42" s="359" t="s">
        <v>572</v>
      </c>
      <c r="B42" s="359" t="s">
        <v>531</v>
      </c>
      <c r="C42" s="89">
        <v>43444</v>
      </c>
      <c r="D42" s="40">
        <v>3024.4160000000002</v>
      </c>
    </row>
    <row r="43" spans="1:4">
      <c r="A43" s="359" t="s">
        <v>457</v>
      </c>
      <c r="B43" s="359" t="s">
        <v>458</v>
      </c>
      <c r="C43" s="89">
        <v>43444</v>
      </c>
      <c r="D43" s="40">
        <v>1061.01</v>
      </c>
    </row>
    <row r="44" spans="1:4">
      <c r="A44" s="359" t="s">
        <v>382</v>
      </c>
      <c r="B44" s="359" t="s">
        <v>383</v>
      </c>
      <c r="C44" s="89">
        <v>43444</v>
      </c>
      <c r="D44" s="40">
        <v>2400</v>
      </c>
    </row>
    <row r="45" spans="1:4">
      <c r="A45" s="359" t="s">
        <v>675</v>
      </c>
      <c r="B45" s="359" t="s">
        <v>676</v>
      </c>
      <c r="C45" s="89">
        <v>43444</v>
      </c>
      <c r="D45" s="40">
        <v>6707.82</v>
      </c>
    </row>
    <row r="46" spans="1:4">
      <c r="A46" s="359" t="s">
        <v>470</v>
      </c>
      <c r="B46" s="359" t="s">
        <v>471</v>
      </c>
      <c r="C46" s="89">
        <v>43444</v>
      </c>
      <c r="D46" s="40">
        <v>400</v>
      </c>
    </row>
    <row r="47" spans="1:4">
      <c r="A47" s="359" t="s">
        <v>411</v>
      </c>
      <c r="B47" s="359" t="s">
        <v>412</v>
      </c>
      <c r="C47" s="89">
        <v>43444</v>
      </c>
      <c r="D47" s="40">
        <v>1834.2</v>
      </c>
    </row>
    <row r="48" spans="1:4">
      <c r="A48" s="359" t="s">
        <v>576</v>
      </c>
      <c r="B48" s="359" t="s">
        <v>577</v>
      </c>
      <c r="C48" s="89">
        <v>43444</v>
      </c>
      <c r="D48" s="40">
        <v>2000</v>
      </c>
    </row>
    <row r="49" spans="1:4">
      <c r="A49" s="359" t="s">
        <v>392</v>
      </c>
      <c r="B49" s="359" t="s">
        <v>393</v>
      </c>
      <c r="C49" s="89">
        <v>43444</v>
      </c>
      <c r="D49" s="40">
        <v>1046.6600000000001</v>
      </c>
    </row>
    <row r="50" spans="1:4">
      <c r="A50" s="359" t="s">
        <v>744</v>
      </c>
      <c r="B50" s="359" t="s">
        <v>745</v>
      </c>
      <c r="C50" s="89">
        <v>43444</v>
      </c>
      <c r="D50" s="40">
        <v>2000</v>
      </c>
    </row>
    <row r="51" spans="1:4">
      <c r="A51" s="359" t="s">
        <v>386</v>
      </c>
      <c r="B51" s="359" t="s">
        <v>387</v>
      </c>
      <c r="C51" s="89">
        <v>43444</v>
      </c>
      <c r="D51" s="40">
        <v>2600</v>
      </c>
    </row>
    <row r="52" spans="1:4">
      <c r="A52" s="359" t="s">
        <v>427</v>
      </c>
      <c r="B52" s="359" t="s">
        <v>415</v>
      </c>
      <c r="C52" s="89">
        <v>43444</v>
      </c>
      <c r="D52" s="40">
        <v>510.18900000000002</v>
      </c>
    </row>
    <row r="53" spans="1:4">
      <c r="A53" s="359" t="s">
        <v>673</v>
      </c>
      <c r="B53" s="359" t="s">
        <v>674</v>
      </c>
      <c r="C53" s="89">
        <v>43444</v>
      </c>
      <c r="D53" s="40">
        <v>6919.826</v>
      </c>
    </row>
    <row r="54" spans="1:4">
      <c r="A54" s="359" t="s">
        <v>536</v>
      </c>
      <c r="B54" s="359" t="s">
        <v>462</v>
      </c>
      <c r="C54" s="89">
        <v>43444</v>
      </c>
      <c r="D54" s="40">
        <v>3662.4180000000001</v>
      </c>
    </row>
    <row r="55" spans="1:4">
      <c r="A55" s="359" t="s">
        <v>283</v>
      </c>
      <c r="B55" s="359" t="s">
        <v>284</v>
      </c>
      <c r="C55" s="89">
        <v>43444</v>
      </c>
      <c r="D55" s="40">
        <v>2000</v>
      </c>
    </row>
    <row r="56" spans="1:4">
      <c r="A56" s="359" t="s">
        <v>355</v>
      </c>
      <c r="B56" s="359" t="s">
        <v>356</v>
      </c>
      <c r="C56" s="89">
        <v>43444</v>
      </c>
      <c r="D56" s="40">
        <v>540</v>
      </c>
    </row>
    <row r="57" spans="1:4">
      <c r="A57" s="359" t="s">
        <v>322</v>
      </c>
      <c r="B57" s="359" t="s">
        <v>323</v>
      </c>
      <c r="C57" s="89">
        <v>43445</v>
      </c>
      <c r="D57" s="40">
        <v>1460</v>
      </c>
    </row>
    <row r="58" spans="1:4">
      <c r="A58" s="359" t="s">
        <v>613</v>
      </c>
      <c r="B58" s="359" t="s">
        <v>614</v>
      </c>
      <c r="C58" s="89">
        <v>43445</v>
      </c>
      <c r="D58" s="40">
        <v>1599.0170000000001</v>
      </c>
    </row>
    <row r="59" spans="1:4">
      <c r="A59" s="359" t="s">
        <v>301</v>
      </c>
      <c r="B59" s="359" t="s">
        <v>302</v>
      </c>
      <c r="C59" s="89">
        <v>43445</v>
      </c>
      <c r="D59" s="40">
        <v>3000</v>
      </c>
    </row>
    <row r="60" spans="1:4">
      <c r="A60" s="359" t="s">
        <v>345</v>
      </c>
      <c r="B60" s="359" t="s">
        <v>346</v>
      </c>
      <c r="C60" s="89">
        <v>43445</v>
      </c>
      <c r="D60" s="40">
        <v>481.2</v>
      </c>
    </row>
    <row r="61" spans="1:4">
      <c r="A61" s="359" t="s">
        <v>297</v>
      </c>
      <c r="B61" s="359" t="s">
        <v>298</v>
      </c>
      <c r="C61" s="89">
        <v>43445</v>
      </c>
      <c r="D61" s="40">
        <v>2500</v>
      </c>
    </row>
    <row r="62" spans="1:4">
      <c r="A62" s="359" t="s">
        <v>359</v>
      </c>
      <c r="B62" s="359" t="s">
        <v>360</v>
      </c>
      <c r="C62" s="89">
        <v>43446</v>
      </c>
      <c r="D62" s="40">
        <v>1068.432</v>
      </c>
    </row>
    <row r="63" spans="1:4">
      <c r="A63" s="359" t="s">
        <v>773</v>
      </c>
      <c r="B63" s="359" t="s">
        <v>696</v>
      </c>
      <c r="C63" s="89">
        <v>43446</v>
      </c>
      <c r="D63" s="40">
        <v>1739.69</v>
      </c>
    </row>
    <row r="64" spans="1:4">
      <c r="A64" s="359" t="s">
        <v>403</v>
      </c>
      <c r="B64" s="359" t="s">
        <v>404</v>
      </c>
      <c r="C64" s="89">
        <v>43446</v>
      </c>
      <c r="D64" s="40">
        <v>112.85599999999999</v>
      </c>
    </row>
    <row r="65" spans="1:4">
      <c r="A65" s="359" t="s">
        <v>595</v>
      </c>
      <c r="B65" s="359" t="s">
        <v>290</v>
      </c>
      <c r="C65" s="89">
        <v>43446</v>
      </c>
      <c r="D65" s="40">
        <v>735.42499999999995</v>
      </c>
    </row>
    <row r="66" spans="1:4">
      <c r="A66" s="359" t="s">
        <v>301</v>
      </c>
      <c r="B66" s="359" t="s">
        <v>302</v>
      </c>
      <c r="C66" s="89">
        <v>43446</v>
      </c>
      <c r="D66" s="40">
        <v>3000</v>
      </c>
    </row>
    <row r="67" spans="1:4">
      <c r="A67" s="359" t="s">
        <v>345</v>
      </c>
      <c r="B67" s="359" t="s">
        <v>346</v>
      </c>
      <c r="C67" s="89">
        <v>43446</v>
      </c>
      <c r="D67" s="40">
        <v>863</v>
      </c>
    </row>
    <row r="68" spans="1:4">
      <c r="A68" s="359" t="s">
        <v>303</v>
      </c>
      <c r="B68" s="359" t="s">
        <v>304</v>
      </c>
      <c r="C68" s="89">
        <v>43446</v>
      </c>
      <c r="D68" s="40">
        <v>861.80700000000002</v>
      </c>
    </row>
    <row r="69" spans="1:4">
      <c r="A69" s="359" t="s">
        <v>1376</v>
      </c>
      <c r="B69" s="359" t="s">
        <v>1206</v>
      </c>
      <c r="C69" s="89">
        <v>43446</v>
      </c>
      <c r="D69" s="40">
        <v>978.48299999999995</v>
      </c>
    </row>
    <row r="70" spans="1:4">
      <c r="A70" s="359" t="s">
        <v>394</v>
      </c>
      <c r="B70" s="359" t="s">
        <v>395</v>
      </c>
      <c r="C70" s="89">
        <v>43446</v>
      </c>
      <c r="D70" s="40">
        <v>1459.7070000000001</v>
      </c>
    </row>
    <row r="71" spans="1:4">
      <c r="A71" s="359" t="s">
        <v>767</v>
      </c>
      <c r="B71" s="359" t="s">
        <v>768</v>
      </c>
      <c r="C71" s="89">
        <v>43446</v>
      </c>
      <c r="D71" s="40">
        <v>3300</v>
      </c>
    </row>
    <row r="72" spans="1:4">
      <c r="A72" s="359" t="s">
        <v>1619</v>
      </c>
      <c r="B72" s="359" t="s">
        <v>1618</v>
      </c>
      <c r="C72" s="89">
        <v>43447</v>
      </c>
      <c r="D72" s="40">
        <v>500</v>
      </c>
    </row>
    <row r="73" spans="1:4">
      <c r="A73" s="359" t="s">
        <v>1203</v>
      </c>
      <c r="B73" s="359" t="s">
        <v>933</v>
      </c>
      <c r="C73" s="89">
        <v>43447</v>
      </c>
      <c r="D73" s="40">
        <v>1434.6210000000001</v>
      </c>
    </row>
    <row r="74" spans="1:4">
      <c r="A74" s="359" t="s">
        <v>554</v>
      </c>
      <c r="B74" s="359" t="s">
        <v>555</v>
      </c>
      <c r="C74" s="89">
        <v>43447</v>
      </c>
      <c r="D74" s="40">
        <v>6724.1189999999997</v>
      </c>
    </row>
    <row r="75" spans="1:4">
      <c r="A75" s="359" t="s">
        <v>416</v>
      </c>
      <c r="B75" s="359" t="s">
        <v>417</v>
      </c>
      <c r="C75" s="89">
        <v>43447</v>
      </c>
      <c r="D75" s="40">
        <v>750</v>
      </c>
    </row>
    <row r="76" spans="1:4">
      <c r="A76" s="359" t="s">
        <v>400</v>
      </c>
      <c r="B76" s="359" t="s">
        <v>401</v>
      </c>
      <c r="C76" s="89">
        <v>43447</v>
      </c>
      <c r="D76" s="40">
        <v>3000</v>
      </c>
    </row>
    <row r="77" spans="1:4">
      <c r="A77" s="359" t="s">
        <v>1205</v>
      </c>
      <c r="B77" s="359" t="s">
        <v>1204</v>
      </c>
      <c r="C77" s="89">
        <v>43447</v>
      </c>
      <c r="D77" s="40">
        <v>2813.54</v>
      </c>
    </row>
    <row r="78" spans="1:4">
      <c r="A78" s="359" t="s">
        <v>766</v>
      </c>
      <c r="B78" s="359" t="s">
        <v>285</v>
      </c>
      <c r="C78" s="89">
        <v>43447</v>
      </c>
      <c r="D78" s="40">
        <v>735.42499999999995</v>
      </c>
    </row>
    <row r="79" spans="1:4">
      <c r="A79" s="359" t="s">
        <v>286</v>
      </c>
      <c r="B79" s="359" t="s">
        <v>287</v>
      </c>
      <c r="C79" s="89">
        <v>43447</v>
      </c>
      <c r="D79" s="40">
        <v>2500</v>
      </c>
    </row>
    <row r="80" spans="1:4">
      <c r="A80" s="359" t="s">
        <v>291</v>
      </c>
      <c r="B80" s="359" t="s">
        <v>292</v>
      </c>
      <c r="C80" s="89">
        <v>43447</v>
      </c>
      <c r="D80" s="40">
        <v>800.52599999999995</v>
      </c>
    </row>
    <row r="81" spans="1:4">
      <c r="A81" s="359" t="s">
        <v>293</v>
      </c>
      <c r="B81" s="359" t="s">
        <v>294</v>
      </c>
      <c r="C81" s="89">
        <v>43447</v>
      </c>
      <c r="D81" s="40">
        <v>1143</v>
      </c>
    </row>
    <row r="82" spans="1:4">
      <c r="A82" s="359" t="s">
        <v>939</v>
      </c>
      <c r="B82" s="359" t="s">
        <v>361</v>
      </c>
      <c r="C82" s="89">
        <v>43448</v>
      </c>
      <c r="D82" s="40">
        <v>1332.6310000000001</v>
      </c>
    </row>
    <row r="83" spans="1:4">
      <c r="A83" s="359" t="s">
        <v>646</v>
      </c>
      <c r="B83" s="359" t="s">
        <v>647</v>
      </c>
      <c r="C83" s="89">
        <v>43448</v>
      </c>
      <c r="D83" s="40">
        <v>2000</v>
      </c>
    </row>
    <row r="84" spans="1:4">
      <c r="A84" s="359" t="s">
        <v>559</v>
      </c>
      <c r="B84" s="359" t="s">
        <v>560</v>
      </c>
      <c r="C84" s="89">
        <v>43448</v>
      </c>
      <c r="D84" s="40">
        <v>1500</v>
      </c>
    </row>
    <row r="85" spans="1:4">
      <c r="A85" s="359" t="s">
        <v>345</v>
      </c>
      <c r="B85" s="359" t="s">
        <v>346</v>
      </c>
      <c r="C85" s="89">
        <v>43448</v>
      </c>
      <c r="D85" s="40">
        <v>481.96499999999997</v>
      </c>
    </row>
    <row r="86" spans="1:4">
      <c r="A86" s="359" t="s">
        <v>286</v>
      </c>
      <c r="B86" s="359" t="s">
        <v>287</v>
      </c>
      <c r="C86" s="89">
        <v>43448</v>
      </c>
      <c r="D86" s="40">
        <v>2000</v>
      </c>
    </row>
    <row r="87" spans="1:4">
      <c r="A87" s="359" t="s">
        <v>305</v>
      </c>
      <c r="B87" s="359" t="s">
        <v>306</v>
      </c>
      <c r="C87" s="89">
        <v>43448</v>
      </c>
      <c r="D87" s="40">
        <v>1800</v>
      </c>
    </row>
    <row r="88" spans="1:4">
      <c r="A88" s="724" t="s">
        <v>1638</v>
      </c>
      <c r="B88" s="724" t="s">
        <v>1637</v>
      </c>
      <c r="C88" s="722">
        <v>43449</v>
      </c>
      <c r="D88" s="723">
        <v>600</v>
      </c>
    </row>
    <row r="89" spans="1:4">
      <c r="A89" s="724" t="s">
        <v>616</v>
      </c>
      <c r="B89" s="724" t="s">
        <v>399</v>
      </c>
      <c r="C89" s="722">
        <v>43449</v>
      </c>
      <c r="D89" s="723">
        <v>20705.274000000001</v>
      </c>
    </row>
    <row r="90" spans="1:4">
      <c r="A90" s="359" t="s">
        <v>940</v>
      </c>
      <c r="B90" s="359" t="s">
        <v>307</v>
      </c>
      <c r="C90" s="89">
        <v>43449</v>
      </c>
      <c r="D90" s="40">
        <v>546.38400000000001</v>
      </c>
    </row>
    <row r="91" spans="1:4">
      <c r="A91" s="359" t="s">
        <v>699</v>
      </c>
      <c r="B91" s="359" t="s">
        <v>700</v>
      </c>
      <c r="C91" s="89">
        <v>43449</v>
      </c>
      <c r="D91" s="40">
        <v>2933</v>
      </c>
    </row>
    <row r="92" spans="1:4">
      <c r="A92" s="359" t="s">
        <v>357</v>
      </c>
      <c r="B92" s="359" t="s">
        <v>358</v>
      </c>
      <c r="C92" s="89">
        <v>43449</v>
      </c>
      <c r="D92" s="40">
        <v>373</v>
      </c>
    </row>
    <row r="93" spans="1:4">
      <c r="A93" s="359" t="s">
        <v>1126</v>
      </c>
      <c r="B93" s="359" t="s">
        <v>1125</v>
      </c>
      <c r="C93" s="89">
        <v>43449</v>
      </c>
      <c r="D93" s="40">
        <v>1571.028</v>
      </c>
    </row>
    <row r="94" spans="1:4">
      <c r="A94" s="359" t="s">
        <v>435</v>
      </c>
      <c r="B94" s="359" t="s">
        <v>311</v>
      </c>
      <c r="C94" s="89">
        <v>43449</v>
      </c>
      <c r="D94" s="40">
        <v>756.31700000000001</v>
      </c>
    </row>
    <row r="95" spans="1:4">
      <c r="A95" s="359" t="s">
        <v>679</v>
      </c>
      <c r="B95" s="359" t="s">
        <v>680</v>
      </c>
      <c r="C95" s="89">
        <v>43449</v>
      </c>
      <c r="D95" s="40">
        <v>3000</v>
      </c>
    </row>
    <row r="96" spans="1:4">
      <c r="A96" s="359" t="s">
        <v>313</v>
      </c>
      <c r="B96" s="359" t="s">
        <v>314</v>
      </c>
      <c r="C96" s="89">
        <v>43449</v>
      </c>
      <c r="D96" s="40">
        <v>5448.3639999999996</v>
      </c>
    </row>
    <row r="97" spans="1:4">
      <c r="A97" s="359" t="s">
        <v>421</v>
      </c>
      <c r="B97" s="359" t="s">
        <v>422</v>
      </c>
      <c r="C97" s="89">
        <v>43449</v>
      </c>
      <c r="D97" s="40">
        <v>2804.5770000000002</v>
      </c>
    </row>
    <row r="98" spans="1:4">
      <c r="A98" s="359" t="s">
        <v>988</v>
      </c>
      <c r="B98" s="359" t="s">
        <v>316</v>
      </c>
      <c r="C98" s="89">
        <v>43449</v>
      </c>
      <c r="D98" s="40">
        <v>1254.8900000000001</v>
      </c>
    </row>
    <row r="99" spans="1:4">
      <c r="A99" s="359" t="s">
        <v>1112</v>
      </c>
      <c r="B99" s="359" t="s">
        <v>551</v>
      </c>
      <c r="C99" s="89">
        <v>43449</v>
      </c>
      <c r="D99" s="40">
        <v>776.39700000000005</v>
      </c>
    </row>
    <row r="100" spans="1:4">
      <c r="A100" s="359" t="s">
        <v>1202</v>
      </c>
      <c r="B100" s="359" t="s">
        <v>1056</v>
      </c>
      <c r="C100" s="89">
        <v>43449</v>
      </c>
      <c r="D100" s="40">
        <v>1722.617</v>
      </c>
    </row>
    <row r="101" spans="1:4">
      <c r="A101" s="359" t="s">
        <v>774</v>
      </c>
      <c r="B101" s="359" t="s">
        <v>687</v>
      </c>
      <c r="C101" s="89">
        <v>43449</v>
      </c>
      <c r="D101" s="40">
        <v>6509.5739999999996</v>
      </c>
    </row>
    <row r="102" spans="1:4">
      <c r="A102" s="359" t="s">
        <v>374</v>
      </c>
      <c r="B102" s="359" t="s">
        <v>375</v>
      </c>
      <c r="C102" s="89">
        <v>43449</v>
      </c>
      <c r="D102" s="40">
        <v>792.63400000000001</v>
      </c>
    </row>
    <row r="103" spans="1:4">
      <c r="A103" s="359" t="s">
        <v>374</v>
      </c>
      <c r="B103" s="359" t="s">
        <v>375</v>
      </c>
      <c r="C103" s="89">
        <v>43449</v>
      </c>
      <c r="D103" s="40">
        <v>1002.549</v>
      </c>
    </row>
    <row r="104" spans="1:4">
      <c r="A104" s="359" t="s">
        <v>770</v>
      </c>
      <c r="B104" s="359" t="s">
        <v>771</v>
      </c>
      <c r="C104" s="89">
        <v>43449</v>
      </c>
      <c r="D104" s="40">
        <v>1495.1489999999999</v>
      </c>
    </row>
    <row r="105" spans="1:4">
      <c r="A105" s="359" t="s">
        <v>599</v>
      </c>
      <c r="B105" s="359" t="s">
        <v>320</v>
      </c>
      <c r="C105" s="89">
        <v>43449</v>
      </c>
      <c r="D105" s="40">
        <v>3496.8220000000001</v>
      </c>
    </row>
    <row r="106" spans="1:4">
      <c r="A106" s="359" t="s">
        <v>962</v>
      </c>
      <c r="B106" s="359" t="s">
        <v>961</v>
      </c>
      <c r="C106" s="89">
        <v>43449</v>
      </c>
      <c r="D106" s="40">
        <v>2109.64</v>
      </c>
    </row>
    <row r="107" spans="1:4">
      <c r="A107" s="359" t="s">
        <v>1350</v>
      </c>
      <c r="B107" s="359" t="s">
        <v>1349</v>
      </c>
      <c r="C107" s="89">
        <v>43449</v>
      </c>
      <c r="D107" s="40">
        <v>6792.6930000000002</v>
      </c>
    </row>
    <row r="108" spans="1:4">
      <c r="A108" s="359" t="s">
        <v>324</v>
      </c>
      <c r="B108" s="359" t="s">
        <v>325</v>
      </c>
      <c r="C108" s="89">
        <v>43449</v>
      </c>
      <c r="D108" s="40">
        <v>600</v>
      </c>
    </row>
    <row r="109" spans="1:4">
      <c r="A109" s="359" t="s">
        <v>1463</v>
      </c>
      <c r="B109" s="359" t="s">
        <v>1462</v>
      </c>
      <c r="C109" s="89">
        <v>43449</v>
      </c>
      <c r="D109" s="40">
        <v>3867.326</v>
      </c>
    </row>
    <row r="110" spans="1:4">
      <c r="A110" s="359" t="s">
        <v>1381</v>
      </c>
      <c r="B110" s="359" t="s">
        <v>966</v>
      </c>
      <c r="C110" s="89">
        <v>43449</v>
      </c>
      <c r="D110" s="40">
        <v>3927.9580000000001</v>
      </c>
    </row>
    <row r="111" spans="1:4">
      <c r="A111" s="359" t="s">
        <v>295</v>
      </c>
      <c r="B111" s="359" t="s">
        <v>296</v>
      </c>
      <c r="C111" s="89">
        <v>43449</v>
      </c>
      <c r="D111" s="40">
        <v>534.15099999999995</v>
      </c>
    </row>
    <row r="112" spans="1:4">
      <c r="A112" s="359" t="s">
        <v>295</v>
      </c>
      <c r="B112" s="359" t="s">
        <v>296</v>
      </c>
      <c r="C112" s="89">
        <v>43449</v>
      </c>
      <c r="D112" s="40">
        <v>665.625</v>
      </c>
    </row>
    <row r="113" spans="1:4">
      <c r="A113" s="359" t="s">
        <v>1118</v>
      </c>
      <c r="B113" s="359" t="s">
        <v>943</v>
      </c>
      <c r="C113" s="89">
        <v>43449</v>
      </c>
      <c r="D113" s="40">
        <v>2000</v>
      </c>
    </row>
    <row r="114" spans="1:4">
      <c r="A114" s="359" t="s">
        <v>380</v>
      </c>
      <c r="B114" s="359" t="s">
        <v>381</v>
      </c>
      <c r="C114" s="89">
        <v>43449</v>
      </c>
      <c r="D114" s="40">
        <v>1112</v>
      </c>
    </row>
    <row r="115" spans="1:4">
      <c r="A115" s="359" t="s">
        <v>329</v>
      </c>
      <c r="B115" s="359" t="s">
        <v>330</v>
      </c>
      <c r="C115" s="89">
        <v>43449</v>
      </c>
      <c r="D115" s="40">
        <v>1636</v>
      </c>
    </row>
    <row r="116" spans="1:4">
      <c r="A116" s="359" t="s">
        <v>601</v>
      </c>
      <c r="B116" s="359" t="s">
        <v>602</v>
      </c>
      <c r="C116" s="89">
        <v>43449</v>
      </c>
      <c r="D116" s="40">
        <v>4491.2939999999999</v>
      </c>
    </row>
    <row r="117" spans="1:4">
      <c r="A117" s="359" t="s">
        <v>572</v>
      </c>
      <c r="B117" s="359" t="s">
        <v>531</v>
      </c>
      <c r="C117" s="89">
        <v>43449</v>
      </c>
      <c r="D117" s="40">
        <v>934.95799999999997</v>
      </c>
    </row>
    <row r="118" spans="1:4">
      <c r="A118" s="359" t="s">
        <v>335</v>
      </c>
      <c r="B118" s="359" t="s">
        <v>336</v>
      </c>
      <c r="C118" s="89">
        <v>43449</v>
      </c>
      <c r="D118" s="40">
        <v>1919.7</v>
      </c>
    </row>
    <row r="119" spans="1:4">
      <c r="A119" s="359" t="s">
        <v>339</v>
      </c>
      <c r="B119" s="359" t="s">
        <v>340</v>
      </c>
      <c r="C119" s="89">
        <v>43449</v>
      </c>
      <c r="D119" s="40">
        <v>1163.576</v>
      </c>
    </row>
    <row r="120" spans="1:4">
      <c r="A120" s="359" t="s">
        <v>339</v>
      </c>
      <c r="B120" s="359" t="s">
        <v>340</v>
      </c>
      <c r="C120" s="89">
        <v>43449</v>
      </c>
      <c r="D120" s="40">
        <v>1000</v>
      </c>
    </row>
    <row r="121" spans="1:4">
      <c r="A121" s="359" t="s">
        <v>972</v>
      </c>
      <c r="B121" s="359" t="s">
        <v>1055</v>
      </c>
      <c r="C121" s="89">
        <v>43449</v>
      </c>
      <c r="D121" s="40">
        <v>500</v>
      </c>
    </row>
    <row r="122" spans="1:4">
      <c r="A122" s="359" t="s">
        <v>299</v>
      </c>
      <c r="B122" s="359" t="s">
        <v>300</v>
      </c>
      <c r="C122" s="89">
        <v>43449</v>
      </c>
      <c r="D122" s="40">
        <v>260</v>
      </c>
    </row>
    <row r="123" spans="1:4">
      <c r="A123" s="359" t="s">
        <v>299</v>
      </c>
      <c r="B123" s="359" t="s">
        <v>300</v>
      </c>
      <c r="C123" s="89">
        <v>43449</v>
      </c>
      <c r="D123" s="40">
        <v>1500</v>
      </c>
    </row>
    <row r="124" spans="1:4">
      <c r="A124" s="359" t="s">
        <v>411</v>
      </c>
      <c r="B124" s="359" t="s">
        <v>412</v>
      </c>
      <c r="C124" s="89">
        <v>43449</v>
      </c>
      <c r="D124" s="40">
        <v>1834.2049999999999</v>
      </c>
    </row>
    <row r="125" spans="1:4">
      <c r="A125" s="359" t="s">
        <v>659</v>
      </c>
      <c r="B125" s="359" t="s">
        <v>660</v>
      </c>
      <c r="C125" s="89">
        <v>43449</v>
      </c>
      <c r="D125" s="40">
        <v>4326.6509999999998</v>
      </c>
    </row>
    <row r="126" spans="1:4">
      <c r="A126" s="359" t="s">
        <v>607</v>
      </c>
      <c r="B126" s="359" t="s">
        <v>608</v>
      </c>
      <c r="C126" s="89">
        <v>43449</v>
      </c>
      <c r="D126" s="40">
        <v>600</v>
      </c>
    </row>
    <row r="127" spans="1:4">
      <c r="A127" s="359" t="s">
        <v>343</v>
      </c>
      <c r="B127" s="359" t="s">
        <v>344</v>
      </c>
      <c r="C127" s="89">
        <v>43449</v>
      </c>
      <c r="D127" s="40">
        <v>1470</v>
      </c>
    </row>
    <row r="128" spans="1:4">
      <c r="A128" s="359" t="s">
        <v>347</v>
      </c>
      <c r="B128" s="359" t="s">
        <v>348</v>
      </c>
      <c r="C128" s="89">
        <v>43449</v>
      </c>
      <c r="D128" s="40">
        <v>2011.1949999999999</v>
      </c>
    </row>
    <row r="129" spans="1:4">
      <c r="A129" s="359" t="s">
        <v>349</v>
      </c>
      <c r="B129" s="359" t="s">
        <v>350</v>
      </c>
      <c r="C129" s="89">
        <v>43449</v>
      </c>
      <c r="D129" s="40">
        <v>2000</v>
      </c>
    </row>
    <row r="130" spans="1:4">
      <c r="A130" s="359" t="s">
        <v>581</v>
      </c>
      <c r="B130" s="359" t="s">
        <v>582</v>
      </c>
      <c r="C130" s="89">
        <v>43449</v>
      </c>
      <c r="D130" s="40">
        <v>763.12300000000005</v>
      </c>
    </row>
    <row r="131" spans="1:4">
      <c r="A131" s="359" t="s">
        <v>724</v>
      </c>
      <c r="B131" s="359" t="s">
        <v>725</v>
      </c>
      <c r="C131" s="89">
        <v>43449</v>
      </c>
      <c r="D131" s="40">
        <v>2860.7080000000001</v>
      </c>
    </row>
    <row r="132" spans="1:4">
      <c r="A132" s="359" t="s">
        <v>355</v>
      </c>
      <c r="B132" s="359" t="s">
        <v>356</v>
      </c>
      <c r="C132" s="89">
        <v>43449</v>
      </c>
      <c r="D132" s="40">
        <v>545</v>
      </c>
    </row>
    <row r="133" spans="1:4">
      <c r="A133" s="359" t="s">
        <v>1134</v>
      </c>
      <c r="B133" s="359" t="s">
        <v>1196</v>
      </c>
      <c r="C133" s="89">
        <v>43449</v>
      </c>
      <c r="D133" s="40">
        <v>1500</v>
      </c>
    </row>
    <row r="134" spans="1:4">
      <c r="A134" s="359" t="s">
        <v>664</v>
      </c>
      <c r="B134" s="359" t="s">
        <v>665</v>
      </c>
      <c r="C134" s="89">
        <v>43449</v>
      </c>
      <c r="D134" s="40">
        <v>1000</v>
      </c>
    </row>
    <row r="135" spans="1:4">
      <c r="A135" s="359" t="s">
        <v>938</v>
      </c>
      <c r="B135" s="359" t="s">
        <v>937</v>
      </c>
      <c r="C135" s="89">
        <v>43449</v>
      </c>
      <c r="D135" s="40">
        <v>1578.739</v>
      </c>
    </row>
    <row r="136" spans="1:4">
      <c r="A136" s="359" t="s">
        <v>688</v>
      </c>
      <c r="B136" s="359" t="s">
        <v>594</v>
      </c>
      <c r="C136" s="89">
        <v>43450</v>
      </c>
      <c r="D136" s="40">
        <v>546.04899999999998</v>
      </c>
    </row>
    <row r="137" spans="1:4">
      <c r="A137" s="359" t="s">
        <v>416</v>
      </c>
      <c r="B137" s="359" t="s">
        <v>417</v>
      </c>
      <c r="C137" s="89">
        <v>43450</v>
      </c>
      <c r="D137" s="40">
        <v>658.02700000000004</v>
      </c>
    </row>
    <row r="138" spans="1:4">
      <c r="A138" s="359" t="s">
        <v>384</v>
      </c>
      <c r="B138" s="359" t="s">
        <v>385</v>
      </c>
      <c r="C138" s="89">
        <v>43450</v>
      </c>
      <c r="D138" s="40">
        <v>945.81700000000001</v>
      </c>
    </row>
    <row r="139" spans="1:4">
      <c r="A139" s="359" t="s">
        <v>359</v>
      </c>
      <c r="B139" s="359" t="s">
        <v>360</v>
      </c>
      <c r="C139" s="89">
        <v>43451</v>
      </c>
      <c r="D139" s="40">
        <v>1068.432</v>
      </c>
    </row>
    <row r="140" spans="1:4">
      <c r="A140" s="359" t="s">
        <v>681</v>
      </c>
      <c r="B140" s="359" t="s">
        <v>682</v>
      </c>
      <c r="C140" s="89">
        <v>43451</v>
      </c>
      <c r="D140" s="40">
        <v>700</v>
      </c>
    </row>
    <row r="141" spans="1:4">
      <c r="A141" s="359" t="s">
        <v>397</v>
      </c>
      <c r="B141" s="359" t="s">
        <v>398</v>
      </c>
      <c r="C141" s="89">
        <v>43451</v>
      </c>
      <c r="D141" s="40">
        <v>4000</v>
      </c>
    </row>
    <row r="142" spans="1:4">
      <c r="A142" s="359" t="s">
        <v>649</v>
      </c>
      <c r="B142" s="359" t="s">
        <v>650</v>
      </c>
      <c r="C142" s="89">
        <v>43451</v>
      </c>
      <c r="D142" s="40">
        <v>3986.172</v>
      </c>
    </row>
    <row r="143" spans="1:4">
      <c r="A143" s="359" t="s">
        <v>527</v>
      </c>
      <c r="B143" s="359" t="s">
        <v>528</v>
      </c>
      <c r="C143" s="89">
        <v>43451</v>
      </c>
      <c r="D143" s="40">
        <v>1611.4929999999999</v>
      </c>
    </row>
    <row r="144" spans="1:4">
      <c r="A144" s="359" t="s">
        <v>364</v>
      </c>
      <c r="B144" s="359" t="s">
        <v>365</v>
      </c>
      <c r="C144" s="89">
        <v>43451</v>
      </c>
      <c r="D144" s="40">
        <v>3442.6610000000001</v>
      </c>
    </row>
    <row r="145" spans="1:4">
      <c r="A145" s="359" t="s">
        <v>392</v>
      </c>
      <c r="B145" s="359" t="s">
        <v>393</v>
      </c>
      <c r="C145" s="89">
        <v>43451</v>
      </c>
      <c r="D145" s="40">
        <v>2000</v>
      </c>
    </row>
    <row r="146" spans="1:4">
      <c r="A146" s="359" t="s">
        <v>386</v>
      </c>
      <c r="B146" s="359" t="s">
        <v>387</v>
      </c>
      <c r="C146" s="89">
        <v>43451</v>
      </c>
      <c r="D146" s="40">
        <v>2600</v>
      </c>
    </row>
    <row r="147" spans="1:4">
      <c r="A147" s="359" t="s">
        <v>403</v>
      </c>
      <c r="B147" s="359" t="s">
        <v>404</v>
      </c>
      <c r="C147" s="89">
        <v>43452</v>
      </c>
      <c r="D147" s="40">
        <v>796.25400000000002</v>
      </c>
    </row>
    <row r="148" spans="1:4">
      <c r="A148" s="359" t="s">
        <v>322</v>
      </c>
      <c r="B148" s="359" t="s">
        <v>323</v>
      </c>
      <c r="C148" s="89">
        <v>43452</v>
      </c>
      <c r="D148" s="40">
        <v>1460</v>
      </c>
    </row>
    <row r="149" spans="1:4">
      <c r="A149" s="359" t="s">
        <v>939</v>
      </c>
      <c r="B149" s="359" t="s">
        <v>361</v>
      </c>
      <c r="C149" s="89">
        <v>43452</v>
      </c>
      <c r="D149" s="40">
        <v>1764.913</v>
      </c>
    </row>
    <row r="150" spans="1:4">
      <c r="A150" s="359" t="s">
        <v>956</v>
      </c>
      <c r="B150" s="359" t="s">
        <v>379</v>
      </c>
      <c r="C150" s="89">
        <v>43452</v>
      </c>
      <c r="D150" s="40">
        <v>824.73500000000001</v>
      </c>
    </row>
    <row r="151" spans="1:4">
      <c r="A151" s="359" t="s">
        <v>400</v>
      </c>
      <c r="B151" s="359" t="s">
        <v>401</v>
      </c>
      <c r="C151" s="89">
        <v>43452</v>
      </c>
      <c r="D151" s="40">
        <v>2000</v>
      </c>
    </row>
    <row r="152" spans="1:4">
      <c r="A152" s="359" t="s">
        <v>301</v>
      </c>
      <c r="B152" s="359" t="s">
        <v>302</v>
      </c>
      <c r="C152" s="89">
        <v>43452</v>
      </c>
      <c r="D152" s="40">
        <v>3000</v>
      </c>
    </row>
    <row r="153" spans="1:4">
      <c r="A153" s="359" t="s">
        <v>345</v>
      </c>
      <c r="B153" s="359" t="s">
        <v>346</v>
      </c>
      <c r="C153" s="89">
        <v>43452</v>
      </c>
      <c r="D153" s="40">
        <v>702.76</v>
      </c>
    </row>
    <row r="154" spans="1:4">
      <c r="A154" s="359" t="s">
        <v>372</v>
      </c>
      <c r="B154" s="359" t="s">
        <v>373</v>
      </c>
      <c r="C154" s="89">
        <v>43453</v>
      </c>
      <c r="D154" s="40">
        <v>1662.5540000000001</v>
      </c>
    </row>
    <row r="155" spans="1:4">
      <c r="A155" s="359" t="s">
        <v>741</v>
      </c>
      <c r="B155" s="359" t="s">
        <v>597</v>
      </c>
      <c r="C155" s="89">
        <v>43453</v>
      </c>
      <c r="D155" s="40">
        <v>8088.7790000000005</v>
      </c>
    </row>
    <row r="156" spans="1:4">
      <c r="A156" s="359" t="s">
        <v>590</v>
      </c>
      <c r="B156" s="359" t="s">
        <v>323</v>
      </c>
      <c r="C156" s="89">
        <v>43453</v>
      </c>
      <c r="D156" s="40">
        <v>1650</v>
      </c>
    </row>
    <row r="157" spans="1:4">
      <c r="A157" s="359" t="s">
        <v>416</v>
      </c>
      <c r="B157" s="359" t="s">
        <v>417</v>
      </c>
      <c r="C157" s="89">
        <v>43453</v>
      </c>
      <c r="D157" s="40">
        <v>750</v>
      </c>
    </row>
    <row r="158" spans="1:4">
      <c r="A158" s="359" t="s">
        <v>549</v>
      </c>
      <c r="B158" s="359" t="s">
        <v>550</v>
      </c>
      <c r="C158" s="89">
        <v>43453</v>
      </c>
      <c r="D158" s="40">
        <v>992.69799999999998</v>
      </c>
    </row>
    <row r="159" spans="1:4">
      <c r="A159" s="359" t="s">
        <v>394</v>
      </c>
      <c r="B159" s="359" t="s">
        <v>395</v>
      </c>
      <c r="C159" s="89">
        <v>43453</v>
      </c>
      <c r="D159" s="40">
        <v>1500</v>
      </c>
    </row>
    <row r="160" spans="1:4">
      <c r="A160" s="359" t="s">
        <v>617</v>
      </c>
      <c r="B160" s="359" t="s">
        <v>618</v>
      </c>
      <c r="C160" s="89">
        <v>43454</v>
      </c>
      <c r="D160" s="40">
        <v>1000</v>
      </c>
    </row>
    <row r="161" spans="1:4">
      <c r="A161" s="359" t="s">
        <v>308</v>
      </c>
      <c r="B161" s="359" t="s">
        <v>309</v>
      </c>
      <c r="C161" s="89">
        <v>43454</v>
      </c>
      <c r="D161" s="40">
        <v>3382.0569999999998</v>
      </c>
    </row>
    <row r="162" spans="1:4">
      <c r="A162" s="359" t="s">
        <v>357</v>
      </c>
      <c r="B162" s="359" t="s">
        <v>358</v>
      </c>
      <c r="C162" s="89">
        <v>43454</v>
      </c>
      <c r="D162" s="40">
        <v>374.12299999999999</v>
      </c>
    </row>
    <row r="163" spans="1:4">
      <c r="A163" s="359" t="s">
        <v>310</v>
      </c>
      <c r="B163" s="359" t="s">
        <v>311</v>
      </c>
      <c r="C163" s="89">
        <v>43454</v>
      </c>
      <c r="D163" s="40">
        <v>700</v>
      </c>
    </row>
    <row r="164" spans="1:4">
      <c r="A164" s="359" t="s">
        <v>421</v>
      </c>
      <c r="B164" s="359" t="s">
        <v>422</v>
      </c>
      <c r="C164" s="89">
        <v>43454</v>
      </c>
      <c r="D164" s="40">
        <v>2804.5770000000002</v>
      </c>
    </row>
    <row r="165" spans="1:4">
      <c r="A165" s="359" t="s">
        <v>1620</v>
      </c>
      <c r="B165" s="359" t="s">
        <v>1249</v>
      </c>
      <c r="C165" s="89">
        <v>43454</v>
      </c>
      <c r="D165" s="40">
        <v>1040.8610000000001</v>
      </c>
    </row>
    <row r="166" spans="1:4">
      <c r="A166" s="359" t="s">
        <v>942</v>
      </c>
      <c r="B166" s="359" t="s">
        <v>941</v>
      </c>
      <c r="C166" s="89">
        <v>43454</v>
      </c>
      <c r="D166" s="40">
        <v>1745.998</v>
      </c>
    </row>
    <row r="167" spans="1:4">
      <c r="A167" s="359" t="s">
        <v>667</v>
      </c>
      <c r="B167" s="359" t="s">
        <v>668</v>
      </c>
      <c r="C167" s="89">
        <v>43454</v>
      </c>
      <c r="D167" s="40">
        <v>585.04600000000005</v>
      </c>
    </row>
    <row r="168" spans="1:4">
      <c r="A168" s="359" t="s">
        <v>642</v>
      </c>
      <c r="B168" s="359" t="s">
        <v>515</v>
      </c>
      <c r="C168" s="89">
        <v>43454</v>
      </c>
      <c r="D168" s="40">
        <v>2908</v>
      </c>
    </row>
    <row r="169" spans="1:4">
      <c r="A169" s="359" t="s">
        <v>403</v>
      </c>
      <c r="B169" s="359" t="s">
        <v>404</v>
      </c>
      <c r="C169" s="89">
        <v>43454</v>
      </c>
      <c r="D169" s="40">
        <v>825</v>
      </c>
    </row>
    <row r="170" spans="1:4">
      <c r="A170" s="359" t="s">
        <v>960</v>
      </c>
      <c r="B170" s="359" t="s">
        <v>376</v>
      </c>
      <c r="C170" s="89">
        <v>43454</v>
      </c>
      <c r="D170" s="40">
        <v>1092.9770000000001</v>
      </c>
    </row>
    <row r="171" spans="1:4">
      <c r="A171" s="359" t="s">
        <v>324</v>
      </c>
      <c r="B171" s="359" t="s">
        <v>325</v>
      </c>
      <c r="C171" s="89">
        <v>43454</v>
      </c>
      <c r="D171" s="40">
        <v>400</v>
      </c>
    </row>
    <row r="172" spans="1:4">
      <c r="A172" s="359" t="s">
        <v>1217</v>
      </c>
      <c r="B172" s="359" t="s">
        <v>326</v>
      </c>
      <c r="C172" s="89">
        <v>43454</v>
      </c>
      <c r="D172" s="40">
        <v>2700</v>
      </c>
    </row>
    <row r="173" spans="1:4">
      <c r="A173" s="359" t="s">
        <v>1111</v>
      </c>
      <c r="B173" s="359" t="s">
        <v>600</v>
      </c>
      <c r="C173" s="89">
        <v>43454</v>
      </c>
      <c r="D173" s="40">
        <v>316.99700000000001</v>
      </c>
    </row>
    <row r="174" spans="1:4">
      <c r="A174" s="359" t="s">
        <v>380</v>
      </c>
      <c r="B174" s="359" t="s">
        <v>381</v>
      </c>
      <c r="C174" s="89">
        <v>43454</v>
      </c>
      <c r="D174" s="40">
        <v>1112</v>
      </c>
    </row>
    <row r="175" spans="1:4">
      <c r="A175" s="359" t="s">
        <v>981</v>
      </c>
      <c r="B175" s="359" t="s">
        <v>980</v>
      </c>
      <c r="C175" s="89">
        <v>43454</v>
      </c>
      <c r="D175" s="40">
        <v>1935</v>
      </c>
    </row>
    <row r="176" spans="1:4">
      <c r="A176" s="359" t="s">
        <v>382</v>
      </c>
      <c r="B176" s="359" t="s">
        <v>383</v>
      </c>
      <c r="C176" s="89">
        <v>43454</v>
      </c>
      <c r="D176" s="40">
        <v>2372.4540000000002</v>
      </c>
    </row>
    <row r="177" spans="1:4">
      <c r="A177" s="359" t="s">
        <v>400</v>
      </c>
      <c r="B177" s="359" t="s">
        <v>401</v>
      </c>
      <c r="C177" s="89">
        <v>43454</v>
      </c>
      <c r="D177" s="40">
        <v>2000</v>
      </c>
    </row>
    <row r="178" spans="1:4">
      <c r="A178" s="359" t="s">
        <v>1052</v>
      </c>
      <c r="B178" s="359" t="s">
        <v>1051</v>
      </c>
      <c r="C178" s="89">
        <v>43454</v>
      </c>
      <c r="D178" s="40">
        <v>500</v>
      </c>
    </row>
    <row r="179" spans="1:4">
      <c r="A179" s="359" t="s">
        <v>1110</v>
      </c>
      <c r="B179" s="359" t="s">
        <v>1109</v>
      </c>
      <c r="C179" s="89">
        <v>43454</v>
      </c>
      <c r="D179" s="40">
        <v>906.73</v>
      </c>
    </row>
    <row r="180" spans="1:4">
      <c r="A180" s="359" t="s">
        <v>972</v>
      </c>
      <c r="B180" s="359" t="s">
        <v>1055</v>
      </c>
      <c r="C180" s="89">
        <v>43454</v>
      </c>
      <c r="D180" s="40">
        <v>390</v>
      </c>
    </row>
    <row r="181" spans="1:4">
      <c r="A181" s="359" t="s">
        <v>747</v>
      </c>
      <c r="B181" s="359" t="s">
        <v>577</v>
      </c>
      <c r="C181" s="89">
        <v>43454</v>
      </c>
      <c r="D181" s="40">
        <v>2492.799</v>
      </c>
    </row>
    <row r="182" spans="1:4">
      <c r="A182" s="359" t="s">
        <v>970</v>
      </c>
      <c r="B182" s="359" t="s">
        <v>969</v>
      </c>
      <c r="C182" s="89">
        <v>43454</v>
      </c>
      <c r="D182" s="40">
        <v>1526.652</v>
      </c>
    </row>
    <row r="183" spans="1:4">
      <c r="A183" s="359" t="s">
        <v>345</v>
      </c>
      <c r="B183" s="359" t="s">
        <v>346</v>
      </c>
      <c r="C183" s="89">
        <v>43454</v>
      </c>
      <c r="D183" s="40">
        <v>863</v>
      </c>
    </row>
    <row r="184" spans="1:4">
      <c r="A184" s="359" t="s">
        <v>303</v>
      </c>
      <c r="B184" s="359" t="s">
        <v>304</v>
      </c>
      <c r="C184" s="89">
        <v>43454</v>
      </c>
      <c r="D184" s="40">
        <v>861.80700000000002</v>
      </c>
    </row>
    <row r="185" spans="1:4">
      <c r="A185" s="359" t="s">
        <v>286</v>
      </c>
      <c r="B185" s="359" t="s">
        <v>287</v>
      </c>
      <c r="C185" s="89">
        <v>43454</v>
      </c>
      <c r="D185" s="40">
        <v>2500</v>
      </c>
    </row>
    <row r="186" spans="1:4">
      <c r="A186" s="359" t="s">
        <v>291</v>
      </c>
      <c r="B186" s="359" t="s">
        <v>292</v>
      </c>
      <c r="C186" s="89">
        <v>43454</v>
      </c>
      <c r="D186" s="40">
        <v>750</v>
      </c>
    </row>
    <row r="187" spans="1:4">
      <c r="A187" s="359" t="s">
        <v>671</v>
      </c>
      <c r="B187" s="359" t="s">
        <v>573</v>
      </c>
      <c r="C187" s="89">
        <v>43454</v>
      </c>
      <c r="D187" s="40">
        <v>1768.1369999999999</v>
      </c>
    </row>
    <row r="188" spans="1:4">
      <c r="A188" s="359" t="s">
        <v>722</v>
      </c>
      <c r="B188" s="359" t="s">
        <v>723</v>
      </c>
      <c r="C188" s="89">
        <v>43454</v>
      </c>
      <c r="D188" s="40">
        <v>766.21400000000006</v>
      </c>
    </row>
    <row r="189" spans="1:4">
      <c r="A189" s="359" t="s">
        <v>355</v>
      </c>
      <c r="B189" s="359" t="s">
        <v>356</v>
      </c>
      <c r="C189" s="89">
        <v>43454</v>
      </c>
      <c r="D189" s="40">
        <v>535</v>
      </c>
    </row>
    <row r="190" spans="1:4">
      <c r="A190" s="359" t="s">
        <v>403</v>
      </c>
      <c r="B190" s="359" t="s">
        <v>404</v>
      </c>
      <c r="C190" s="89">
        <v>43455</v>
      </c>
      <c r="D190" s="40">
        <v>825</v>
      </c>
    </row>
    <row r="191" spans="1:4">
      <c r="A191" s="359" t="s">
        <v>362</v>
      </c>
      <c r="B191" s="359" t="s">
        <v>363</v>
      </c>
      <c r="C191" s="89">
        <v>43455</v>
      </c>
      <c r="D191" s="40">
        <v>610</v>
      </c>
    </row>
    <row r="192" spans="1:4">
      <c r="A192" s="359" t="s">
        <v>1362</v>
      </c>
      <c r="B192" s="359" t="s">
        <v>1361</v>
      </c>
      <c r="C192" s="89">
        <v>43455</v>
      </c>
      <c r="D192" s="40">
        <v>2000</v>
      </c>
    </row>
    <row r="193" spans="1:4">
      <c r="A193" s="359" t="s">
        <v>345</v>
      </c>
      <c r="B193" s="359" t="s">
        <v>346</v>
      </c>
      <c r="C193" s="89">
        <v>43455</v>
      </c>
      <c r="D193" s="40">
        <v>702.76</v>
      </c>
    </row>
    <row r="194" spans="1:4">
      <c r="A194" s="359" t="s">
        <v>297</v>
      </c>
      <c r="B194" s="359" t="s">
        <v>298</v>
      </c>
      <c r="C194" s="89">
        <v>43455</v>
      </c>
      <c r="D194" s="40">
        <v>2600</v>
      </c>
    </row>
    <row r="195" spans="1:4">
      <c r="A195" s="359" t="s">
        <v>297</v>
      </c>
      <c r="B195" s="359" t="s">
        <v>298</v>
      </c>
      <c r="C195" s="89">
        <v>43455</v>
      </c>
      <c r="D195" s="40">
        <v>2593.7359999999999</v>
      </c>
    </row>
    <row r="196" spans="1:4">
      <c r="A196" s="359" t="s">
        <v>359</v>
      </c>
      <c r="B196" s="359" t="s">
        <v>360</v>
      </c>
      <c r="C196" s="89">
        <v>43456</v>
      </c>
      <c r="D196" s="40">
        <v>1068.432</v>
      </c>
    </row>
    <row r="197" spans="1:4">
      <c r="A197" s="359" t="s">
        <v>403</v>
      </c>
      <c r="B197" s="359" t="s">
        <v>404</v>
      </c>
      <c r="C197" s="89">
        <v>43456</v>
      </c>
      <c r="D197" s="40">
        <v>825</v>
      </c>
    </row>
    <row r="198" spans="1:4">
      <c r="A198" s="359" t="s">
        <v>955</v>
      </c>
      <c r="B198" s="359" t="s">
        <v>753</v>
      </c>
      <c r="C198" s="89">
        <v>43456</v>
      </c>
      <c r="D198" s="40">
        <v>300</v>
      </c>
    </row>
    <row r="199" spans="1:4">
      <c r="A199" s="359" t="s">
        <v>295</v>
      </c>
      <c r="B199" s="359" t="s">
        <v>296</v>
      </c>
      <c r="C199" s="89">
        <v>43456</v>
      </c>
      <c r="D199" s="40">
        <v>665.88099999999997</v>
      </c>
    </row>
    <row r="200" spans="1:4">
      <c r="A200" s="359" t="s">
        <v>459</v>
      </c>
      <c r="B200" s="359" t="s">
        <v>460</v>
      </c>
      <c r="C200" s="89">
        <v>43456</v>
      </c>
      <c r="D200" s="40">
        <v>820.21199999999999</v>
      </c>
    </row>
    <row r="201" spans="1:4">
      <c r="A201" s="359" t="s">
        <v>767</v>
      </c>
      <c r="B201" s="359" t="s">
        <v>768</v>
      </c>
      <c r="C201" s="89">
        <v>43456</v>
      </c>
      <c r="D201" s="40">
        <v>3300</v>
      </c>
    </row>
    <row r="202" spans="1:4">
      <c r="A202" s="359" t="s">
        <v>1216</v>
      </c>
      <c r="B202" s="359" t="s">
        <v>1215</v>
      </c>
      <c r="C202" s="89">
        <v>43457</v>
      </c>
      <c r="D202" s="40">
        <v>320.53100000000001</v>
      </c>
    </row>
    <row r="203" spans="1:4">
      <c r="A203" s="359" t="s">
        <v>403</v>
      </c>
      <c r="B203" s="359" t="s">
        <v>404</v>
      </c>
      <c r="C203" s="89">
        <v>43457</v>
      </c>
      <c r="D203" s="40">
        <v>825</v>
      </c>
    </row>
    <row r="204" spans="1:4">
      <c r="A204" s="359" t="s">
        <v>527</v>
      </c>
      <c r="B204" s="359" t="s">
        <v>528</v>
      </c>
      <c r="C204" s="89">
        <v>43457</v>
      </c>
      <c r="D204" s="40">
        <v>622.76599999999996</v>
      </c>
    </row>
    <row r="205" spans="1:4">
      <c r="A205" s="359" t="s">
        <v>299</v>
      </c>
      <c r="B205" s="359" t="s">
        <v>300</v>
      </c>
      <c r="C205" s="89">
        <v>43457</v>
      </c>
      <c r="D205" s="40">
        <v>275</v>
      </c>
    </row>
    <row r="206" spans="1:4">
      <c r="A206" s="359" t="s">
        <v>681</v>
      </c>
      <c r="B206" s="359" t="s">
        <v>682</v>
      </c>
      <c r="C206" s="89">
        <v>43458</v>
      </c>
      <c r="D206" s="40">
        <v>700</v>
      </c>
    </row>
    <row r="207" spans="1:4">
      <c r="A207" s="359" t="s">
        <v>403</v>
      </c>
      <c r="B207" s="359" t="s">
        <v>404</v>
      </c>
      <c r="C207" s="89">
        <v>43458</v>
      </c>
      <c r="D207" s="40">
        <v>825</v>
      </c>
    </row>
    <row r="208" spans="1:4">
      <c r="A208" s="359" t="s">
        <v>400</v>
      </c>
      <c r="B208" s="359" t="s">
        <v>401</v>
      </c>
      <c r="C208" s="89">
        <v>43458</v>
      </c>
      <c r="D208" s="40">
        <v>2000</v>
      </c>
    </row>
    <row r="209" spans="1:4">
      <c r="A209" s="359" t="s">
        <v>392</v>
      </c>
      <c r="B209" s="359" t="s">
        <v>393</v>
      </c>
      <c r="C209" s="89">
        <v>43458</v>
      </c>
      <c r="D209" s="40">
        <v>2000</v>
      </c>
    </row>
    <row r="210" spans="1:4">
      <c r="A210" s="359" t="s">
        <v>1115</v>
      </c>
      <c r="B210" s="359" t="s">
        <v>1114</v>
      </c>
      <c r="C210" s="89">
        <v>43459</v>
      </c>
      <c r="D210" s="40">
        <v>100</v>
      </c>
    </row>
    <row r="211" spans="1:4">
      <c r="A211" s="359" t="s">
        <v>699</v>
      </c>
      <c r="B211" s="359" t="s">
        <v>700</v>
      </c>
      <c r="C211" s="89">
        <v>43459</v>
      </c>
      <c r="D211" s="40">
        <v>2941.0880000000002</v>
      </c>
    </row>
    <row r="212" spans="1:4">
      <c r="A212" s="359" t="s">
        <v>357</v>
      </c>
      <c r="B212" s="359" t="s">
        <v>358</v>
      </c>
      <c r="C212" s="89">
        <v>43459</v>
      </c>
      <c r="D212" s="40">
        <v>445.58</v>
      </c>
    </row>
    <row r="213" spans="1:4">
      <c r="A213" s="359" t="s">
        <v>619</v>
      </c>
      <c r="B213" s="359" t="s">
        <v>405</v>
      </c>
      <c r="C213" s="89">
        <v>43459</v>
      </c>
      <c r="D213" s="40">
        <v>3334.1149999999998</v>
      </c>
    </row>
    <row r="214" spans="1:4">
      <c r="A214" s="359" t="s">
        <v>403</v>
      </c>
      <c r="B214" s="359" t="s">
        <v>404</v>
      </c>
      <c r="C214" s="89">
        <v>43459</v>
      </c>
      <c r="D214" s="40">
        <v>825</v>
      </c>
    </row>
    <row r="215" spans="1:4">
      <c r="A215" s="359" t="s">
        <v>1189</v>
      </c>
      <c r="B215" s="359" t="s">
        <v>424</v>
      </c>
      <c r="C215" s="89">
        <v>43459</v>
      </c>
      <c r="D215" s="40">
        <v>3891.11</v>
      </c>
    </row>
    <row r="216" spans="1:4">
      <c r="A216" s="359" t="s">
        <v>955</v>
      </c>
      <c r="B216" s="359" t="s">
        <v>753</v>
      </c>
      <c r="C216" s="89">
        <v>43459</v>
      </c>
      <c r="D216" s="40">
        <v>300</v>
      </c>
    </row>
    <row r="217" spans="1:4">
      <c r="A217" s="359" t="s">
        <v>324</v>
      </c>
      <c r="B217" s="359" t="s">
        <v>325</v>
      </c>
      <c r="C217" s="89">
        <v>43459</v>
      </c>
      <c r="D217" s="40">
        <v>875.59900000000005</v>
      </c>
    </row>
    <row r="218" spans="1:4">
      <c r="A218" s="359" t="s">
        <v>1118</v>
      </c>
      <c r="B218" s="359" t="s">
        <v>943</v>
      </c>
      <c r="C218" s="89">
        <v>43459</v>
      </c>
      <c r="D218" s="40">
        <v>2000</v>
      </c>
    </row>
    <row r="219" spans="1:4">
      <c r="A219" s="359" t="s">
        <v>406</v>
      </c>
      <c r="B219" s="359" t="s">
        <v>407</v>
      </c>
      <c r="C219" s="89">
        <v>43459</v>
      </c>
      <c r="D219" s="40">
        <v>4449</v>
      </c>
    </row>
    <row r="220" spans="1:4">
      <c r="A220" s="359" t="s">
        <v>380</v>
      </c>
      <c r="B220" s="359" t="s">
        <v>381</v>
      </c>
      <c r="C220" s="89">
        <v>43459</v>
      </c>
      <c r="D220" s="40">
        <v>1112</v>
      </c>
    </row>
    <row r="221" spans="1:4">
      <c r="A221" s="359" t="s">
        <v>382</v>
      </c>
      <c r="B221" s="359" t="s">
        <v>383</v>
      </c>
      <c r="C221" s="89">
        <v>43459</v>
      </c>
      <c r="D221" s="40">
        <v>2100</v>
      </c>
    </row>
    <row r="222" spans="1:4">
      <c r="A222" s="359" t="s">
        <v>335</v>
      </c>
      <c r="B222" s="359" t="s">
        <v>336</v>
      </c>
      <c r="C222" s="89">
        <v>43459</v>
      </c>
      <c r="D222" s="40">
        <v>1782</v>
      </c>
    </row>
    <row r="223" spans="1:4">
      <c r="A223" s="359" t="s">
        <v>605</v>
      </c>
      <c r="B223" s="359" t="s">
        <v>606</v>
      </c>
      <c r="C223" s="89">
        <v>43459</v>
      </c>
      <c r="D223" s="40">
        <v>635.94100000000003</v>
      </c>
    </row>
    <row r="224" spans="1:4">
      <c r="A224" s="359" t="s">
        <v>979</v>
      </c>
      <c r="B224" s="359" t="s">
        <v>978</v>
      </c>
      <c r="C224" s="89">
        <v>43459</v>
      </c>
      <c r="D224" s="40">
        <v>210</v>
      </c>
    </row>
    <row r="225" spans="1:4">
      <c r="A225" s="359" t="s">
        <v>1201</v>
      </c>
      <c r="B225" s="359" t="s">
        <v>1200</v>
      </c>
      <c r="C225" s="89">
        <v>43459</v>
      </c>
      <c r="D225" s="40">
        <v>600</v>
      </c>
    </row>
    <row r="226" spans="1:4">
      <c r="A226" s="359" t="s">
        <v>559</v>
      </c>
      <c r="B226" s="359" t="s">
        <v>560</v>
      </c>
      <c r="C226" s="89">
        <v>43459</v>
      </c>
      <c r="D226" s="40">
        <v>1500</v>
      </c>
    </row>
    <row r="227" spans="1:4">
      <c r="A227" s="359" t="s">
        <v>386</v>
      </c>
      <c r="B227" s="359" t="s">
        <v>387</v>
      </c>
      <c r="C227" s="89">
        <v>43459</v>
      </c>
      <c r="D227" s="40">
        <v>2771</v>
      </c>
    </row>
    <row r="228" spans="1:4">
      <c r="A228" s="359" t="s">
        <v>343</v>
      </c>
      <c r="B228" s="359" t="s">
        <v>344</v>
      </c>
      <c r="C228" s="89">
        <v>43459</v>
      </c>
      <c r="D228" s="40">
        <v>1470</v>
      </c>
    </row>
    <row r="229" spans="1:4">
      <c r="A229" s="359" t="s">
        <v>345</v>
      </c>
      <c r="B229" s="359" t="s">
        <v>346</v>
      </c>
      <c r="C229" s="89">
        <v>43459</v>
      </c>
      <c r="D229" s="40">
        <v>702.76</v>
      </c>
    </row>
    <row r="230" spans="1:4">
      <c r="A230" s="359" t="s">
        <v>286</v>
      </c>
      <c r="B230" s="359" t="s">
        <v>287</v>
      </c>
      <c r="C230" s="89">
        <v>43459</v>
      </c>
      <c r="D230" s="40">
        <v>2000</v>
      </c>
    </row>
    <row r="231" spans="1:4">
      <c r="A231" s="359" t="s">
        <v>349</v>
      </c>
      <c r="B231" s="359" t="s">
        <v>350</v>
      </c>
      <c r="C231" s="89">
        <v>43459</v>
      </c>
      <c r="D231" s="40">
        <v>2000</v>
      </c>
    </row>
    <row r="232" spans="1:4">
      <c r="A232" s="359" t="s">
        <v>1377</v>
      </c>
      <c r="B232" s="359" t="s">
        <v>954</v>
      </c>
      <c r="C232" s="89">
        <v>43459</v>
      </c>
      <c r="D232" s="40">
        <v>295.18599999999998</v>
      </c>
    </row>
    <row r="233" spans="1:4">
      <c r="A233" s="359" t="s">
        <v>394</v>
      </c>
      <c r="B233" s="359" t="s">
        <v>395</v>
      </c>
      <c r="C233" s="89">
        <v>43459</v>
      </c>
      <c r="D233" s="40">
        <v>1500</v>
      </c>
    </row>
    <row r="234" spans="1:4">
      <c r="A234" s="359" t="s">
        <v>283</v>
      </c>
      <c r="B234" s="359" t="s">
        <v>284</v>
      </c>
      <c r="C234" s="89">
        <v>43459</v>
      </c>
      <c r="D234" s="40">
        <v>2000</v>
      </c>
    </row>
    <row r="235" spans="1:4">
      <c r="A235" s="359" t="s">
        <v>353</v>
      </c>
      <c r="B235" s="359" t="s">
        <v>354</v>
      </c>
      <c r="C235" s="89">
        <v>43459</v>
      </c>
      <c r="D235" s="40">
        <v>1000</v>
      </c>
    </row>
    <row r="236" spans="1:4">
      <c r="A236" s="359" t="s">
        <v>1619</v>
      </c>
      <c r="B236" s="359" t="s">
        <v>1618</v>
      </c>
      <c r="C236" s="89">
        <v>43460</v>
      </c>
      <c r="D236" s="40">
        <v>500</v>
      </c>
    </row>
    <row r="237" spans="1:4">
      <c r="A237" s="359" t="s">
        <v>1023</v>
      </c>
      <c r="B237" s="359" t="s">
        <v>420</v>
      </c>
      <c r="C237" s="89">
        <v>43460</v>
      </c>
      <c r="D237" s="40">
        <v>1060.9000000000001</v>
      </c>
    </row>
    <row r="238" spans="1:4">
      <c r="A238" s="359" t="s">
        <v>359</v>
      </c>
      <c r="B238" s="359" t="s">
        <v>360</v>
      </c>
      <c r="C238" s="89">
        <v>43460</v>
      </c>
      <c r="D238" s="40">
        <v>1068.432</v>
      </c>
    </row>
    <row r="239" spans="1:4">
      <c r="A239" s="359" t="s">
        <v>403</v>
      </c>
      <c r="B239" s="359" t="s">
        <v>404</v>
      </c>
      <c r="C239" s="89">
        <v>43460</v>
      </c>
      <c r="D239" s="40">
        <v>825</v>
      </c>
    </row>
    <row r="240" spans="1:4">
      <c r="A240" s="359" t="s">
        <v>362</v>
      </c>
      <c r="B240" s="359" t="s">
        <v>363</v>
      </c>
      <c r="C240" s="89">
        <v>43460</v>
      </c>
      <c r="D240" s="40">
        <v>620</v>
      </c>
    </row>
    <row r="241" spans="1:4">
      <c r="A241" s="359" t="s">
        <v>1339</v>
      </c>
      <c r="B241" s="359" t="s">
        <v>346</v>
      </c>
      <c r="C241" s="89">
        <v>43460</v>
      </c>
      <c r="D241" s="40">
        <v>651.9</v>
      </c>
    </row>
    <row r="242" spans="1:4">
      <c r="A242" s="359" t="s">
        <v>303</v>
      </c>
      <c r="B242" s="359" t="s">
        <v>304</v>
      </c>
      <c r="C242" s="89">
        <v>43460</v>
      </c>
      <c r="D242" s="40">
        <v>861.80700000000002</v>
      </c>
    </row>
    <row r="243" spans="1:4">
      <c r="A243" s="359" t="s">
        <v>305</v>
      </c>
      <c r="B243" s="359" t="s">
        <v>306</v>
      </c>
      <c r="C243" s="89">
        <v>43460</v>
      </c>
      <c r="D243" s="40">
        <v>1800</v>
      </c>
    </row>
    <row r="244" spans="1:4">
      <c r="A244" s="359" t="s">
        <v>1222</v>
      </c>
      <c r="B244" s="359" t="s">
        <v>558</v>
      </c>
      <c r="C244" s="89">
        <v>43461</v>
      </c>
      <c r="D244" s="40">
        <v>803.19500000000005</v>
      </c>
    </row>
    <row r="245" spans="1:4">
      <c r="A245" s="359" t="s">
        <v>403</v>
      </c>
      <c r="B245" s="359" t="s">
        <v>404</v>
      </c>
      <c r="C245" s="89">
        <v>43461</v>
      </c>
      <c r="D245" s="40">
        <v>825</v>
      </c>
    </row>
    <row r="246" spans="1:4">
      <c r="A246" s="359" t="s">
        <v>736</v>
      </c>
      <c r="B246" s="359" t="s">
        <v>760</v>
      </c>
      <c r="C246" s="89">
        <v>43461</v>
      </c>
      <c r="D246" s="40">
        <v>2000</v>
      </c>
    </row>
    <row r="247" spans="1:4">
      <c r="A247" s="359" t="s">
        <v>400</v>
      </c>
      <c r="B247" s="359" t="s">
        <v>401</v>
      </c>
      <c r="C247" s="89">
        <v>43461</v>
      </c>
      <c r="D247" s="40">
        <v>3000</v>
      </c>
    </row>
    <row r="248" spans="1:4">
      <c r="A248" s="359" t="s">
        <v>418</v>
      </c>
      <c r="B248" s="359" t="s">
        <v>419</v>
      </c>
      <c r="C248" s="89">
        <v>43461</v>
      </c>
      <c r="D248" s="40">
        <v>10614.891</v>
      </c>
    </row>
    <row r="249" spans="1:4">
      <c r="A249" s="359" t="s">
        <v>301</v>
      </c>
      <c r="B249" s="359" t="s">
        <v>302</v>
      </c>
      <c r="C249" s="89">
        <v>43461</v>
      </c>
      <c r="D249" s="40">
        <v>3095.1289999999999</v>
      </c>
    </row>
    <row r="250" spans="1:4">
      <c r="A250" s="359" t="s">
        <v>345</v>
      </c>
      <c r="B250" s="359" t="s">
        <v>346</v>
      </c>
      <c r="C250" s="89">
        <v>43461</v>
      </c>
      <c r="D250" s="40">
        <v>863</v>
      </c>
    </row>
    <row r="251" spans="1:4">
      <c r="A251" s="359" t="s">
        <v>704</v>
      </c>
      <c r="B251" s="359" t="s">
        <v>287</v>
      </c>
      <c r="C251" s="89">
        <v>43461</v>
      </c>
      <c r="D251" s="40">
        <v>2500</v>
      </c>
    </row>
    <row r="252" spans="1:4">
      <c r="A252" s="359" t="s">
        <v>291</v>
      </c>
      <c r="B252" s="359" t="s">
        <v>292</v>
      </c>
      <c r="C252" s="89">
        <v>43461</v>
      </c>
      <c r="D252" s="40">
        <v>750</v>
      </c>
    </row>
    <row r="253" spans="1:4">
      <c r="A253" s="359" t="s">
        <v>585</v>
      </c>
      <c r="B253" s="359" t="s">
        <v>586</v>
      </c>
      <c r="C253" s="89">
        <v>43461</v>
      </c>
      <c r="D253" s="40">
        <v>4827.9750000000004</v>
      </c>
    </row>
    <row r="254" spans="1:4">
      <c r="A254" s="359" t="s">
        <v>591</v>
      </c>
      <c r="B254" s="359" t="s">
        <v>592</v>
      </c>
      <c r="C254" s="89">
        <v>43462</v>
      </c>
      <c r="D254" s="40">
        <v>1139.1890000000001</v>
      </c>
    </row>
    <row r="255" spans="1:4">
      <c r="A255" s="359" t="s">
        <v>1122</v>
      </c>
      <c r="B255" s="359" t="s">
        <v>423</v>
      </c>
      <c r="C255" s="89">
        <v>43462</v>
      </c>
      <c r="D255" s="40">
        <v>862.16600000000005</v>
      </c>
    </row>
    <row r="256" spans="1:4">
      <c r="A256" s="359" t="s">
        <v>403</v>
      </c>
      <c r="B256" s="359" t="s">
        <v>404</v>
      </c>
      <c r="C256" s="89">
        <v>43462</v>
      </c>
      <c r="D256" s="40">
        <v>825</v>
      </c>
    </row>
    <row r="257" spans="1:4">
      <c r="A257" s="359" t="s">
        <v>590</v>
      </c>
      <c r="B257" s="359" t="s">
        <v>323</v>
      </c>
      <c r="C257" s="89">
        <v>43462</v>
      </c>
      <c r="D257" s="40">
        <v>1650</v>
      </c>
    </row>
    <row r="258" spans="1:4">
      <c r="A258" s="359" t="s">
        <v>984</v>
      </c>
      <c r="B258" s="359" t="s">
        <v>983</v>
      </c>
      <c r="C258" s="89">
        <v>43462</v>
      </c>
      <c r="D258" s="40">
        <v>771.97</v>
      </c>
    </row>
    <row r="259" spans="1:4">
      <c r="A259" s="359" t="s">
        <v>470</v>
      </c>
      <c r="B259" s="359" t="s">
        <v>471</v>
      </c>
      <c r="C259" s="89">
        <v>43462</v>
      </c>
      <c r="D259" s="40">
        <v>462.38099999999997</v>
      </c>
    </row>
    <row r="260" spans="1:4">
      <c r="A260" s="359" t="s">
        <v>345</v>
      </c>
      <c r="B260" s="359" t="s">
        <v>346</v>
      </c>
      <c r="C260" s="89">
        <v>43462</v>
      </c>
      <c r="D260" s="40">
        <v>702.76</v>
      </c>
    </row>
    <row r="261" spans="1:4">
      <c r="A261" s="359" t="s">
        <v>690</v>
      </c>
      <c r="B261" s="359" t="s">
        <v>691</v>
      </c>
      <c r="C261" s="89">
        <v>43462</v>
      </c>
      <c r="D261" s="40">
        <v>433.04599999999999</v>
      </c>
    </row>
    <row r="262" spans="1:4">
      <c r="A262" s="359" t="s">
        <v>641</v>
      </c>
      <c r="B262" s="359" t="s">
        <v>444</v>
      </c>
      <c r="C262" s="89">
        <v>43463</v>
      </c>
      <c r="D262" s="40">
        <v>2247.4699999999998</v>
      </c>
    </row>
    <row r="263" spans="1:4">
      <c r="A263" s="359" t="s">
        <v>1108</v>
      </c>
      <c r="B263" s="359" t="s">
        <v>446</v>
      </c>
      <c r="C263" s="89">
        <v>43463</v>
      </c>
      <c r="D263" s="40">
        <v>404.75400000000002</v>
      </c>
    </row>
    <row r="264" spans="1:4">
      <c r="A264" s="359" t="s">
        <v>959</v>
      </c>
      <c r="B264" s="359" t="s">
        <v>366</v>
      </c>
      <c r="C264" s="89">
        <v>43463</v>
      </c>
      <c r="D264" s="40">
        <v>674.94299999999998</v>
      </c>
    </row>
    <row r="265" spans="1:4">
      <c r="A265" s="359" t="s">
        <v>1359</v>
      </c>
      <c r="B265" s="359" t="s">
        <v>1358</v>
      </c>
      <c r="C265" s="89">
        <v>43463</v>
      </c>
      <c r="D265" s="40">
        <v>824.8</v>
      </c>
    </row>
    <row r="266" spans="1:4">
      <c r="A266" s="359" t="s">
        <v>480</v>
      </c>
      <c r="B266" s="359" t="s">
        <v>481</v>
      </c>
      <c r="C266" s="89">
        <v>43463</v>
      </c>
      <c r="D266" s="40">
        <v>1125.028</v>
      </c>
    </row>
    <row r="267" spans="1:4">
      <c r="A267" s="359" t="s">
        <v>305</v>
      </c>
      <c r="B267" s="359" t="s">
        <v>306</v>
      </c>
      <c r="C267" s="89">
        <v>43463</v>
      </c>
      <c r="D267" s="40">
        <v>2000</v>
      </c>
    </row>
    <row r="268" spans="1:4">
      <c r="A268" s="359" t="s">
        <v>1107</v>
      </c>
      <c r="B268" s="359" t="s">
        <v>729</v>
      </c>
      <c r="C268" s="89">
        <v>43464</v>
      </c>
      <c r="D268" s="40">
        <v>3500</v>
      </c>
    </row>
    <row r="269" spans="1:4">
      <c r="A269" s="359" t="s">
        <v>430</v>
      </c>
      <c r="B269" s="359" t="s">
        <v>431</v>
      </c>
      <c r="C269" s="89">
        <v>43464</v>
      </c>
      <c r="D269" s="40">
        <v>836.89</v>
      </c>
    </row>
    <row r="270" spans="1:4">
      <c r="A270" s="359" t="s">
        <v>935</v>
      </c>
      <c r="B270" s="359" t="s">
        <v>432</v>
      </c>
      <c r="C270" s="89">
        <v>43464</v>
      </c>
      <c r="D270" s="40">
        <v>170.85900000000001</v>
      </c>
    </row>
    <row r="271" spans="1:4">
      <c r="A271" s="359" t="s">
        <v>561</v>
      </c>
      <c r="B271" s="359" t="s">
        <v>562</v>
      </c>
      <c r="C271" s="89">
        <v>43464</v>
      </c>
      <c r="D271" s="40">
        <v>2512.6849999999999</v>
      </c>
    </row>
    <row r="272" spans="1:4">
      <c r="A272" s="359" t="s">
        <v>1199</v>
      </c>
      <c r="B272" s="359" t="s">
        <v>312</v>
      </c>
      <c r="C272" s="89">
        <v>43464</v>
      </c>
      <c r="D272" s="40">
        <v>2735.6689999999999</v>
      </c>
    </row>
    <row r="273" spans="1:5">
      <c r="A273" s="359" t="s">
        <v>679</v>
      </c>
      <c r="B273" s="359" t="s">
        <v>680</v>
      </c>
      <c r="C273" s="89">
        <v>43464</v>
      </c>
      <c r="D273" s="40">
        <v>3598.9639999999999</v>
      </c>
    </row>
    <row r="274" spans="1:5">
      <c r="A274" s="359" t="s">
        <v>1197</v>
      </c>
      <c r="B274" s="359" t="s">
        <v>438</v>
      </c>
      <c r="C274" s="89">
        <v>43464</v>
      </c>
      <c r="D274" s="40">
        <v>2070.5459999999998</v>
      </c>
    </row>
    <row r="275" spans="1:5">
      <c r="A275" s="359" t="s">
        <v>1248</v>
      </c>
      <c r="B275" s="359" t="s">
        <v>628</v>
      </c>
      <c r="C275" s="89">
        <v>43464</v>
      </c>
      <c r="D275" s="40">
        <v>1374.7239999999999</v>
      </c>
    </row>
    <row r="276" spans="1:5">
      <c r="A276" s="359" t="s">
        <v>421</v>
      </c>
      <c r="B276" s="359" t="s">
        <v>422</v>
      </c>
      <c r="C276" s="89">
        <v>43464</v>
      </c>
      <c r="D276" s="40">
        <v>2804.5770000000002</v>
      </c>
    </row>
    <row r="277" spans="1:5">
      <c r="A277" s="359" t="s">
        <v>598</v>
      </c>
      <c r="B277" s="359" t="s">
        <v>317</v>
      </c>
      <c r="C277" s="89">
        <v>43464</v>
      </c>
      <c r="D277" s="40">
        <v>1267.325</v>
      </c>
    </row>
    <row r="278" spans="1:5">
      <c r="A278" s="359" t="s">
        <v>1636</v>
      </c>
      <c r="B278" s="359" t="s">
        <v>1635</v>
      </c>
      <c r="C278" s="89">
        <v>43464</v>
      </c>
      <c r="D278" s="40">
        <v>554.50300000000004</v>
      </c>
    </row>
    <row r="279" spans="1:5">
      <c r="A279" s="359" t="s">
        <v>1634</v>
      </c>
      <c r="B279" s="359" t="s">
        <v>1633</v>
      </c>
      <c r="C279" s="89">
        <v>43464</v>
      </c>
      <c r="D279" s="40">
        <v>280.964</v>
      </c>
    </row>
    <row r="280" spans="1:5">
      <c r="A280" s="359" t="s">
        <v>732</v>
      </c>
      <c r="B280" s="359" t="s">
        <v>733</v>
      </c>
      <c r="C280" s="89">
        <v>43464</v>
      </c>
      <c r="D280" s="40">
        <v>2777.864</v>
      </c>
    </row>
    <row r="281" spans="1:5">
      <c r="A281" s="359" t="s">
        <v>632</v>
      </c>
      <c r="B281" s="359" t="s">
        <v>633</v>
      </c>
      <c r="C281" s="89">
        <v>43464</v>
      </c>
      <c r="D281" s="40">
        <v>4108.6719999999996</v>
      </c>
    </row>
    <row r="282" spans="1:5">
      <c r="A282" s="359" t="s">
        <v>1620</v>
      </c>
      <c r="B282" s="359" t="s">
        <v>1249</v>
      </c>
      <c r="C282" s="89">
        <v>43464</v>
      </c>
      <c r="D282" s="40">
        <v>1045</v>
      </c>
    </row>
    <row r="283" spans="1:5">
      <c r="A283" s="359" t="s">
        <v>1632</v>
      </c>
      <c r="B283" s="359" t="s">
        <v>1631</v>
      </c>
      <c r="C283" s="89">
        <v>43464</v>
      </c>
      <c r="D283" s="40">
        <v>853.56299999999999</v>
      </c>
    </row>
    <row r="284" spans="1:5">
      <c r="A284" s="359" t="s">
        <v>359</v>
      </c>
      <c r="B284" s="359" t="s">
        <v>360</v>
      </c>
      <c r="C284" s="89">
        <v>43464</v>
      </c>
      <c r="D284" s="40">
        <v>1068.432</v>
      </c>
      <c r="E284" s="560"/>
    </row>
    <row r="285" spans="1:5">
      <c r="A285" s="359" t="s">
        <v>403</v>
      </c>
      <c r="B285" s="359" t="s">
        <v>404</v>
      </c>
      <c r="C285" s="89">
        <v>43464</v>
      </c>
      <c r="D285" s="40">
        <v>825</v>
      </c>
    </row>
    <row r="286" spans="1:5">
      <c r="A286" s="359" t="s">
        <v>1357</v>
      </c>
      <c r="B286" s="359" t="s">
        <v>1207</v>
      </c>
      <c r="C286" s="89">
        <v>43464</v>
      </c>
      <c r="D286" s="40">
        <v>2868.529</v>
      </c>
    </row>
    <row r="287" spans="1:5">
      <c r="A287" s="359" t="s">
        <v>734</v>
      </c>
      <c r="B287" s="359" t="s">
        <v>450</v>
      </c>
      <c r="C287" s="89">
        <v>43464</v>
      </c>
      <c r="D287" s="40">
        <v>911.96699999999998</v>
      </c>
    </row>
    <row r="288" spans="1:5">
      <c r="A288" s="359" t="s">
        <v>1195</v>
      </c>
      <c r="B288" s="359" t="s">
        <v>645</v>
      </c>
      <c r="C288" s="89">
        <v>43464</v>
      </c>
      <c r="D288" s="40">
        <v>1532.7719999999999</v>
      </c>
    </row>
    <row r="289" spans="1:4">
      <c r="A289" s="359" t="s">
        <v>281</v>
      </c>
      <c r="B289" s="359" t="s">
        <v>282</v>
      </c>
      <c r="C289" s="89">
        <v>43464</v>
      </c>
      <c r="D289" s="40">
        <v>1500</v>
      </c>
    </row>
    <row r="290" spans="1:4">
      <c r="A290" s="359" t="s">
        <v>324</v>
      </c>
      <c r="B290" s="359" t="s">
        <v>325</v>
      </c>
      <c r="C290" s="89">
        <v>43464</v>
      </c>
      <c r="D290" s="40">
        <v>500</v>
      </c>
    </row>
    <row r="291" spans="1:4">
      <c r="A291" s="359" t="s">
        <v>1127</v>
      </c>
      <c r="B291" s="359" t="s">
        <v>521</v>
      </c>
      <c r="C291" s="89">
        <v>43464</v>
      </c>
      <c r="D291" s="40">
        <v>4104.8159999999998</v>
      </c>
    </row>
    <row r="292" spans="1:4">
      <c r="A292" s="359" t="s">
        <v>648</v>
      </c>
      <c r="B292" s="359" t="s">
        <v>378</v>
      </c>
      <c r="C292" s="89">
        <v>43464</v>
      </c>
      <c r="D292" s="40">
        <v>3606.799</v>
      </c>
    </row>
    <row r="293" spans="1:4">
      <c r="A293" s="359" t="s">
        <v>649</v>
      </c>
      <c r="B293" s="359" t="s">
        <v>650</v>
      </c>
      <c r="C293" s="89">
        <v>43464</v>
      </c>
      <c r="D293" s="40">
        <v>1905.3620000000001</v>
      </c>
    </row>
    <row r="294" spans="1:4">
      <c r="A294" s="359" t="s">
        <v>965</v>
      </c>
      <c r="B294" s="359" t="s">
        <v>964</v>
      </c>
      <c r="C294" s="89">
        <v>43464</v>
      </c>
      <c r="D294" s="40">
        <v>492.16500000000002</v>
      </c>
    </row>
    <row r="295" spans="1:4" s="558" customFormat="1">
      <c r="A295" s="359" t="s">
        <v>1630</v>
      </c>
      <c r="B295" s="359" t="s">
        <v>964</v>
      </c>
      <c r="C295" s="89">
        <v>43464</v>
      </c>
      <c r="D295" s="40">
        <v>317.69400000000002</v>
      </c>
    </row>
    <row r="296" spans="1:4">
      <c r="A296" s="359" t="s">
        <v>977</v>
      </c>
      <c r="B296" s="359" t="s">
        <v>976</v>
      </c>
      <c r="C296" s="89">
        <v>43464</v>
      </c>
      <c r="D296" s="40">
        <v>3500</v>
      </c>
    </row>
    <row r="297" spans="1:4">
      <c r="A297" s="359" t="s">
        <v>416</v>
      </c>
      <c r="B297" s="359" t="s">
        <v>417</v>
      </c>
      <c r="C297" s="89">
        <v>43464</v>
      </c>
      <c r="D297" s="40">
        <v>750</v>
      </c>
    </row>
    <row r="298" spans="1:4">
      <c r="A298" s="359" t="s">
        <v>364</v>
      </c>
      <c r="B298" s="359" t="s">
        <v>365</v>
      </c>
      <c r="C298" s="89">
        <v>43464</v>
      </c>
      <c r="D298" s="40">
        <v>4000</v>
      </c>
    </row>
    <row r="299" spans="1:4">
      <c r="A299" s="359" t="s">
        <v>331</v>
      </c>
      <c r="B299" s="359" t="s">
        <v>332</v>
      </c>
      <c r="C299" s="89">
        <v>43464</v>
      </c>
      <c r="D299" s="40">
        <v>395.69200000000001</v>
      </c>
    </row>
    <row r="300" spans="1:4">
      <c r="A300" s="359" t="s">
        <v>981</v>
      </c>
      <c r="B300" s="359" t="s">
        <v>980</v>
      </c>
      <c r="C300" s="89">
        <v>43464</v>
      </c>
      <c r="D300" s="40">
        <v>180</v>
      </c>
    </row>
    <row r="301" spans="1:4">
      <c r="A301" s="359" t="s">
        <v>613</v>
      </c>
      <c r="B301" s="359" t="s">
        <v>614</v>
      </c>
      <c r="C301" s="89">
        <v>43464</v>
      </c>
      <c r="D301" s="40">
        <v>2000</v>
      </c>
    </row>
    <row r="302" spans="1:4">
      <c r="A302" s="359" t="s">
        <v>299</v>
      </c>
      <c r="B302" s="359" t="s">
        <v>300</v>
      </c>
      <c r="C302" s="89">
        <v>43464</v>
      </c>
      <c r="D302" s="40">
        <v>340</v>
      </c>
    </row>
    <row r="303" spans="1:4">
      <c r="A303" s="359" t="s">
        <v>472</v>
      </c>
      <c r="B303" s="359" t="s">
        <v>473</v>
      </c>
      <c r="C303" s="89">
        <v>43464</v>
      </c>
      <c r="D303" s="40">
        <v>310.428</v>
      </c>
    </row>
    <row r="304" spans="1:4">
      <c r="A304" s="359" t="s">
        <v>384</v>
      </c>
      <c r="B304" s="359" t="s">
        <v>385</v>
      </c>
      <c r="C304" s="89">
        <v>43464</v>
      </c>
      <c r="D304" s="40">
        <v>633.68399999999997</v>
      </c>
    </row>
    <row r="305" spans="1:4">
      <c r="A305" s="359" t="s">
        <v>476</v>
      </c>
      <c r="B305" s="359" t="s">
        <v>477</v>
      </c>
      <c r="C305" s="89">
        <v>43464</v>
      </c>
      <c r="D305" s="40">
        <v>1568.04</v>
      </c>
    </row>
    <row r="306" spans="1:4">
      <c r="A306" s="359" t="s">
        <v>578</v>
      </c>
      <c r="B306" s="359" t="s">
        <v>579</v>
      </c>
      <c r="C306" s="89">
        <v>43464</v>
      </c>
      <c r="D306" s="40">
        <v>2300</v>
      </c>
    </row>
    <row r="307" spans="1:4">
      <c r="A307" s="359" t="s">
        <v>1198</v>
      </c>
      <c r="B307" s="359" t="s">
        <v>367</v>
      </c>
      <c r="C307" s="89">
        <v>43464</v>
      </c>
      <c r="D307" s="40">
        <v>11975.879000000001</v>
      </c>
    </row>
    <row r="308" spans="1:4">
      <c r="A308" s="359" t="s">
        <v>478</v>
      </c>
      <c r="B308" s="359" t="s">
        <v>479</v>
      </c>
      <c r="C308" s="89">
        <v>43464</v>
      </c>
      <c r="D308" s="40">
        <v>808.78899999999999</v>
      </c>
    </row>
    <row r="309" spans="1:4">
      <c r="A309" s="359" t="s">
        <v>975</v>
      </c>
      <c r="B309" s="359" t="s">
        <v>974</v>
      </c>
      <c r="C309" s="89">
        <v>43464</v>
      </c>
      <c r="D309" s="40">
        <v>571</v>
      </c>
    </row>
    <row r="310" spans="1:4">
      <c r="A310" s="359" t="s">
        <v>677</v>
      </c>
      <c r="B310" s="359" t="s">
        <v>580</v>
      </c>
      <c r="C310" s="89">
        <v>43464</v>
      </c>
      <c r="D310" s="40">
        <v>877.20600000000002</v>
      </c>
    </row>
    <row r="311" spans="1:4">
      <c r="A311" s="359" t="s">
        <v>731</v>
      </c>
      <c r="B311" s="359" t="s">
        <v>755</v>
      </c>
      <c r="C311" s="89">
        <v>43464</v>
      </c>
      <c r="D311" s="40">
        <v>2119.1990000000001</v>
      </c>
    </row>
    <row r="312" spans="1:4">
      <c r="A312" s="359" t="s">
        <v>1026</v>
      </c>
      <c r="B312" s="359" t="s">
        <v>1054</v>
      </c>
      <c r="C312" s="89">
        <v>43464</v>
      </c>
      <c r="D312" s="40">
        <v>1893.614</v>
      </c>
    </row>
    <row r="313" spans="1:4">
      <c r="A313" s="359" t="s">
        <v>583</v>
      </c>
      <c r="B313" s="359" t="s">
        <v>584</v>
      </c>
      <c r="C313" s="89">
        <v>43464</v>
      </c>
      <c r="D313" s="40">
        <v>4033.4839999999999</v>
      </c>
    </row>
    <row r="314" spans="1:4">
      <c r="A314" s="359" t="s">
        <v>543</v>
      </c>
      <c r="B314" s="359" t="s">
        <v>544</v>
      </c>
      <c r="C314" s="89">
        <v>43464</v>
      </c>
      <c r="D314" s="40">
        <v>1094.1099999999999</v>
      </c>
    </row>
    <row r="315" spans="1:4">
      <c r="A315" s="359" t="s">
        <v>394</v>
      </c>
      <c r="B315" s="359" t="s">
        <v>395</v>
      </c>
      <c r="C315" s="89">
        <v>43464</v>
      </c>
      <c r="D315" s="40">
        <v>1000</v>
      </c>
    </row>
    <row r="316" spans="1:4">
      <c r="A316" s="359" t="s">
        <v>1106</v>
      </c>
      <c r="B316" s="359" t="s">
        <v>1105</v>
      </c>
      <c r="C316" s="89">
        <v>43464</v>
      </c>
      <c r="D316" s="40">
        <v>9715.3080000000009</v>
      </c>
    </row>
    <row r="317" spans="1:4">
      <c r="A317" s="359" t="s">
        <v>663</v>
      </c>
      <c r="B317" s="359" t="s">
        <v>484</v>
      </c>
      <c r="C317" s="89">
        <v>43464</v>
      </c>
      <c r="D317" s="40">
        <v>3597.018</v>
      </c>
    </row>
    <row r="318" spans="1:4">
      <c r="A318" s="359" t="s">
        <v>461</v>
      </c>
      <c r="B318" s="359" t="s">
        <v>410</v>
      </c>
      <c r="C318" s="89">
        <v>43464</v>
      </c>
      <c r="D318" s="40">
        <v>2396.0610000000001</v>
      </c>
    </row>
    <row r="319" spans="1:4">
      <c r="A319" s="359" t="s">
        <v>1136</v>
      </c>
      <c r="B319" s="359" t="s">
        <v>1135</v>
      </c>
      <c r="C319" s="89">
        <v>43464</v>
      </c>
      <c r="D319" s="40">
        <v>1627.4770000000001</v>
      </c>
    </row>
    <row r="320" spans="1:4">
      <c r="A320" s="359" t="s">
        <v>1104</v>
      </c>
      <c r="B320" s="359" t="s">
        <v>1103</v>
      </c>
      <c r="C320" s="89">
        <v>43464</v>
      </c>
      <c r="D320" s="40">
        <v>543.24</v>
      </c>
    </row>
    <row r="321" spans="1:4">
      <c r="A321" s="359" t="s">
        <v>727</v>
      </c>
      <c r="B321" s="359" t="s">
        <v>752</v>
      </c>
      <c r="C321" s="89">
        <v>43464</v>
      </c>
      <c r="D321" s="40">
        <v>3000</v>
      </c>
    </row>
    <row r="322" spans="1:4">
      <c r="A322" s="359" t="s">
        <v>722</v>
      </c>
      <c r="B322" s="359" t="s">
        <v>723</v>
      </c>
      <c r="C322" s="89">
        <v>43464</v>
      </c>
      <c r="D322" s="40">
        <v>680</v>
      </c>
    </row>
    <row r="323" spans="1:4">
      <c r="A323" s="359" t="s">
        <v>466</v>
      </c>
      <c r="B323" s="359" t="s">
        <v>467</v>
      </c>
      <c r="C323" s="89">
        <v>43464</v>
      </c>
      <c r="D323" s="40">
        <v>8445.6970000000001</v>
      </c>
    </row>
    <row r="324" spans="1:4">
      <c r="A324" s="359" t="s">
        <v>1252</v>
      </c>
      <c r="B324" s="359" t="s">
        <v>1251</v>
      </c>
      <c r="C324" s="89">
        <v>43464</v>
      </c>
      <c r="D324" s="40">
        <v>1795.0650000000001</v>
      </c>
    </row>
    <row r="325" spans="1:4">
      <c r="A325" s="359" t="s">
        <v>1020</v>
      </c>
      <c r="B325" s="359" t="s">
        <v>1050</v>
      </c>
      <c r="C325" s="89">
        <v>43464</v>
      </c>
      <c r="D325" s="40">
        <v>1756.2049999999999</v>
      </c>
    </row>
    <row r="326" spans="1:4">
      <c r="A326" s="359" t="s">
        <v>1374</v>
      </c>
      <c r="B326" s="359" t="s">
        <v>1373</v>
      </c>
      <c r="C326" s="89">
        <v>43464</v>
      </c>
      <c r="D326" s="40">
        <v>1104.316</v>
      </c>
    </row>
    <row r="327" spans="1:4">
      <c r="A327" s="359" t="s">
        <v>487</v>
      </c>
      <c r="B327" s="359" t="s">
        <v>488</v>
      </c>
      <c r="C327" s="89">
        <v>43464</v>
      </c>
      <c r="D327" s="40">
        <v>1105.9280000000001</v>
      </c>
    </row>
    <row r="328" spans="1:4">
      <c r="A328" s="359" t="s">
        <v>489</v>
      </c>
      <c r="B328" s="359" t="s">
        <v>490</v>
      </c>
      <c r="C328" s="89">
        <v>43464</v>
      </c>
      <c r="D328" s="40">
        <v>1377.6880000000001</v>
      </c>
    </row>
    <row r="329" spans="1:4">
      <c r="A329" s="359" t="s">
        <v>388</v>
      </c>
      <c r="B329" s="359" t="s">
        <v>389</v>
      </c>
      <c r="C329" s="89">
        <v>43464</v>
      </c>
      <c r="D329" s="40">
        <v>715.50400000000002</v>
      </c>
    </row>
    <row r="330" spans="1:4">
      <c r="A330" s="359" t="s">
        <v>1134</v>
      </c>
      <c r="B330" s="359" t="s">
        <v>1196</v>
      </c>
      <c r="C330" s="89">
        <v>43464</v>
      </c>
      <c r="D330" s="40">
        <v>1751.91</v>
      </c>
    </row>
    <row r="331" spans="1:4">
      <c r="A331" s="359" t="s">
        <v>545</v>
      </c>
      <c r="B331" s="359" t="s">
        <v>546</v>
      </c>
      <c r="C331" s="89">
        <v>43464</v>
      </c>
      <c r="D331" s="40">
        <v>6138.0990000000002</v>
      </c>
    </row>
    <row r="332" spans="1:4">
      <c r="A332" s="359" t="s">
        <v>938</v>
      </c>
      <c r="B332" s="359" t="s">
        <v>937</v>
      </c>
      <c r="C332" s="89">
        <v>43464</v>
      </c>
      <c r="D332" s="40">
        <v>2000</v>
      </c>
    </row>
    <row r="333" spans="1:4">
      <c r="A333" s="359" t="s">
        <v>623</v>
      </c>
      <c r="B333" s="359" t="s">
        <v>624</v>
      </c>
      <c r="C333" s="89">
        <v>43465</v>
      </c>
      <c r="D333" s="40">
        <v>558.4</v>
      </c>
    </row>
    <row r="334" spans="1:4">
      <c r="A334" s="359" t="s">
        <v>703</v>
      </c>
      <c r="B334" s="359" t="s">
        <v>495</v>
      </c>
      <c r="C334" s="89">
        <v>43465</v>
      </c>
      <c r="D334" s="40">
        <v>9695.6020000000008</v>
      </c>
    </row>
    <row r="335" spans="1:4">
      <c r="A335" s="359" t="s">
        <v>1243</v>
      </c>
      <c r="B335" s="359" t="s">
        <v>1356</v>
      </c>
      <c r="C335" s="89">
        <v>43465</v>
      </c>
      <c r="D335" s="40">
        <v>1232.0989999999999</v>
      </c>
    </row>
    <row r="336" spans="1:4">
      <c r="A336" s="359" t="s">
        <v>497</v>
      </c>
      <c r="B336" s="359" t="s">
        <v>498</v>
      </c>
      <c r="C336" s="89">
        <v>43465</v>
      </c>
      <c r="D336" s="40">
        <v>2010.0640000000001</v>
      </c>
    </row>
    <row r="337" spans="1:4">
      <c r="A337" s="359" t="s">
        <v>934</v>
      </c>
      <c r="B337" s="359" t="s">
        <v>626</v>
      </c>
      <c r="C337" s="89">
        <v>43465</v>
      </c>
      <c r="D337" s="40">
        <v>846.11900000000003</v>
      </c>
    </row>
    <row r="338" spans="1:4">
      <c r="A338" s="359" t="s">
        <v>357</v>
      </c>
      <c r="B338" s="359" t="s">
        <v>358</v>
      </c>
      <c r="C338" s="89">
        <v>43465</v>
      </c>
      <c r="D338" s="40">
        <v>445.58</v>
      </c>
    </row>
    <row r="339" spans="1:4">
      <c r="A339" s="359" t="s">
        <v>1457</v>
      </c>
      <c r="B339" s="359" t="s">
        <v>434</v>
      </c>
      <c r="C339" s="89">
        <v>43465</v>
      </c>
      <c r="D339" s="40">
        <v>286.12799999999999</v>
      </c>
    </row>
    <row r="340" spans="1:4">
      <c r="A340" s="359" t="s">
        <v>435</v>
      </c>
      <c r="B340" s="359" t="s">
        <v>311</v>
      </c>
      <c r="C340" s="89">
        <v>43465</v>
      </c>
      <c r="D340" s="40">
        <v>500</v>
      </c>
    </row>
    <row r="341" spans="1:4">
      <c r="A341" s="359" t="s">
        <v>500</v>
      </c>
      <c r="B341" s="359" t="s">
        <v>501</v>
      </c>
      <c r="C341" s="89">
        <v>43465</v>
      </c>
      <c r="D341" s="40">
        <v>3895.0450000000001</v>
      </c>
    </row>
    <row r="342" spans="1:4">
      <c r="A342" s="359" t="s">
        <v>1023</v>
      </c>
      <c r="B342" s="359" t="s">
        <v>420</v>
      </c>
      <c r="C342" s="89">
        <v>43465</v>
      </c>
      <c r="D342" s="40">
        <v>1050.4000000000001</v>
      </c>
    </row>
    <row r="343" spans="1:4">
      <c r="A343" s="359" t="s">
        <v>315</v>
      </c>
      <c r="B343" s="359" t="s">
        <v>314</v>
      </c>
      <c r="C343" s="89">
        <v>43465</v>
      </c>
      <c r="D343" s="40">
        <v>4771.53</v>
      </c>
    </row>
    <row r="344" spans="1:4">
      <c r="A344" s="359" t="s">
        <v>630</v>
      </c>
      <c r="B344" s="359" t="s">
        <v>502</v>
      </c>
      <c r="C344" s="89">
        <v>43465</v>
      </c>
      <c r="D344" s="40">
        <v>301.31299999999999</v>
      </c>
    </row>
    <row r="345" spans="1:4">
      <c r="A345" s="359" t="s">
        <v>288</v>
      </c>
      <c r="B345" s="359" t="s">
        <v>289</v>
      </c>
      <c r="C345" s="89">
        <v>43465</v>
      </c>
      <c r="D345" s="40">
        <v>4000</v>
      </c>
    </row>
    <row r="346" spans="1:4">
      <c r="A346" s="359" t="s">
        <v>958</v>
      </c>
      <c r="B346" s="359" t="s">
        <v>440</v>
      </c>
      <c r="C346" s="89">
        <v>43465</v>
      </c>
      <c r="D346" s="40">
        <v>1645</v>
      </c>
    </row>
    <row r="347" spans="1:4">
      <c r="A347" s="359" t="s">
        <v>318</v>
      </c>
      <c r="B347" s="359" t="s">
        <v>319</v>
      </c>
      <c r="C347" s="89">
        <v>43465</v>
      </c>
      <c r="D347" s="40">
        <v>3000</v>
      </c>
    </row>
    <row r="348" spans="1:4">
      <c r="A348" s="359" t="s">
        <v>503</v>
      </c>
      <c r="B348" s="359" t="s">
        <v>504</v>
      </c>
      <c r="C348" s="89">
        <v>43465</v>
      </c>
      <c r="D348" s="40">
        <v>657.98500000000001</v>
      </c>
    </row>
    <row r="349" spans="1:4">
      <c r="A349" s="359" t="s">
        <v>1247</v>
      </c>
      <c r="B349" s="359" t="s">
        <v>963</v>
      </c>
      <c r="C349" s="89">
        <v>43465</v>
      </c>
      <c r="D349" s="40">
        <v>1988.3520000000001</v>
      </c>
    </row>
    <row r="350" spans="1:4">
      <c r="A350" s="359" t="s">
        <v>505</v>
      </c>
      <c r="B350" s="359" t="s">
        <v>506</v>
      </c>
      <c r="C350" s="89">
        <v>43465</v>
      </c>
      <c r="D350" s="40">
        <v>5064.1090000000004</v>
      </c>
    </row>
    <row r="351" spans="1:4">
      <c r="A351" s="359" t="s">
        <v>1244</v>
      </c>
      <c r="B351" s="359" t="s">
        <v>1048</v>
      </c>
      <c r="C351" s="89">
        <v>43465</v>
      </c>
      <c r="D351" s="40">
        <v>525.43600000000004</v>
      </c>
    </row>
    <row r="352" spans="1:4">
      <c r="A352" s="359" t="s">
        <v>507</v>
      </c>
      <c r="B352" s="359" t="s">
        <v>1355</v>
      </c>
      <c r="C352" s="89">
        <v>43465</v>
      </c>
      <c r="D352" s="40">
        <v>1147.9839999999999</v>
      </c>
    </row>
    <row r="353" spans="1:4">
      <c r="A353" s="359" t="s">
        <v>634</v>
      </c>
      <c r="B353" s="359" t="s">
        <v>508</v>
      </c>
      <c r="C353" s="89">
        <v>43465</v>
      </c>
      <c r="D353" s="40">
        <v>1694.72</v>
      </c>
    </row>
    <row r="354" spans="1:4">
      <c r="A354" s="359" t="s">
        <v>509</v>
      </c>
      <c r="B354" s="359" t="s">
        <v>510</v>
      </c>
      <c r="C354" s="89">
        <v>43465</v>
      </c>
      <c r="D354" s="40">
        <v>1382.636</v>
      </c>
    </row>
    <row r="355" spans="1:4">
      <c r="A355" s="359" t="s">
        <v>374</v>
      </c>
      <c r="B355" s="359" t="s">
        <v>375</v>
      </c>
      <c r="C355" s="89">
        <v>43465</v>
      </c>
      <c r="D355" s="40">
        <v>792.63400000000001</v>
      </c>
    </row>
    <row r="356" spans="1:4">
      <c r="A356" s="359" t="s">
        <v>511</v>
      </c>
      <c r="B356" s="359" t="s">
        <v>512</v>
      </c>
      <c r="C356" s="89">
        <v>43465</v>
      </c>
      <c r="D356" s="40">
        <v>2253.3229999999999</v>
      </c>
    </row>
    <row r="357" spans="1:4">
      <c r="A357" s="359" t="s">
        <v>932</v>
      </c>
      <c r="B357" s="359" t="s">
        <v>442</v>
      </c>
      <c r="C357" s="89">
        <v>43465</v>
      </c>
      <c r="D357" s="40">
        <v>8901.6110000000008</v>
      </c>
    </row>
    <row r="358" spans="1:4">
      <c r="A358" s="359" t="s">
        <v>770</v>
      </c>
      <c r="B358" s="359" t="s">
        <v>771</v>
      </c>
      <c r="C358" s="89">
        <v>43465</v>
      </c>
      <c r="D358" s="40">
        <v>1495.1489999999999</v>
      </c>
    </row>
    <row r="359" spans="1:4">
      <c r="A359" s="359" t="s">
        <v>637</v>
      </c>
      <c r="B359" s="359" t="s">
        <v>638</v>
      </c>
      <c r="C359" s="89">
        <v>43465</v>
      </c>
      <c r="D359" s="40">
        <v>6614.6289999999999</v>
      </c>
    </row>
    <row r="360" spans="1:4">
      <c r="A360" s="359" t="s">
        <v>743</v>
      </c>
      <c r="B360" s="359" t="s">
        <v>443</v>
      </c>
      <c r="C360" s="89">
        <v>43465</v>
      </c>
      <c r="D360" s="40">
        <v>1385.549</v>
      </c>
    </row>
    <row r="361" spans="1:4">
      <c r="A361" s="359" t="s">
        <v>1382</v>
      </c>
      <c r="B361" s="359" t="s">
        <v>513</v>
      </c>
      <c r="C361" s="89">
        <v>43465</v>
      </c>
      <c r="D361" s="40">
        <v>3628.3629999999998</v>
      </c>
    </row>
    <row r="362" spans="1:4">
      <c r="A362" s="359" t="s">
        <v>639</v>
      </c>
      <c r="B362" s="359" t="s">
        <v>640</v>
      </c>
      <c r="C362" s="89">
        <v>43465</v>
      </c>
      <c r="D362" s="40">
        <v>1521.28</v>
      </c>
    </row>
    <row r="363" spans="1:4">
      <c r="A363" s="359" t="s">
        <v>763</v>
      </c>
      <c r="B363" s="359" t="s">
        <v>558</v>
      </c>
      <c r="C363" s="89">
        <v>43465</v>
      </c>
      <c r="D363" s="40">
        <v>1795.954</v>
      </c>
    </row>
    <row r="364" spans="1:4">
      <c r="A364" s="359" t="s">
        <v>1218</v>
      </c>
      <c r="B364" s="359" t="s">
        <v>1209</v>
      </c>
      <c r="C364" s="89">
        <v>43465</v>
      </c>
      <c r="D364" s="40">
        <v>1753.47</v>
      </c>
    </row>
    <row r="365" spans="1:4">
      <c r="A365" s="359" t="s">
        <v>1192</v>
      </c>
      <c r="B365" s="359" t="s">
        <v>445</v>
      </c>
      <c r="C365" s="89">
        <v>43465</v>
      </c>
      <c r="D365" s="40">
        <v>5103.5940000000001</v>
      </c>
    </row>
    <row r="366" spans="1:4">
      <c r="A366" s="359" t="s">
        <v>642</v>
      </c>
      <c r="B366" s="359" t="s">
        <v>515</v>
      </c>
      <c r="C366" s="89">
        <v>43465</v>
      </c>
      <c r="D366" s="40">
        <v>2908</v>
      </c>
    </row>
    <row r="367" spans="1:4">
      <c r="A367" s="359" t="s">
        <v>403</v>
      </c>
      <c r="B367" s="359" t="s">
        <v>404</v>
      </c>
      <c r="C367" s="89">
        <v>43465</v>
      </c>
      <c r="D367" s="40">
        <v>825</v>
      </c>
    </row>
    <row r="368" spans="1:4">
      <c r="A368" s="359" t="s">
        <v>985</v>
      </c>
      <c r="B368" s="359" t="s">
        <v>449</v>
      </c>
      <c r="C368" s="89">
        <v>43465</v>
      </c>
      <c r="D368" s="40">
        <v>2500</v>
      </c>
    </row>
    <row r="369" spans="1:4">
      <c r="A369" s="359" t="s">
        <v>1124</v>
      </c>
      <c r="B369" s="359" t="s">
        <v>643</v>
      </c>
      <c r="C369" s="89">
        <v>43465</v>
      </c>
      <c r="D369" s="40">
        <v>4781.0290000000005</v>
      </c>
    </row>
    <row r="370" spans="1:4">
      <c r="A370" s="359" t="s">
        <v>1246</v>
      </c>
      <c r="B370" s="359" t="s">
        <v>518</v>
      </c>
      <c r="C370" s="89">
        <v>43465</v>
      </c>
      <c r="D370" s="40">
        <v>786.86300000000006</v>
      </c>
    </row>
    <row r="371" spans="1:4">
      <c r="A371" s="359" t="s">
        <v>1185</v>
      </c>
      <c r="B371" s="359" t="s">
        <v>519</v>
      </c>
      <c r="C371" s="89">
        <v>43465</v>
      </c>
      <c r="D371" s="40">
        <v>1500</v>
      </c>
    </row>
    <row r="372" spans="1:4">
      <c r="A372" s="359" t="s">
        <v>1629</v>
      </c>
      <c r="B372" s="359" t="s">
        <v>1628</v>
      </c>
      <c r="C372" s="89">
        <v>43465</v>
      </c>
      <c r="D372" s="40">
        <v>1179.8330000000001</v>
      </c>
    </row>
    <row r="373" spans="1:4">
      <c r="A373" s="359" t="s">
        <v>1102</v>
      </c>
      <c r="B373" s="359" t="s">
        <v>1101</v>
      </c>
      <c r="C373" s="89">
        <v>43465</v>
      </c>
      <c r="D373" s="40">
        <v>488.88200000000001</v>
      </c>
    </row>
    <row r="374" spans="1:4">
      <c r="A374" s="359" t="s">
        <v>1242</v>
      </c>
      <c r="B374" s="359" t="s">
        <v>1123</v>
      </c>
      <c r="C374" s="89">
        <v>43465</v>
      </c>
      <c r="D374" s="40">
        <v>1665.7059999999999</v>
      </c>
    </row>
    <row r="375" spans="1:4">
      <c r="A375" s="359" t="s">
        <v>324</v>
      </c>
      <c r="B375" s="359" t="s">
        <v>325</v>
      </c>
      <c r="C375" s="89">
        <v>43465</v>
      </c>
      <c r="D375" s="40">
        <v>1200</v>
      </c>
    </row>
    <row r="376" spans="1:4">
      <c r="A376" s="359" t="s">
        <v>761</v>
      </c>
      <c r="B376" s="359" t="s">
        <v>762</v>
      </c>
      <c r="C376" s="89">
        <v>43465</v>
      </c>
      <c r="D376" s="40">
        <v>1125.8499999999999</v>
      </c>
    </row>
    <row r="377" spans="1:4">
      <c r="A377" s="359" t="s">
        <v>692</v>
      </c>
      <c r="B377" s="359" t="s">
        <v>522</v>
      </c>
      <c r="C377" s="89">
        <v>43465</v>
      </c>
      <c r="D377" s="40">
        <v>891.49400000000003</v>
      </c>
    </row>
    <row r="378" spans="1:4">
      <c r="A378" s="359" t="s">
        <v>1217</v>
      </c>
      <c r="B378" s="359" t="s">
        <v>326</v>
      </c>
      <c r="C378" s="89">
        <v>43465</v>
      </c>
      <c r="D378" s="40">
        <v>2700</v>
      </c>
    </row>
    <row r="379" spans="1:4">
      <c r="A379" s="359" t="s">
        <v>1211</v>
      </c>
      <c r="B379" s="359" t="s">
        <v>1627</v>
      </c>
      <c r="C379" s="89">
        <v>43465</v>
      </c>
      <c r="D379" s="40">
        <v>1199.876</v>
      </c>
    </row>
    <row r="380" spans="1:4">
      <c r="A380" s="359" t="s">
        <v>1129</v>
      </c>
      <c r="B380" s="359" t="s">
        <v>454</v>
      </c>
      <c r="C380" s="89">
        <v>43465</v>
      </c>
      <c r="D380" s="40">
        <v>962.09100000000001</v>
      </c>
    </row>
    <row r="381" spans="1:4">
      <c r="A381" s="359" t="s">
        <v>778</v>
      </c>
      <c r="B381" s="359" t="s">
        <v>407</v>
      </c>
      <c r="C381" s="89">
        <v>43465</v>
      </c>
      <c r="D381" s="40">
        <v>5000</v>
      </c>
    </row>
    <row r="382" spans="1:4">
      <c r="A382" s="359" t="s">
        <v>982</v>
      </c>
      <c r="B382" s="359" t="s">
        <v>1027</v>
      </c>
      <c r="C382" s="89">
        <v>43465</v>
      </c>
      <c r="D382" s="40">
        <v>1059.67</v>
      </c>
    </row>
    <row r="383" spans="1:4">
      <c r="A383" s="359" t="s">
        <v>523</v>
      </c>
      <c r="B383" s="359" t="s">
        <v>524</v>
      </c>
      <c r="C383" s="89">
        <v>43465</v>
      </c>
      <c r="D383" s="40">
        <v>872.60799999999995</v>
      </c>
    </row>
    <row r="384" spans="1:4">
      <c r="A384" s="359" t="s">
        <v>525</v>
      </c>
      <c r="B384" s="359" t="s">
        <v>526</v>
      </c>
      <c r="C384" s="89">
        <v>43465</v>
      </c>
      <c r="D384" s="40">
        <v>4538.8389999999999</v>
      </c>
    </row>
    <row r="385" spans="1:4">
      <c r="A385" s="359" t="s">
        <v>527</v>
      </c>
      <c r="B385" s="359" t="s">
        <v>528</v>
      </c>
      <c r="C385" s="89">
        <v>43465</v>
      </c>
      <c r="D385" s="40">
        <v>622.76599999999996</v>
      </c>
    </row>
    <row r="386" spans="1:4">
      <c r="A386" s="359" t="s">
        <v>380</v>
      </c>
      <c r="B386" s="359" t="s">
        <v>381</v>
      </c>
      <c r="C386" s="89">
        <v>43465</v>
      </c>
      <c r="D386" s="40">
        <v>1112.3019999999999</v>
      </c>
    </row>
    <row r="387" spans="1:4">
      <c r="A387" s="359" t="s">
        <v>1194</v>
      </c>
      <c r="B387" s="359" t="s">
        <v>1193</v>
      </c>
      <c r="C387" s="89">
        <v>43465</v>
      </c>
      <c r="D387" s="40">
        <v>115</v>
      </c>
    </row>
    <row r="388" spans="1:4">
      <c r="A388" s="359" t="s">
        <v>329</v>
      </c>
      <c r="B388" s="359" t="s">
        <v>330</v>
      </c>
      <c r="C388" s="89">
        <v>43465</v>
      </c>
      <c r="D388" s="40">
        <v>1636.7360000000001</v>
      </c>
    </row>
    <row r="389" spans="1:4">
      <c r="A389" s="359" t="s">
        <v>601</v>
      </c>
      <c r="B389" s="359" t="s">
        <v>602</v>
      </c>
      <c r="C389" s="89">
        <v>43465</v>
      </c>
      <c r="D389" s="40">
        <v>1467.127</v>
      </c>
    </row>
    <row r="390" spans="1:4">
      <c r="A390" s="359" t="s">
        <v>455</v>
      </c>
      <c r="B390" s="359" t="s">
        <v>456</v>
      </c>
      <c r="C390" s="89">
        <v>43465</v>
      </c>
      <c r="D390" s="40">
        <v>1458.7750000000001</v>
      </c>
    </row>
    <row r="391" spans="1:4">
      <c r="A391" s="359" t="s">
        <v>408</v>
      </c>
      <c r="B391" s="359" t="s">
        <v>409</v>
      </c>
      <c r="C391" s="89">
        <v>43465</v>
      </c>
      <c r="D391" s="40">
        <v>1808.9849999999999</v>
      </c>
    </row>
    <row r="392" spans="1:4">
      <c r="A392" s="359" t="s">
        <v>532</v>
      </c>
      <c r="B392" s="359" t="s">
        <v>533</v>
      </c>
      <c r="C392" s="89">
        <v>43465</v>
      </c>
      <c r="D392" s="40">
        <v>2879.6550000000002</v>
      </c>
    </row>
    <row r="393" spans="1:4">
      <c r="A393" s="359" t="s">
        <v>603</v>
      </c>
      <c r="B393" s="359" t="s">
        <v>604</v>
      </c>
      <c r="C393" s="89">
        <v>43465</v>
      </c>
      <c r="D393" s="40">
        <v>2453.7260000000001</v>
      </c>
    </row>
    <row r="394" spans="1:4">
      <c r="A394" s="359" t="s">
        <v>400</v>
      </c>
      <c r="B394" s="359" t="s">
        <v>401</v>
      </c>
      <c r="C394" s="89">
        <v>43465</v>
      </c>
      <c r="D394" s="40">
        <v>4604.4319999999998</v>
      </c>
    </row>
    <row r="395" spans="1:4">
      <c r="A395" s="359" t="s">
        <v>534</v>
      </c>
      <c r="B395" s="359" t="s">
        <v>535</v>
      </c>
      <c r="C395" s="89">
        <v>43465</v>
      </c>
      <c r="D395" s="40">
        <v>4482.6019999999999</v>
      </c>
    </row>
    <row r="396" spans="1:4">
      <c r="A396" s="359" t="s">
        <v>652</v>
      </c>
      <c r="B396" s="359" t="s">
        <v>653</v>
      </c>
      <c r="C396" s="89">
        <v>43465</v>
      </c>
      <c r="D396" s="40">
        <v>461.28</v>
      </c>
    </row>
    <row r="397" spans="1:4">
      <c r="A397" s="359" t="s">
        <v>339</v>
      </c>
      <c r="B397" s="359" t="s">
        <v>340</v>
      </c>
      <c r="C397" s="89">
        <v>43465</v>
      </c>
      <c r="D397" s="40">
        <v>1059.241</v>
      </c>
    </row>
    <row r="398" spans="1:4">
      <c r="A398" s="359" t="s">
        <v>537</v>
      </c>
      <c r="B398" s="359" t="s">
        <v>538</v>
      </c>
      <c r="C398" s="89">
        <v>43465</v>
      </c>
      <c r="D398" s="40">
        <v>664.899</v>
      </c>
    </row>
    <row r="399" spans="1:4">
      <c r="A399" s="359" t="s">
        <v>757</v>
      </c>
      <c r="B399" s="359" t="s">
        <v>758</v>
      </c>
      <c r="C399" s="89">
        <v>43465</v>
      </c>
      <c r="D399" s="40">
        <v>905.56500000000005</v>
      </c>
    </row>
    <row r="400" spans="1:4">
      <c r="A400" s="359" t="s">
        <v>1626</v>
      </c>
      <c r="B400" s="359" t="s">
        <v>1625</v>
      </c>
      <c r="C400" s="89">
        <v>43465</v>
      </c>
      <c r="D400" s="40">
        <v>4914.0619999999999</v>
      </c>
    </row>
    <row r="401" spans="1:4">
      <c r="A401" s="359" t="s">
        <v>384</v>
      </c>
      <c r="B401" s="359" t="s">
        <v>385</v>
      </c>
      <c r="C401" s="89">
        <v>43465</v>
      </c>
      <c r="D401" s="40">
        <v>964.83299999999997</v>
      </c>
    </row>
    <row r="402" spans="1:4">
      <c r="A402" s="359" t="s">
        <v>607</v>
      </c>
      <c r="B402" s="359" t="s">
        <v>608</v>
      </c>
      <c r="C402" s="89">
        <v>43465</v>
      </c>
      <c r="D402" s="40">
        <v>596.10500000000002</v>
      </c>
    </row>
    <row r="403" spans="1:4">
      <c r="A403" s="359" t="s">
        <v>1191</v>
      </c>
      <c r="B403" s="359" t="s">
        <v>1190</v>
      </c>
      <c r="C403" s="89">
        <v>43465</v>
      </c>
      <c r="D403" s="40">
        <v>1682.07</v>
      </c>
    </row>
    <row r="404" spans="1:4">
      <c r="A404" s="359" t="s">
        <v>1624</v>
      </c>
      <c r="B404" s="359" t="s">
        <v>1623</v>
      </c>
      <c r="C404" s="89">
        <v>43465</v>
      </c>
      <c r="D404" s="40">
        <v>167.34899999999999</v>
      </c>
    </row>
    <row r="405" spans="1:4">
      <c r="A405" s="359" t="s">
        <v>386</v>
      </c>
      <c r="B405" s="359" t="s">
        <v>387</v>
      </c>
      <c r="C405" s="89">
        <v>43465</v>
      </c>
      <c r="D405" s="40">
        <v>2771</v>
      </c>
    </row>
    <row r="406" spans="1:4">
      <c r="A406" s="359" t="s">
        <v>1137</v>
      </c>
      <c r="B406" s="359" t="s">
        <v>540</v>
      </c>
      <c r="C406" s="89">
        <v>43465</v>
      </c>
      <c r="D406" s="40">
        <v>519.5</v>
      </c>
    </row>
    <row r="407" spans="1:4">
      <c r="A407" s="359" t="s">
        <v>303</v>
      </c>
      <c r="B407" s="359" t="s">
        <v>304</v>
      </c>
      <c r="C407" s="89">
        <v>43465</v>
      </c>
      <c r="D407" s="40">
        <v>861.80700000000002</v>
      </c>
    </row>
    <row r="408" spans="1:4">
      <c r="A408" s="359" t="s">
        <v>286</v>
      </c>
      <c r="B408" s="359" t="s">
        <v>287</v>
      </c>
      <c r="C408" s="89">
        <v>43465</v>
      </c>
      <c r="D408" s="40">
        <v>2000</v>
      </c>
    </row>
    <row r="409" spans="1:4">
      <c r="A409" s="359" t="s">
        <v>305</v>
      </c>
      <c r="B409" s="359" t="s">
        <v>306</v>
      </c>
      <c r="C409" s="89">
        <v>43465</v>
      </c>
      <c r="D409" s="40">
        <v>1200</v>
      </c>
    </row>
    <row r="410" spans="1:4">
      <c r="A410" s="359" t="s">
        <v>349</v>
      </c>
      <c r="B410" s="359" t="s">
        <v>350</v>
      </c>
      <c r="C410" s="89">
        <v>43465</v>
      </c>
      <c r="D410" s="40">
        <v>4228.9160000000002</v>
      </c>
    </row>
    <row r="411" spans="1:4" s="558" customFormat="1">
      <c r="A411" s="359" t="s">
        <v>541</v>
      </c>
      <c r="B411" s="359" t="s">
        <v>542</v>
      </c>
      <c r="C411" s="89">
        <v>43465</v>
      </c>
      <c r="D411" s="40">
        <v>8262.3150000000005</v>
      </c>
    </row>
    <row r="412" spans="1:4">
      <c r="A412" s="359" t="s">
        <v>482</v>
      </c>
      <c r="B412" s="359" t="s">
        <v>483</v>
      </c>
      <c r="C412" s="89">
        <v>43465</v>
      </c>
      <c r="D412" s="40">
        <v>814.56</v>
      </c>
    </row>
    <row r="413" spans="1:4">
      <c r="A413" s="359" t="s">
        <v>990</v>
      </c>
      <c r="B413" s="359" t="s">
        <v>609</v>
      </c>
      <c r="C413" s="89">
        <v>43465</v>
      </c>
      <c r="D413" s="40">
        <v>1873.7339999999999</v>
      </c>
    </row>
    <row r="414" spans="1:4">
      <c r="A414" s="359" t="s">
        <v>1241</v>
      </c>
      <c r="B414" s="359" t="s">
        <v>1344</v>
      </c>
      <c r="C414" s="89">
        <v>43465</v>
      </c>
      <c r="D414" s="40">
        <v>6421.6019999999999</v>
      </c>
    </row>
    <row r="415" spans="1:4">
      <c r="A415" s="359" t="s">
        <v>654</v>
      </c>
      <c r="B415" s="359" t="s">
        <v>655</v>
      </c>
      <c r="C415" s="89">
        <v>43465</v>
      </c>
      <c r="D415" s="40">
        <v>1627.39</v>
      </c>
    </row>
    <row r="416" spans="1:4">
      <c r="A416" s="359" t="s">
        <v>461</v>
      </c>
      <c r="B416" s="359" t="s">
        <v>410</v>
      </c>
      <c r="C416" s="89">
        <v>43465</v>
      </c>
      <c r="D416" s="40">
        <v>2500</v>
      </c>
    </row>
    <row r="417" spans="1:4">
      <c r="A417" s="359" t="s">
        <v>1239</v>
      </c>
      <c r="B417" s="359" t="s">
        <v>656</v>
      </c>
      <c r="C417" s="89">
        <v>43465</v>
      </c>
      <c r="D417" s="40">
        <v>1852.36</v>
      </c>
    </row>
    <row r="418" spans="1:4">
      <c r="A418" s="359" t="s">
        <v>657</v>
      </c>
      <c r="B418" s="359" t="s">
        <v>658</v>
      </c>
      <c r="C418" s="89">
        <v>43465</v>
      </c>
      <c r="D418" s="40">
        <v>2070</v>
      </c>
    </row>
    <row r="419" spans="1:4">
      <c r="A419" s="359" t="s">
        <v>463</v>
      </c>
      <c r="B419" s="359" t="s">
        <v>464</v>
      </c>
      <c r="C419" s="89">
        <v>43465</v>
      </c>
      <c r="D419" s="40">
        <v>4547.8280000000004</v>
      </c>
    </row>
    <row r="420" spans="1:4">
      <c r="A420" s="359" t="s">
        <v>463</v>
      </c>
      <c r="B420" s="359" t="s">
        <v>464</v>
      </c>
      <c r="C420" s="89">
        <v>43465</v>
      </c>
      <c r="D420" s="40">
        <v>4996.6959999999999</v>
      </c>
    </row>
    <row r="421" spans="1:4">
      <c r="A421" s="359" t="s">
        <v>337</v>
      </c>
      <c r="B421" s="359" t="s">
        <v>338</v>
      </c>
      <c r="C421" s="89">
        <v>43465</v>
      </c>
      <c r="D421" s="40">
        <v>2439.4960000000001</v>
      </c>
    </row>
    <row r="422" spans="1:4">
      <c r="A422" s="359" t="s">
        <v>621</v>
      </c>
      <c r="B422" s="359" t="s">
        <v>622</v>
      </c>
      <c r="C422" s="89">
        <v>43465</v>
      </c>
      <c r="D422" s="40">
        <v>8413.6970000000001</v>
      </c>
    </row>
    <row r="423" spans="1:4">
      <c r="A423" s="359" t="s">
        <v>283</v>
      </c>
      <c r="B423" s="359" t="s">
        <v>284</v>
      </c>
      <c r="C423" s="89">
        <v>43465</v>
      </c>
      <c r="D423" s="40">
        <v>2000</v>
      </c>
    </row>
    <row r="424" spans="1:4">
      <c r="A424" s="359" t="s">
        <v>485</v>
      </c>
      <c r="B424" s="359" t="s">
        <v>486</v>
      </c>
      <c r="C424" s="89">
        <v>43465</v>
      </c>
      <c r="D424" s="40">
        <v>4004.3330000000001</v>
      </c>
    </row>
    <row r="425" spans="1:4">
      <c r="A425" s="359" t="s">
        <v>767</v>
      </c>
      <c r="B425" s="359" t="s">
        <v>768</v>
      </c>
      <c r="C425" s="89">
        <v>43465</v>
      </c>
      <c r="D425" s="40">
        <v>3250.587</v>
      </c>
    </row>
    <row r="426" spans="1:4">
      <c r="A426" s="359" t="s">
        <v>355</v>
      </c>
      <c r="B426" s="359" t="s">
        <v>356</v>
      </c>
      <c r="C426" s="89">
        <v>43465</v>
      </c>
      <c r="D426" s="40">
        <v>532.43899999999996</v>
      </c>
    </row>
    <row r="427" spans="1:4">
      <c r="A427" s="359" t="s">
        <v>1238</v>
      </c>
      <c r="B427" s="359" t="s">
        <v>1343</v>
      </c>
      <c r="C427" s="89">
        <v>43465</v>
      </c>
      <c r="D427" s="40">
        <v>3586.308</v>
      </c>
    </row>
    <row r="428" spans="1:4">
      <c r="A428" s="359" t="s">
        <v>664</v>
      </c>
      <c r="B428" s="359" t="s">
        <v>665</v>
      </c>
      <c r="C428" s="89">
        <v>43465</v>
      </c>
      <c r="D428" s="40">
        <v>2310.9279999999999</v>
      </c>
    </row>
    <row r="429" spans="1:4">
      <c r="A429" s="359" t="s">
        <v>989</v>
      </c>
      <c r="B429" s="359" t="s">
        <v>1342</v>
      </c>
      <c r="C429" s="89">
        <v>43465</v>
      </c>
      <c r="D429" s="40">
        <v>540.32500000000005</v>
      </c>
    </row>
    <row r="430" spans="1:4" ht="15.75" thickBot="1">
      <c r="A430" s="359" t="s">
        <v>1132</v>
      </c>
      <c r="B430" s="359" t="s">
        <v>1131</v>
      </c>
      <c r="C430" s="89">
        <v>43465</v>
      </c>
      <c r="D430" s="40">
        <v>3616.3809999999999</v>
      </c>
    </row>
    <row r="431" spans="1:4" ht="15.75" thickBot="1">
      <c r="A431" s="857" t="s">
        <v>911</v>
      </c>
      <c r="B431" s="858"/>
      <c r="C431" s="858"/>
      <c r="D431" s="620">
        <f>SUM(D2:D430)</f>
        <v>836562.37699999975</v>
      </c>
    </row>
    <row r="432" spans="1:4">
      <c r="A432" s="359" t="s">
        <v>436</v>
      </c>
      <c r="B432" s="359" t="s">
        <v>437</v>
      </c>
      <c r="C432" s="89">
        <v>43466</v>
      </c>
      <c r="D432" s="40">
        <v>1000</v>
      </c>
    </row>
    <row r="433" spans="1:4">
      <c r="A433" s="359" t="s">
        <v>516</v>
      </c>
      <c r="B433" s="359" t="s">
        <v>517</v>
      </c>
      <c r="C433" s="89">
        <v>43466</v>
      </c>
      <c r="D433" s="40">
        <v>6691.3119999999999</v>
      </c>
    </row>
    <row r="434" spans="1:4">
      <c r="A434" s="359" t="s">
        <v>377</v>
      </c>
      <c r="B434" s="359" t="s">
        <v>325</v>
      </c>
      <c r="C434" s="89">
        <v>43466</v>
      </c>
      <c r="D434" s="40">
        <v>987.59900000000005</v>
      </c>
    </row>
    <row r="435" spans="1:4">
      <c r="A435" s="359" t="s">
        <v>377</v>
      </c>
      <c r="B435" s="359" t="s">
        <v>325</v>
      </c>
      <c r="C435" s="89">
        <v>43466</v>
      </c>
      <c r="D435" s="40">
        <v>590</v>
      </c>
    </row>
    <row r="436" spans="1:4">
      <c r="A436" s="359" t="s">
        <v>547</v>
      </c>
      <c r="B436" s="359" t="s">
        <v>548</v>
      </c>
      <c r="C436" s="89">
        <v>43466</v>
      </c>
      <c r="D436" s="40">
        <v>8663.1669999999995</v>
      </c>
    </row>
    <row r="437" spans="1:4">
      <c r="A437" s="359" t="s">
        <v>392</v>
      </c>
      <c r="B437" s="359" t="s">
        <v>393</v>
      </c>
      <c r="C437" s="89">
        <v>43466</v>
      </c>
      <c r="D437" s="40">
        <v>2000</v>
      </c>
    </row>
    <row r="438" spans="1:4">
      <c r="A438" s="359" t="s">
        <v>305</v>
      </c>
      <c r="B438" s="359" t="s">
        <v>306</v>
      </c>
      <c r="C438" s="89">
        <v>43466</v>
      </c>
      <c r="D438" s="40">
        <v>1800</v>
      </c>
    </row>
    <row r="439" spans="1:4">
      <c r="A439" s="359" t="s">
        <v>1126</v>
      </c>
      <c r="B439" s="359" t="s">
        <v>1125</v>
      </c>
      <c r="C439" s="89">
        <v>43467</v>
      </c>
      <c r="D439" s="40">
        <v>6946.7250000000004</v>
      </c>
    </row>
    <row r="440" spans="1:4">
      <c r="A440" s="359" t="s">
        <v>362</v>
      </c>
      <c r="B440" s="359" t="s">
        <v>363</v>
      </c>
      <c r="C440" s="89">
        <v>43467</v>
      </c>
      <c r="D440" s="40">
        <v>632.43499999999995</v>
      </c>
    </row>
    <row r="441" spans="1:4">
      <c r="A441" s="359" t="s">
        <v>972</v>
      </c>
      <c r="B441" s="359" t="s">
        <v>1055</v>
      </c>
      <c r="C441" s="89">
        <v>43467</v>
      </c>
      <c r="D441" s="40">
        <v>195</v>
      </c>
    </row>
    <row r="442" spans="1:4">
      <c r="A442" s="359" t="s">
        <v>659</v>
      </c>
      <c r="B442" s="359" t="s">
        <v>660</v>
      </c>
      <c r="C442" s="89">
        <v>43467</v>
      </c>
      <c r="D442" s="40">
        <v>3000</v>
      </c>
    </row>
    <row r="443" spans="1:4">
      <c r="A443" s="359" t="s">
        <v>343</v>
      </c>
      <c r="B443" s="359" t="s">
        <v>344</v>
      </c>
      <c r="C443" s="89">
        <v>43467</v>
      </c>
      <c r="D443" s="40">
        <v>1470</v>
      </c>
    </row>
    <row r="444" spans="1:4">
      <c r="A444" s="359" t="s">
        <v>286</v>
      </c>
      <c r="B444" s="359" t="s">
        <v>287</v>
      </c>
      <c r="C444" s="89">
        <v>43467</v>
      </c>
      <c r="D444" s="40">
        <v>2000</v>
      </c>
    </row>
    <row r="445" spans="1:4">
      <c r="A445" s="359" t="s">
        <v>1213</v>
      </c>
      <c r="B445" s="359" t="s">
        <v>682</v>
      </c>
      <c r="C445" s="89">
        <v>43468</v>
      </c>
      <c r="D445" s="40">
        <v>596.52099999999996</v>
      </c>
    </row>
    <row r="446" spans="1:4">
      <c r="A446" s="359" t="s">
        <v>1339</v>
      </c>
      <c r="B446" s="359" t="s">
        <v>346</v>
      </c>
      <c r="C446" s="89">
        <v>43468</v>
      </c>
      <c r="D446" s="40">
        <v>651.9</v>
      </c>
    </row>
    <row r="447" spans="1:4">
      <c r="A447" s="359" t="s">
        <v>291</v>
      </c>
      <c r="B447" s="359" t="s">
        <v>292</v>
      </c>
      <c r="C447" s="89">
        <v>43468</v>
      </c>
      <c r="D447" s="40">
        <v>750</v>
      </c>
    </row>
    <row r="448" spans="1:4">
      <c r="A448" s="359" t="s">
        <v>436</v>
      </c>
      <c r="B448" s="359" t="s">
        <v>437</v>
      </c>
      <c r="C448" s="89">
        <v>43469</v>
      </c>
      <c r="D448" s="40">
        <v>1000</v>
      </c>
    </row>
    <row r="449" spans="1:4">
      <c r="A449" s="359" t="s">
        <v>1622</v>
      </c>
      <c r="B449" s="359" t="s">
        <v>1621</v>
      </c>
      <c r="C449" s="89">
        <v>43469</v>
      </c>
      <c r="D449" s="40">
        <v>977.35299999999995</v>
      </c>
    </row>
    <row r="450" spans="1:4">
      <c r="A450" s="359" t="s">
        <v>345</v>
      </c>
      <c r="B450" s="359" t="s">
        <v>346</v>
      </c>
      <c r="C450" s="89">
        <v>43469</v>
      </c>
      <c r="D450" s="40">
        <v>702.76</v>
      </c>
    </row>
    <row r="451" spans="1:4">
      <c r="A451" s="359" t="s">
        <v>286</v>
      </c>
      <c r="B451" s="359" t="s">
        <v>287</v>
      </c>
      <c r="C451" s="89">
        <v>43469</v>
      </c>
      <c r="D451" s="40">
        <v>2000</v>
      </c>
    </row>
    <row r="452" spans="1:4">
      <c r="A452" s="359" t="s">
        <v>1188</v>
      </c>
      <c r="B452" s="359" t="s">
        <v>556</v>
      </c>
      <c r="C452" s="89">
        <v>43470</v>
      </c>
      <c r="D452" s="40">
        <v>1317.6679999999999</v>
      </c>
    </row>
    <row r="453" spans="1:4">
      <c r="A453" s="359" t="s">
        <v>1100</v>
      </c>
      <c r="B453" s="359" t="s">
        <v>402</v>
      </c>
      <c r="C453" s="89">
        <v>43470</v>
      </c>
      <c r="D453" s="40">
        <v>2064.4180000000001</v>
      </c>
    </row>
    <row r="454" spans="1:4">
      <c r="A454" s="359" t="s">
        <v>986</v>
      </c>
      <c r="B454" s="359" t="s">
        <v>571</v>
      </c>
      <c r="C454" s="89">
        <v>43470</v>
      </c>
      <c r="D454" s="40">
        <v>2948.8490000000002</v>
      </c>
    </row>
    <row r="455" spans="1:4">
      <c r="A455" s="359" t="s">
        <v>503</v>
      </c>
      <c r="B455" s="359" t="s">
        <v>504</v>
      </c>
      <c r="C455" s="89">
        <v>43470</v>
      </c>
      <c r="D455" s="40">
        <v>357.89800000000002</v>
      </c>
    </row>
    <row r="456" spans="1:4">
      <c r="A456" s="359" t="s">
        <v>1620</v>
      </c>
      <c r="B456" s="359" t="s">
        <v>1249</v>
      </c>
      <c r="C456" s="89">
        <v>43470</v>
      </c>
      <c r="D456" s="40">
        <v>1055</v>
      </c>
    </row>
    <row r="457" spans="1:4">
      <c r="A457" s="359" t="s">
        <v>359</v>
      </c>
      <c r="B457" s="359" t="s">
        <v>360</v>
      </c>
      <c r="C457" s="89">
        <v>43470</v>
      </c>
      <c r="D457" s="40">
        <v>1068.432</v>
      </c>
    </row>
    <row r="458" spans="1:4">
      <c r="A458" s="359" t="s">
        <v>565</v>
      </c>
      <c r="B458" s="359" t="s">
        <v>566</v>
      </c>
      <c r="C458" s="89">
        <v>43470</v>
      </c>
      <c r="D458" s="40">
        <v>1867.8030000000001</v>
      </c>
    </row>
    <row r="459" spans="1:4">
      <c r="A459" s="359" t="s">
        <v>1189</v>
      </c>
      <c r="B459" s="359" t="s">
        <v>424</v>
      </c>
      <c r="C459" s="89">
        <v>43470</v>
      </c>
      <c r="D459" s="40">
        <v>3000</v>
      </c>
    </row>
    <row r="460" spans="1:4">
      <c r="A460" s="359" t="s">
        <v>567</v>
      </c>
      <c r="B460" s="359" t="s">
        <v>568</v>
      </c>
      <c r="C460" s="89">
        <v>43470</v>
      </c>
      <c r="D460" s="40">
        <v>1646.1959999999999</v>
      </c>
    </row>
    <row r="461" spans="1:4">
      <c r="A461" s="359" t="s">
        <v>756</v>
      </c>
      <c r="B461" s="359" t="s">
        <v>620</v>
      </c>
      <c r="C461" s="89">
        <v>43470</v>
      </c>
      <c r="D461" s="40">
        <v>1317.913</v>
      </c>
    </row>
    <row r="462" spans="1:4">
      <c r="A462" s="359" t="s">
        <v>529</v>
      </c>
      <c r="B462" s="359" t="s">
        <v>530</v>
      </c>
      <c r="C462" s="89">
        <v>43470</v>
      </c>
      <c r="D462" s="40">
        <v>924.53599999999994</v>
      </c>
    </row>
    <row r="463" spans="1:4">
      <c r="A463" s="359" t="s">
        <v>981</v>
      </c>
      <c r="B463" s="359" t="s">
        <v>980</v>
      </c>
      <c r="C463" s="89">
        <v>43470</v>
      </c>
      <c r="D463" s="40">
        <v>300</v>
      </c>
    </row>
    <row r="464" spans="1:4">
      <c r="A464" s="359" t="s">
        <v>341</v>
      </c>
      <c r="B464" s="359" t="s">
        <v>342</v>
      </c>
      <c r="C464" s="89">
        <v>43470</v>
      </c>
      <c r="D464" s="40">
        <v>2300</v>
      </c>
    </row>
    <row r="465" spans="1:4">
      <c r="A465" s="359" t="s">
        <v>305</v>
      </c>
      <c r="B465" s="359" t="s">
        <v>306</v>
      </c>
      <c r="C465" s="89">
        <v>43470</v>
      </c>
      <c r="D465" s="40">
        <v>2000</v>
      </c>
    </row>
    <row r="466" spans="1:4">
      <c r="A466" s="359" t="s">
        <v>283</v>
      </c>
      <c r="B466" s="359" t="s">
        <v>284</v>
      </c>
      <c r="C466" s="89">
        <v>43470</v>
      </c>
      <c r="D466" s="40">
        <v>1223.028</v>
      </c>
    </row>
    <row r="467" spans="1:4">
      <c r="A467" s="359" t="s">
        <v>1237</v>
      </c>
      <c r="B467" s="359" t="s">
        <v>1236</v>
      </c>
      <c r="C467" s="89">
        <v>43470</v>
      </c>
      <c r="D467" s="40">
        <v>2193.3240000000001</v>
      </c>
    </row>
    <row r="468" spans="1:4">
      <c r="A468" s="359" t="s">
        <v>355</v>
      </c>
      <c r="B468" s="359" t="s">
        <v>356</v>
      </c>
      <c r="C468" s="89">
        <v>43470</v>
      </c>
      <c r="D468" s="40">
        <v>930</v>
      </c>
    </row>
    <row r="469" spans="1:4">
      <c r="A469" s="359" t="s">
        <v>1619</v>
      </c>
      <c r="B469" s="359" t="s">
        <v>1618</v>
      </c>
      <c r="C469" s="89">
        <v>43471</v>
      </c>
      <c r="D469" s="40">
        <v>549.46100000000001</v>
      </c>
    </row>
    <row r="470" spans="1:4">
      <c r="A470" s="359" t="s">
        <v>672</v>
      </c>
      <c r="B470" s="359" t="s">
        <v>557</v>
      </c>
      <c r="C470" s="89">
        <v>43471</v>
      </c>
      <c r="D470" s="40">
        <v>4220.2849999999999</v>
      </c>
    </row>
    <row r="471" spans="1:4">
      <c r="A471" s="359" t="s">
        <v>1023</v>
      </c>
      <c r="B471" s="359" t="s">
        <v>420</v>
      </c>
      <c r="C471" s="89">
        <v>43471</v>
      </c>
      <c r="D471" s="40">
        <v>1060.5</v>
      </c>
    </row>
    <row r="472" spans="1:4">
      <c r="A472" s="359" t="s">
        <v>552</v>
      </c>
      <c r="B472" s="359" t="s">
        <v>553</v>
      </c>
      <c r="C472" s="89">
        <v>43471</v>
      </c>
      <c r="D472" s="40">
        <v>6204.915</v>
      </c>
    </row>
    <row r="473" spans="1:4">
      <c r="A473" s="359" t="s">
        <v>1364</v>
      </c>
      <c r="B473" s="359" t="s">
        <v>1363</v>
      </c>
      <c r="C473" s="89">
        <v>43471</v>
      </c>
      <c r="D473" s="40">
        <v>907.54</v>
      </c>
    </row>
    <row r="474" spans="1:4">
      <c r="A474" s="359" t="s">
        <v>673</v>
      </c>
      <c r="B474" s="359" t="s">
        <v>674</v>
      </c>
      <c r="C474" s="89">
        <v>43471</v>
      </c>
      <c r="D474" s="40">
        <v>2000</v>
      </c>
    </row>
    <row r="475" spans="1:4">
      <c r="A475" s="359" t="s">
        <v>394</v>
      </c>
      <c r="B475" s="359" t="s">
        <v>395</v>
      </c>
      <c r="C475" s="89">
        <v>43471</v>
      </c>
      <c r="D475" s="40">
        <v>2500</v>
      </c>
    </row>
    <row r="476" spans="1:4">
      <c r="A476" s="359" t="s">
        <v>293</v>
      </c>
      <c r="B476" s="359" t="s">
        <v>294</v>
      </c>
      <c r="C476" s="89">
        <v>43471</v>
      </c>
      <c r="D476" s="40">
        <v>1130</v>
      </c>
    </row>
    <row r="477" spans="1:4">
      <c r="A477" s="359" t="s">
        <v>436</v>
      </c>
      <c r="B477" s="359" t="s">
        <v>437</v>
      </c>
      <c r="C477" s="89">
        <v>43472</v>
      </c>
      <c r="D477" s="40">
        <v>701.85799999999995</v>
      </c>
    </row>
    <row r="478" spans="1:4">
      <c r="A478" s="359" t="s">
        <v>1185</v>
      </c>
      <c r="B478" s="359" t="s">
        <v>519</v>
      </c>
      <c r="C478" s="89">
        <v>43472</v>
      </c>
      <c r="D478" s="40">
        <v>1538.337</v>
      </c>
    </row>
    <row r="479" spans="1:4">
      <c r="A479" s="359" t="s">
        <v>1354</v>
      </c>
      <c r="B479" s="359" t="s">
        <v>1353</v>
      </c>
      <c r="C479" s="89">
        <v>43472</v>
      </c>
      <c r="D479" s="40">
        <v>2048.59</v>
      </c>
    </row>
    <row r="480" spans="1:4">
      <c r="A480" s="359" t="s">
        <v>1187</v>
      </c>
      <c r="B480" s="359" t="s">
        <v>1186</v>
      </c>
      <c r="C480" s="89">
        <v>43472</v>
      </c>
      <c r="D480" s="40">
        <v>3830.0149999999999</v>
      </c>
    </row>
    <row r="481" spans="1:4">
      <c r="A481" s="359" t="s">
        <v>382</v>
      </c>
      <c r="B481" s="359" t="s">
        <v>383</v>
      </c>
      <c r="C481" s="89">
        <v>43472</v>
      </c>
      <c r="D481" s="40">
        <v>2100</v>
      </c>
    </row>
    <row r="482" spans="1:4">
      <c r="A482" s="359" t="s">
        <v>400</v>
      </c>
      <c r="B482" s="359" t="s">
        <v>401</v>
      </c>
      <c r="C482" s="89">
        <v>43472</v>
      </c>
      <c r="D482" s="40">
        <v>2000</v>
      </c>
    </row>
    <row r="483" spans="1:4">
      <c r="A483" s="359" t="s">
        <v>559</v>
      </c>
      <c r="B483" s="359" t="s">
        <v>560</v>
      </c>
      <c r="C483" s="89">
        <v>43472</v>
      </c>
      <c r="D483" s="40">
        <v>893.35900000000004</v>
      </c>
    </row>
    <row r="484" spans="1:4">
      <c r="A484" s="359" t="s">
        <v>392</v>
      </c>
      <c r="B484" s="359" t="s">
        <v>393</v>
      </c>
      <c r="C484" s="89">
        <v>43472</v>
      </c>
      <c r="D484" s="40">
        <v>2339.326</v>
      </c>
    </row>
    <row r="485" spans="1:4">
      <c r="A485" s="359" t="s">
        <v>1339</v>
      </c>
      <c r="B485" s="359" t="s">
        <v>346</v>
      </c>
      <c r="C485" s="89">
        <v>43472</v>
      </c>
      <c r="D485" s="40">
        <v>651.9</v>
      </c>
    </row>
    <row r="486" spans="1:4">
      <c r="A486" s="359" t="s">
        <v>345</v>
      </c>
      <c r="B486" s="359" t="s">
        <v>346</v>
      </c>
      <c r="C486" s="89">
        <v>43472</v>
      </c>
      <c r="D486" s="40">
        <v>863</v>
      </c>
    </row>
    <row r="487" spans="1:4">
      <c r="A487" s="359" t="s">
        <v>303</v>
      </c>
      <c r="B487" s="359" t="s">
        <v>304</v>
      </c>
      <c r="C487" s="89">
        <v>43472</v>
      </c>
      <c r="D487" s="40">
        <v>861.80700000000002</v>
      </c>
    </row>
    <row r="488" spans="1:4">
      <c r="A488" s="359" t="s">
        <v>286</v>
      </c>
      <c r="B488" s="359" t="s">
        <v>287</v>
      </c>
      <c r="C488" s="89">
        <v>43472</v>
      </c>
      <c r="D488" s="40">
        <v>2000</v>
      </c>
    </row>
    <row r="489" spans="1:4">
      <c r="A489" s="359" t="s">
        <v>357</v>
      </c>
      <c r="B489" s="359" t="s">
        <v>358</v>
      </c>
      <c r="C489" s="89">
        <v>43473</v>
      </c>
      <c r="D489" s="40">
        <v>445.58</v>
      </c>
    </row>
    <row r="490" spans="1:4">
      <c r="A490" s="359" t="s">
        <v>345</v>
      </c>
      <c r="B490" s="359" t="s">
        <v>346</v>
      </c>
      <c r="C490" s="89">
        <v>43473</v>
      </c>
      <c r="D490" s="40">
        <v>702.76</v>
      </c>
    </row>
    <row r="491" spans="1:4">
      <c r="A491" s="359" t="s">
        <v>587</v>
      </c>
      <c r="B491" s="359" t="s">
        <v>588</v>
      </c>
      <c r="C491" s="89">
        <v>43473</v>
      </c>
      <c r="D491" s="40">
        <v>3381.306</v>
      </c>
    </row>
    <row r="492" spans="1:4">
      <c r="A492" s="359" t="s">
        <v>293</v>
      </c>
      <c r="B492" s="359" t="s">
        <v>294</v>
      </c>
      <c r="C492" s="89">
        <v>43474</v>
      </c>
      <c r="D492" s="40">
        <v>1132</v>
      </c>
    </row>
    <row r="493" spans="1:4">
      <c r="A493" s="359" t="s">
        <v>726</v>
      </c>
      <c r="B493" s="359" t="s">
        <v>666</v>
      </c>
      <c r="C493" s="89">
        <v>43475</v>
      </c>
      <c r="D493" s="40">
        <v>1090.146</v>
      </c>
    </row>
    <row r="494" spans="1:4">
      <c r="A494" s="359" t="s">
        <v>1126</v>
      </c>
      <c r="B494" s="359" t="s">
        <v>1125</v>
      </c>
      <c r="C494" s="89">
        <v>43475</v>
      </c>
      <c r="D494" s="40">
        <v>6946.7250000000004</v>
      </c>
    </row>
    <row r="495" spans="1:4">
      <c r="A495" s="359" t="s">
        <v>436</v>
      </c>
      <c r="B495" s="359" t="s">
        <v>437</v>
      </c>
      <c r="C495" s="89">
        <v>43475</v>
      </c>
      <c r="D495" s="40">
        <v>1000</v>
      </c>
    </row>
    <row r="496" spans="1:4">
      <c r="A496" s="359" t="s">
        <v>288</v>
      </c>
      <c r="B496" s="359" t="s">
        <v>289</v>
      </c>
      <c r="C496" s="89">
        <v>43475</v>
      </c>
      <c r="D496" s="40">
        <v>4114.201</v>
      </c>
    </row>
    <row r="497" spans="1:4">
      <c r="A497" s="359" t="s">
        <v>563</v>
      </c>
      <c r="B497" s="359" t="s">
        <v>564</v>
      </c>
      <c r="C497" s="89">
        <v>43475</v>
      </c>
      <c r="D497" s="40">
        <v>1141.925</v>
      </c>
    </row>
    <row r="498" spans="1:4">
      <c r="A498" s="359" t="s">
        <v>1112</v>
      </c>
      <c r="B498" s="359" t="s">
        <v>551</v>
      </c>
      <c r="C498" s="89">
        <v>43475</v>
      </c>
      <c r="D498" s="40">
        <v>1457.0170000000001</v>
      </c>
    </row>
    <row r="499" spans="1:4">
      <c r="A499" s="359" t="s">
        <v>359</v>
      </c>
      <c r="B499" s="359" t="s">
        <v>360</v>
      </c>
      <c r="C499" s="89">
        <v>43475</v>
      </c>
      <c r="D499" s="40">
        <v>1068.432</v>
      </c>
    </row>
    <row r="500" spans="1:4">
      <c r="A500" s="359" t="s">
        <v>1213</v>
      </c>
      <c r="B500" s="359" t="s">
        <v>682</v>
      </c>
      <c r="C500" s="89">
        <v>43475</v>
      </c>
      <c r="D500" s="40">
        <v>800</v>
      </c>
    </row>
    <row r="501" spans="1:4">
      <c r="A501" s="359" t="s">
        <v>695</v>
      </c>
      <c r="B501" s="359" t="s">
        <v>696</v>
      </c>
      <c r="C501" s="89">
        <v>43475</v>
      </c>
      <c r="D501" s="40">
        <v>3408.1660000000002</v>
      </c>
    </row>
    <row r="502" spans="1:4">
      <c r="A502" s="359" t="s">
        <v>770</v>
      </c>
      <c r="B502" s="359" t="s">
        <v>771</v>
      </c>
      <c r="C502" s="89">
        <v>43475</v>
      </c>
      <c r="D502" s="40">
        <v>1495.1489999999999</v>
      </c>
    </row>
    <row r="503" spans="1:4" s="558" customFormat="1">
      <c r="A503" s="359" t="s">
        <v>1383</v>
      </c>
      <c r="B503" s="359" t="s">
        <v>444</v>
      </c>
      <c r="C503" s="89">
        <v>43475</v>
      </c>
      <c r="D503" s="40">
        <v>3000</v>
      </c>
    </row>
    <row r="504" spans="1:4">
      <c r="A504" s="359" t="s">
        <v>642</v>
      </c>
      <c r="B504" s="359" t="s">
        <v>515</v>
      </c>
      <c r="C504" s="89">
        <v>43475</v>
      </c>
      <c r="D504" s="40">
        <v>2908.5149999999999</v>
      </c>
    </row>
    <row r="505" spans="1:4">
      <c r="A505" s="359" t="s">
        <v>590</v>
      </c>
      <c r="B505" s="359" t="s">
        <v>323</v>
      </c>
      <c r="C505" s="89">
        <v>43475</v>
      </c>
      <c r="D505" s="40">
        <v>1679.461</v>
      </c>
    </row>
    <row r="506" spans="1:4">
      <c r="A506" s="359" t="s">
        <v>281</v>
      </c>
      <c r="B506" s="359" t="s">
        <v>282</v>
      </c>
      <c r="C506" s="89">
        <v>43475</v>
      </c>
      <c r="D506" s="40">
        <v>1459.66</v>
      </c>
    </row>
    <row r="507" spans="1:4">
      <c r="A507" s="359" t="s">
        <v>377</v>
      </c>
      <c r="B507" s="359" t="s">
        <v>325</v>
      </c>
      <c r="C507" s="89">
        <v>43475</v>
      </c>
      <c r="D507" s="40">
        <v>300</v>
      </c>
    </row>
    <row r="508" spans="1:4">
      <c r="A508" s="359" t="s">
        <v>1184</v>
      </c>
      <c r="B508" s="359" t="s">
        <v>670</v>
      </c>
      <c r="C508" s="89">
        <v>43475</v>
      </c>
      <c r="D508" s="40">
        <v>7214.94</v>
      </c>
    </row>
    <row r="509" spans="1:4">
      <c r="A509" s="359" t="s">
        <v>554</v>
      </c>
      <c r="B509" s="359" t="s">
        <v>555</v>
      </c>
      <c r="C509" s="89">
        <v>43475</v>
      </c>
      <c r="D509" s="40">
        <v>2035.299</v>
      </c>
    </row>
    <row r="510" spans="1:4">
      <c r="A510" s="359" t="s">
        <v>413</v>
      </c>
      <c r="B510" s="359" t="s">
        <v>414</v>
      </c>
      <c r="C510" s="89">
        <v>43475</v>
      </c>
      <c r="D510" s="40">
        <v>6334.7709999999997</v>
      </c>
    </row>
    <row r="511" spans="1:4">
      <c r="A511" s="359" t="s">
        <v>380</v>
      </c>
      <c r="B511" s="359" t="s">
        <v>381</v>
      </c>
      <c r="C511" s="89">
        <v>43475</v>
      </c>
      <c r="D511" s="40">
        <v>780</v>
      </c>
    </row>
    <row r="512" spans="1:4">
      <c r="A512" s="359" t="s">
        <v>457</v>
      </c>
      <c r="B512" s="359" t="s">
        <v>458</v>
      </c>
      <c r="C512" s="89">
        <v>43475</v>
      </c>
      <c r="D512" s="40">
        <v>894.82500000000005</v>
      </c>
    </row>
    <row r="513" spans="1:4">
      <c r="A513" s="359" t="s">
        <v>411</v>
      </c>
      <c r="B513" s="359" t="s">
        <v>412</v>
      </c>
      <c r="C513" s="89">
        <v>43475</v>
      </c>
      <c r="D513" s="40">
        <v>1610.7750000000001</v>
      </c>
    </row>
    <row r="514" spans="1:4">
      <c r="A514" s="359" t="s">
        <v>1606</v>
      </c>
      <c r="B514" s="359" t="s">
        <v>1605</v>
      </c>
      <c r="C514" s="89">
        <v>43475</v>
      </c>
      <c r="D514" s="40">
        <v>2000</v>
      </c>
    </row>
    <row r="515" spans="1:4">
      <c r="A515" s="359" t="s">
        <v>341</v>
      </c>
      <c r="B515" s="359" t="s">
        <v>342</v>
      </c>
      <c r="C515" s="89">
        <v>43475</v>
      </c>
      <c r="D515" s="40">
        <v>2300</v>
      </c>
    </row>
    <row r="516" spans="1:4">
      <c r="A516" s="359" t="s">
        <v>386</v>
      </c>
      <c r="B516" s="359" t="s">
        <v>387</v>
      </c>
      <c r="C516" s="89">
        <v>43475</v>
      </c>
      <c r="D516" s="40">
        <v>2500</v>
      </c>
    </row>
    <row r="517" spans="1:4">
      <c r="A517" s="359" t="s">
        <v>345</v>
      </c>
      <c r="B517" s="359" t="s">
        <v>346</v>
      </c>
      <c r="C517" s="89">
        <v>43475</v>
      </c>
      <c r="D517" s="40">
        <v>702.76</v>
      </c>
    </row>
    <row r="518" spans="1:4">
      <c r="A518" s="359" t="s">
        <v>286</v>
      </c>
      <c r="B518" s="359" t="s">
        <v>287</v>
      </c>
      <c r="C518" s="89">
        <v>43475</v>
      </c>
      <c r="D518" s="40">
        <v>2000</v>
      </c>
    </row>
    <row r="519" spans="1:4">
      <c r="A519" s="359" t="s">
        <v>349</v>
      </c>
      <c r="B519" s="359" t="s">
        <v>350</v>
      </c>
      <c r="C519" s="89">
        <v>43475</v>
      </c>
      <c r="D519" s="40">
        <v>4200</v>
      </c>
    </row>
    <row r="520" spans="1:4">
      <c r="A520" s="359" t="s">
        <v>581</v>
      </c>
      <c r="B520" s="359" t="s">
        <v>582</v>
      </c>
      <c r="C520" s="89">
        <v>43475</v>
      </c>
      <c r="D520" s="40">
        <v>550</v>
      </c>
    </row>
    <row r="521" spans="1:4">
      <c r="A521" s="359" t="s">
        <v>291</v>
      </c>
      <c r="B521" s="359" t="s">
        <v>292</v>
      </c>
      <c r="C521" s="89">
        <v>43475</v>
      </c>
      <c r="D521" s="40">
        <v>750</v>
      </c>
    </row>
    <row r="522" spans="1:4">
      <c r="A522" s="359" t="s">
        <v>727</v>
      </c>
      <c r="B522" s="359" t="s">
        <v>752</v>
      </c>
      <c r="C522" s="89">
        <v>43475</v>
      </c>
      <c r="D522" s="40">
        <v>3000</v>
      </c>
    </row>
    <row r="523" spans="1:4">
      <c r="A523" s="359" t="s">
        <v>722</v>
      </c>
      <c r="B523" s="359" t="s">
        <v>723</v>
      </c>
      <c r="C523" s="89">
        <v>43475</v>
      </c>
      <c r="D523" s="40">
        <v>655.70899999999995</v>
      </c>
    </row>
    <row r="524" spans="1:4">
      <c r="A524" s="359" t="s">
        <v>353</v>
      </c>
      <c r="B524" s="359" t="s">
        <v>354</v>
      </c>
      <c r="C524" s="89">
        <v>43475</v>
      </c>
      <c r="D524" s="40">
        <v>1176.2190000000001</v>
      </c>
    </row>
    <row r="525" spans="1:4">
      <c r="A525" s="359" t="s">
        <v>355</v>
      </c>
      <c r="B525" s="359" t="s">
        <v>356</v>
      </c>
      <c r="C525" s="89">
        <v>43475</v>
      </c>
      <c r="D525" s="40">
        <v>935</v>
      </c>
    </row>
    <row r="526" spans="1:4">
      <c r="A526" s="359" t="s">
        <v>390</v>
      </c>
      <c r="B526" s="359" t="s">
        <v>391</v>
      </c>
      <c r="C526" s="89">
        <v>43475</v>
      </c>
      <c r="D526" s="40">
        <v>3284.252</v>
      </c>
    </row>
    <row r="527" spans="1:4">
      <c r="A527" s="359" t="s">
        <v>1121</v>
      </c>
      <c r="B527" s="359" t="s">
        <v>615</v>
      </c>
      <c r="C527" s="89">
        <v>43476</v>
      </c>
      <c r="D527" s="40">
        <v>1521.134</v>
      </c>
    </row>
    <row r="528" spans="1:4">
      <c r="A528" s="359" t="s">
        <v>368</v>
      </c>
      <c r="B528" s="359" t="s">
        <v>369</v>
      </c>
      <c r="C528" s="89">
        <v>43476</v>
      </c>
      <c r="D528" s="40">
        <v>1100</v>
      </c>
    </row>
    <row r="529" spans="1:4">
      <c r="A529" s="359" t="s">
        <v>736</v>
      </c>
      <c r="B529" s="359" t="s">
        <v>760</v>
      </c>
      <c r="C529" s="89">
        <v>43476</v>
      </c>
      <c r="D529" s="40">
        <v>2993.7910000000002</v>
      </c>
    </row>
    <row r="530" spans="1:4">
      <c r="A530" s="359" t="s">
        <v>370</v>
      </c>
      <c r="B530" s="359" t="s">
        <v>371</v>
      </c>
      <c r="C530" s="89">
        <v>43476</v>
      </c>
      <c r="D530" s="40">
        <v>300</v>
      </c>
    </row>
    <row r="531" spans="1:4">
      <c r="A531" s="359" t="s">
        <v>343</v>
      </c>
      <c r="B531" s="359" t="s">
        <v>344</v>
      </c>
      <c r="C531" s="89">
        <v>43476</v>
      </c>
      <c r="D531" s="40">
        <v>1489.567</v>
      </c>
    </row>
    <row r="532" spans="1:4">
      <c r="A532" s="359" t="s">
        <v>1339</v>
      </c>
      <c r="B532" s="359" t="s">
        <v>346</v>
      </c>
      <c r="C532" s="89">
        <v>43476</v>
      </c>
      <c r="D532" s="40">
        <v>651.9</v>
      </c>
    </row>
    <row r="533" spans="1:4">
      <c r="A533" s="359" t="s">
        <v>303</v>
      </c>
      <c r="B533" s="359" t="s">
        <v>304</v>
      </c>
      <c r="C533" s="89">
        <v>43476</v>
      </c>
      <c r="D533" s="40">
        <v>594.19299999999998</v>
      </c>
    </row>
    <row r="534" spans="1:4">
      <c r="A534" s="359" t="s">
        <v>561</v>
      </c>
      <c r="B534" s="359" t="s">
        <v>562</v>
      </c>
      <c r="C534" s="89">
        <v>43477</v>
      </c>
      <c r="D534" s="40">
        <v>2512.5</v>
      </c>
    </row>
    <row r="535" spans="1:4">
      <c r="A535" s="359" t="s">
        <v>1023</v>
      </c>
      <c r="B535" s="359" t="s">
        <v>420</v>
      </c>
      <c r="C535" s="89">
        <v>43477</v>
      </c>
      <c r="D535" s="40">
        <v>896.03099999999995</v>
      </c>
    </row>
    <row r="536" spans="1:4">
      <c r="A536" s="359" t="s">
        <v>596</v>
      </c>
      <c r="B536" s="359" t="s">
        <v>597</v>
      </c>
      <c r="C536" s="89">
        <v>43477</v>
      </c>
      <c r="D536" s="40">
        <v>7223.2039999999997</v>
      </c>
    </row>
    <row r="537" spans="1:4">
      <c r="A537" s="359" t="s">
        <v>683</v>
      </c>
      <c r="B537" s="359" t="s">
        <v>647</v>
      </c>
      <c r="C537" s="89">
        <v>43477</v>
      </c>
      <c r="D537" s="40">
        <v>8810.4549999999999</v>
      </c>
    </row>
    <row r="538" spans="1:4">
      <c r="A538" s="359" t="s">
        <v>574</v>
      </c>
      <c r="B538" s="359" t="s">
        <v>575</v>
      </c>
      <c r="C538" s="89">
        <v>43477</v>
      </c>
      <c r="D538" s="40">
        <v>2309.317</v>
      </c>
    </row>
    <row r="539" spans="1:4">
      <c r="A539" s="359" t="s">
        <v>305</v>
      </c>
      <c r="B539" s="359" t="s">
        <v>306</v>
      </c>
      <c r="C539" s="89">
        <v>43477</v>
      </c>
      <c r="D539" s="40">
        <v>2000</v>
      </c>
    </row>
    <row r="540" spans="1:4">
      <c r="A540" s="359" t="s">
        <v>394</v>
      </c>
      <c r="B540" s="359" t="s">
        <v>395</v>
      </c>
      <c r="C540" s="89">
        <v>43477</v>
      </c>
      <c r="D540" s="40">
        <v>2500</v>
      </c>
    </row>
    <row r="541" spans="1:4">
      <c r="A541" s="359" t="s">
        <v>403</v>
      </c>
      <c r="B541" s="359" t="s">
        <v>404</v>
      </c>
      <c r="C541" s="89">
        <v>43478</v>
      </c>
      <c r="D541" s="40">
        <v>825</v>
      </c>
    </row>
    <row r="542" spans="1:4">
      <c r="A542" s="359" t="s">
        <v>939</v>
      </c>
      <c r="B542" s="359" t="s">
        <v>361</v>
      </c>
      <c r="C542" s="89">
        <v>43478</v>
      </c>
      <c r="D542" s="40">
        <v>1764.913</v>
      </c>
    </row>
    <row r="543" spans="1:4">
      <c r="A543" s="359" t="s">
        <v>677</v>
      </c>
      <c r="B543" s="359" t="s">
        <v>580</v>
      </c>
      <c r="C543" s="89">
        <v>43478</v>
      </c>
      <c r="D543" s="40">
        <v>877.20600000000002</v>
      </c>
    </row>
    <row r="544" spans="1:4">
      <c r="A544" s="359" t="s">
        <v>303</v>
      </c>
      <c r="B544" s="359" t="s">
        <v>304</v>
      </c>
      <c r="C544" s="89">
        <v>43478</v>
      </c>
      <c r="D544" s="40">
        <v>861.80700000000002</v>
      </c>
    </row>
    <row r="545" spans="1:5">
      <c r="A545" s="359" t="s">
        <v>673</v>
      </c>
      <c r="B545" s="359" t="s">
        <v>674</v>
      </c>
      <c r="C545" s="89">
        <v>43478</v>
      </c>
      <c r="D545" s="40">
        <v>2932.973</v>
      </c>
    </row>
    <row r="546" spans="1:5">
      <c r="A546" s="359" t="s">
        <v>293</v>
      </c>
      <c r="B546" s="359" t="s">
        <v>294</v>
      </c>
      <c r="C546" s="89">
        <v>43478</v>
      </c>
      <c r="D546" s="40">
        <v>1134</v>
      </c>
    </row>
    <row r="547" spans="1:5">
      <c r="A547" s="359" t="s">
        <v>1468</v>
      </c>
      <c r="B547" s="359" t="s">
        <v>366</v>
      </c>
      <c r="C547" s="89">
        <v>43479</v>
      </c>
      <c r="D547" s="40">
        <v>1000</v>
      </c>
    </row>
    <row r="548" spans="1:5">
      <c r="A548" s="359" t="s">
        <v>661</v>
      </c>
      <c r="B548" s="359" t="s">
        <v>662</v>
      </c>
      <c r="C548" s="89">
        <v>43479</v>
      </c>
      <c r="D548" s="40">
        <v>2569.6289999999999</v>
      </c>
    </row>
    <row r="549" spans="1:5">
      <c r="A549" s="359" t="s">
        <v>345</v>
      </c>
      <c r="B549" s="359" t="s">
        <v>346</v>
      </c>
      <c r="C549" s="89">
        <v>43479</v>
      </c>
      <c r="D549" s="40">
        <v>702.76</v>
      </c>
    </row>
    <row r="550" spans="1:5">
      <c r="A550" s="359" t="s">
        <v>940</v>
      </c>
      <c r="B550" s="359" t="s">
        <v>307</v>
      </c>
      <c r="C550" s="89">
        <v>43480</v>
      </c>
      <c r="D550" s="40">
        <v>399.66199999999998</v>
      </c>
    </row>
    <row r="551" spans="1:5">
      <c r="A551" s="359" t="s">
        <v>357</v>
      </c>
      <c r="B551" s="359" t="s">
        <v>358</v>
      </c>
      <c r="C551" s="89">
        <v>43480</v>
      </c>
      <c r="D551" s="40">
        <v>445.58</v>
      </c>
    </row>
    <row r="552" spans="1:5">
      <c r="A552" s="359" t="s">
        <v>310</v>
      </c>
      <c r="B552" s="359" t="s">
        <v>311</v>
      </c>
      <c r="C552" s="89">
        <v>43480</v>
      </c>
      <c r="D552" s="40">
        <v>582.93200000000002</v>
      </c>
    </row>
    <row r="553" spans="1:5">
      <c r="A553" s="359" t="s">
        <v>1617</v>
      </c>
      <c r="B553" s="359" t="s">
        <v>610</v>
      </c>
      <c r="C553" s="89">
        <v>43480</v>
      </c>
      <c r="D553" s="40">
        <v>1093.8019999999999</v>
      </c>
    </row>
    <row r="554" spans="1:5">
      <c r="A554" s="359" t="s">
        <v>679</v>
      </c>
      <c r="B554" s="359" t="s">
        <v>680</v>
      </c>
      <c r="C554" s="89">
        <v>43480</v>
      </c>
      <c r="D554" s="40">
        <v>4000</v>
      </c>
    </row>
    <row r="555" spans="1:5">
      <c r="A555" s="359" t="s">
        <v>315</v>
      </c>
      <c r="B555" s="359" t="s">
        <v>314</v>
      </c>
      <c r="C555" s="89">
        <v>43480</v>
      </c>
      <c r="D555" s="40">
        <v>4000</v>
      </c>
    </row>
    <row r="556" spans="1:5">
      <c r="A556" s="359" t="s">
        <v>315</v>
      </c>
      <c r="B556" s="359" t="s">
        <v>314</v>
      </c>
      <c r="C556" s="89">
        <v>43480</v>
      </c>
      <c r="D556" s="40">
        <v>4000</v>
      </c>
    </row>
    <row r="557" spans="1:5" s="558" customFormat="1">
      <c r="A557" s="359" t="s">
        <v>421</v>
      </c>
      <c r="B557" s="359" t="s">
        <v>422</v>
      </c>
      <c r="C557" s="89">
        <v>43480</v>
      </c>
      <c r="D557" s="40">
        <v>2960.2530000000002</v>
      </c>
      <c r="E557" s="359"/>
    </row>
    <row r="558" spans="1:5">
      <c r="A558" s="359" t="s">
        <v>630</v>
      </c>
      <c r="B558" s="359" t="s">
        <v>502</v>
      </c>
      <c r="C558" s="89">
        <v>43480</v>
      </c>
      <c r="D558" s="40">
        <v>500</v>
      </c>
    </row>
    <row r="559" spans="1:5">
      <c r="A559" s="359" t="s">
        <v>589</v>
      </c>
      <c r="B559" s="359" t="s">
        <v>360</v>
      </c>
      <c r="C559" s="89">
        <v>43480</v>
      </c>
      <c r="D559" s="40">
        <v>1006.104</v>
      </c>
    </row>
    <row r="560" spans="1:5">
      <c r="A560" s="359" t="s">
        <v>635</v>
      </c>
      <c r="B560" s="359" t="s">
        <v>636</v>
      </c>
      <c r="C560" s="89">
        <v>43480</v>
      </c>
      <c r="D560" s="40">
        <v>1222.3969999999999</v>
      </c>
    </row>
    <row r="561" spans="1:5">
      <c r="A561" s="359" t="s">
        <v>942</v>
      </c>
      <c r="B561" s="359" t="s">
        <v>941</v>
      </c>
      <c r="C561" s="89">
        <v>43480</v>
      </c>
      <c r="D561" s="40">
        <v>1500</v>
      </c>
    </row>
    <row r="562" spans="1:5">
      <c r="A562" s="359" t="s">
        <v>599</v>
      </c>
      <c r="B562" s="359" t="s">
        <v>320</v>
      </c>
      <c r="C562" s="89">
        <v>43480</v>
      </c>
      <c r="D562" s="40">
        <v>3727</v>
      </c>
    </row>
    <row r="563" spans="1:5">
      <c r="A563" s="359" t="s">
        <v>403</v>
      </c>
      <c r="B563" s="359" t="s">
        <v>404</v>
      </c>
      <c r="C563" s="89">
        <v>43480</v>
      </c>
      <c r="D563" s="40">
        <v>890.2</v>
      </c>
    </row>
    <row r="564" spans="1:5">
      <c r="A564" s="359" t="s">
        <v>728</v>
      </c>
      <c r="B564" s="359" t="s">
        <v>446</v>
      </c>
      <c r="C564" s="89">
        <v>43480</v>
      </c>
      <c r="D564" s="40">
        <v>6358.3620000000001</v>
      </c>
    </row>
    <row r="565" spans="1:5">
      <c r="A565" s="359" t="s">
        <v>985</v>
      </c>
      <c r="B565" s="359" t="s">
        <v>449</v>
      </c>
      <c r="C565" s="89">
        <v>43480</v>
      </c>
      <c r="D565" s="40">
        <v>2116.2530000000002</v>
      </c>
    </row>
    <row r="566" spans="1:5">
      <c r="A566" s="359" t="s">
        <v>1350</v>
      </c>
      <c r="B566" s="359" t="s">
        <v>1349</v>
      </c>
      <c r="C566" s="89">
        <v>43480</v>
      </c>
      <c r="D566" s="40">
        <v>6792.6930000000002</v>
      </c>
    </row>
    <row r="567" spans="1:5">
      <c r="A567" s="359" t="s">
        <v>742</v>
      </c>
      <c r="B567" s="359" t="s">
        <v>520</v>
      </c>
      <c r="C567" s="89">
        <v>43480</v>
      </c>
      <c r="D567" s="40">
        <v>2086.9389999999999</v>
      </c>
    </row>
    <row r="568" spans="1:5">
      <c r="A568" s="359" t="s">
        <v>324</v>
      </c>
      <c r="B568" s="359" t="s">
        <v>325</v>
      </c>
      <c r="C568" s="89">
        <v>43480</v>
      </c>
      <c r="D568" s="40">
        <v>1000</v>
      </c>
    </row>
    <row r="569" spans="1:5">
      <c r="A569" s="359" t="s">
        <v>377</v>
      </c>
      <c r="B569" s="359" t="s">
        <v>325</v>
      </c>
      <c r="C569" s="89">
        <v>43480</v>
      </c>
      <c r="D569" s="40">
        <v>900</v>
      </c>
    </row>
    <row r="570" spans="1:5" s="558" customFormat="1">
      <c r="A570" s="359" t="s">
        <v>1466</v>
      </c>
      <c r="B570" s="359" t="s">
        <v>1465</v>
      </c>
      <c r="C570" s="89">
        <v>43480</v>
      </c>
      <c r="D570" s="40">
        <v>583.39099999999996</v>
      </c>
      <c r="E570" s="359"/>
    </row>
    <row r="571" spans="1:5">
      <c r="A571" s="359" t="s">
        <v>1120</v>
      </c>
      <c r="B571" s="359" t="s">
        <v>1208</v>
      </c>
      <c r="C571" s="89">
        <v>43480</v>
      </c>
      <c r="D571" s="40">
        <v>2841.91</v>
      </c>
    </row>
    <row r="572" spans="1:5" s="558" customFormat="1">
      <c r="A572" s="359" t="s">
        <v>1368</v>
      </c>
      <c r="B572" s="359" t="s">
        <v>1459</v>
      </c>
      <c r="C572" s="89">
        <v>43480</v>
      </c>
      <c r="D572" s="40">
        <v>277.57299999999998</v>
      </c>
      <c r="E572" s="359"/>
    </row>
    <row r="573" spans="1:5">
      <c r="A573" s="359" t="s">
        <v>327</v>
      </c>
      <c r="B573" s="359" t="s">
        <v>328</v>
      </c>
      <c r="C573" s="89">
        <v>43480</v>
      </c>
      <c r="D573" s="40">
        <v>1016.355</v>
      </c>
    </row>
    <row r="574" spans="1:5">
      <c r="A574" s="359" t="s">
        <v>327</v>
      </c>
      <c r="B574" s="359" t="s">
        <v>328</v>
      </c>
      <c r="C574" s="89">
        <v>43480</v>
      </c>
      <c r="D574" s="40">
        <v>195</v>
      </c>
    </row>
    <row r="575" spans="1:5">
      <c r="A575" s="359" t="s">
        <v>380</v>
      </c>
      <c r="B575" s="359" t="s">
        <v>381</v>
      </c>
      <c r="C575" s="89">
        <v>43480</v>
      </c>
      <c r="D575" s="40">
        <v>780</v>
      </c>
    </row>
    <row r="576" spans="1:5">
      <c r="A576" s="359" t="s">
        <v>1183</v>
      </c>
      <c r="B576" s="359" t="s">
        <v>426</v>
      </c>
      <c r="C576" s="89">
        <v>43480</v>
      </c>
      <c r="D576" s="40">
        <v>2300</v>
      </c>
    </row>
    <row r="577" spans="1:5">
      <c r="A577" s="359" t="s">
        <v>601</v>
      </c>
      <c r="B577" s="359" t="s">
        <v>602</v>
      </c>
      <c r="C577" s="89">
        <v>43480</v>
      </c>
      <c r="D577" s="40">
        <v>3515.3359999999998</v>
      </c>
    </row>
    <row r="578" spans="1:5">
      <c r="A578" s="359" t="s">
        <v>333</v>
      </c>
      <c r="B578" s="359" t="s">
        <v>334</v>
      </c>
      <c r="C578" s="89">
        <v>43480</v>
      </c>
      <c r="D578" s="40">
        <v>1676.566</v>
      </c>
    </row>
    <row r="579" spans="1:5">
      <c r="A579" s="359" t="s">
        <v>382</v>
      </c>
      <c r="B579" s="359" t="s">
        <v>383</v>
      </c>
      <c r="C579" s="89">
        <v>43480</v>
      </c>
      <c r="D579" s="40">
        <v>2100</v>
      </c>
    </row>
    <row r="580" spans="1:5">
      <c r="A580" s="359" t="s">
        <v>603</v>
      </c>
      <c r="B580" s="359" t="s">
        <v>604</v>
      </c>
      <c r="C580" s="89">
        <v>43480</v>
      </c>
      <c r="D580" s="40">
        <v>1650</v>
      </c>
    </row>
    <row r="581" spans="1:5">
      <c r="A581" s="359" t="s">
        <v>1049</v>
      </c>
      <c r="B581" s="359" t="s">
        <v>336</v>
      </c>
      <c r="C581" s="89">
        <v>43480</v>
      </c>
      <c r="D581" s="40">
        <v>1897</v>
      </c>
    </row>
    <row r="582" spans="1:5">
      <c r="A582" s="359" t="s">
        <v>339</v>
      </c>
      <c r="B582" s="359" t="s">
        <v>340</v>
      </c>
      <c r="C582" s="89">
        <v>43480</v>
      </c>
      <c r="D582" s="40">
        <v>1091.8440000000001</v>
      </c>
    </row>
    <row r="583" spans="1:5">
      <c r="A583" s="359" t="s">
        <v>972</v>
      </c>
      <c r="B583" s="359" t="s">
        <v>1055</v>
      </c>
      <c r="C583" s="89">
        <v>43480</v>
      </c>
      <c r="D583" s="40">
        <v>500</v>
      </c>
    </row>
    <row r="584" spans="1:5">
      <c r="A584" s="359" t="s">
        <v>972</v>
      </c>
      <c r="B584" s="359" t="s">
        <v>1055</v>
      </c>
      <c r="C584" s="89">
        <v>43480</v>
      </c>
      <c r="D584" s="40">
        <v>215</v>
      </c>
    </row>
    <row r="585" spans="1:5">
      <c r="A585" s="359" t="s">
        <v>972</v>
      </c>
      <c r="B585" s="359" t="s">
        <v>1055</v>
      </c>
      <c r="C585" s="89">
        <v>43480</v>
      </c>
      <c r="D585" s="40">
        <v>1000</v>
      </c>
    </row>
    <row r="586" spans="1:5">
      <c r="A586" s="359" t="s">
        <v>659</v>
      </c>
      <c r="B586" s="359" t="s">
        <v>660</v>
      </c>
      <c r="C586" s="89">
        <v>43480</v>
      </c>
      <c r="D586" s="40">
        <v>3397.2939999999999</v>
      </c>
    </row>
    <row r="587" spans="1:5">
      <c r="A587" s="359" t="s">
        <v>301</v>
      </c>
      <c r="B587" s="359" t="s">
        <v>302</v>
      </c>
      <c r="C587" s="89">
        <v>43480</v>
      </c>
      <c r="D587" s="40">
        <v>3000</v>
      </c>
    </row>
    <row r="588" spans="1:5">
      <c r="A588" s="359" t="s">
        <v>476</v>
      </c>
      <c r="B588" s="359" t="s">
        <v>477</v>
      </c>
      <c r="C588" s="89">
        <v>43480</v>
      </c>
      <c r="D588" s="40">
        <v>1718.66</v>
      </c>
      <c r="E588" s="558"/>
    </row>
    <row r="589" spans="1:5">
      <c r="A589" s="359" t="s">
        <v>607</v>
      </c>
      <c r="B589" s="359" t="s">
        <v>608</v>
      </c>
      <c r="C589" s="89">
        <v>43480</v>
      </c>
      <c r="D589" s="40">
        <v>500</v>
      </c>
    </row>
    <row r="590" spans="1:5">
      <c r="A590" s="359" t="s">
        <v>341</v>
      </c>
      <c r="B590" s="359" t="s">
        <v>342</v>
      </c>
      <c r="C590" s="89">
        <v>43480</v>
      </c>
      <c r="D590" s="40">
        <v>2300</v>
      </c>
    </row>
    <row r="591" spans="1:5">
      <c r="A591" s="359" t="s">
        <v>386</v>
      </c>
      <c r="B591" s="359" t="s">
        <v>387</v>
      </c>
      <c r="C591" s="89">
        <v>43480</v>
      </c>
      <c r="D591" s="40">
        <v>2500</v>
      </c>
    </row>
    <row r="592" spans="1:5">
      <c r="A592" s="359" t="s">
        <v>347</v>
      </c>
      <c r="B592" s="359" t="s">
        <v>348</v>
      </c>
      <c r="C592" s="89">
        <v>43480</v>
      </c>
      <c r="D592" s="40">
        <v>724.12</v>
      </c>
    </row>
    <row r="593" spans="1:5">
      <c r="A593" s="359" t="s">
        <v>303</v>
      </c>
      <c r="B593" s="359" t="s">
        <v>304</v>
      </c>
      <c r="C593" s="89">
        <v>43480</v>
      </c>
      <c r="D593" s="40">
        <v>594.19299999999998</v>
      </c>
    </row>
    <row r="594" spans="1:5">
      <c r="A594" s="359" t="s">
        <v>286</v>
      </c>
      <c r="B594" s="359" t="s">
        <v>287</v>
      </c>
      <c r="C594" s="89">
        <v>43480</v>
      </c>
      <c r="D594" s="40">
        <v>1965.751</v>
      </c>
    </row>
    <row r="595" spans="1:5">
      <c r="A595" s="359" t="s">
        <v>349</v>
      </c>
      <c r="B595" s="359" t="s">
        <v>350</v>
      </c>
      <c r="C595" s="89">
        <v>43480</v>
      </c>
      <c r="D595" s="40">
        <v>4200</v>
      </c>
    </row>
    <row r="596" spans="1:5">
      <c r="A596" s="359" t="s">
        <v>583</v>
      </c>
      <c r="B596" s="359" t="s">
        <v>584</v>
      </c>
      <c r="C596" s="89">
        <v>43480</v>
      </c>
      <c r="D596" s="40">
        <v>5000</v>
      </c>
    </row>
    <row r="597" spans="1:5">
      <c r="A597" s="359" t="s">
        <v>463</v>
      </c>
      <c r="B597" s="359" t="s">
        <v>464</v>
      </c>
      <c r="C597" s="89">
        <v>43480</v>
      </c>
      <c r="D597" s="40">
        <v>6067.6369999999997</v>
      </c>
    </row>
    <row r="598" spans="1:5">
      <c r="A598" s="359" t="s">
        <v>1341</v>
      </c>
      <c r="B598" s="359" t="s">
        <v>1340</v>
      </c>
      <c r="C598" s="89">
        <v>43480</v>
      </c>
      <c r="D598" s="40">
        <v>5937.4210000000003</v>
      </c>
    </row>
    <row r="599" spans="1:5">
      <c r="A599" s="359" t="s">
        <v>621</v>
      </c>
      <c r="B599" s="359" t="s">
        <v>622</v>
      </c>
      <c r="C599" s="89">
        <v>43480</v>
      </c>
      <c r="D599" s="40">
        <v>6635.0770000000002</v>
      </c>
    </row>
    <row r="600" spans="1:5">
      <c r="A600" s="359" t="s">
        <v>283</v>
      </c>
      <c r="B600" s="359" t="s">
        <v>284</v>
      </c>
      <c r="C600" s="89">
        <v>43480</v>
      </c>
      <c r="D600" s="40">
        <v>2500</v>
      </c>
    </row>
    <row r="601" spans="1:5">
      <c r="A601" s="359" t="s">
        <v>351</v>
      </c>
      <c r="B601" s="359" t="s">
        <v>352</v>
      </c>
      <c r="C601" s="89">
        <v>43480</v>
      </c>
      <c r="D601" s="40">
        <v>3461.4110000000001</v>
      </c>
      <c r="E601" s="558"/>
    </row>
    <row r="602" spans="1:5">
      <c r="A602" s="359" t="s">
        <v>1133</v>
      </c>
      <c r="B602" s="359" t="s">
        <v>768</v>
      </c>
      <c r="C602" s="89">
        <v>43480</v>
      </c>
      <c r="D602" s="40">
        <v>3000</v>
      </c>
    </row>
    <row r="603" spans="1:5">
      <c r="A603" s="359" t="s">
        <v>355</v>
      </c>
      <c r="B603" s="359" t="s">
        <v>356</v>
      </c>
      <c r="C603" s="89">
        <v>43480</v>
      </c>
      <c r="D603" s="40">
        <v>940</v>
      </c>
      <c r="E603" s="558"/>
    </row>
    <row r="604" spans="1:5">
      <c r="A604" s="359" t="s">
        <v>664</v>
      </c>
      <c r="B604" s="359" t="s">
        <v>665</v>
      </c>
      <c r="C604" s="89">
        <v>43480</v>
      </c>
      <c r="D604" s="40">
        <v>3000</v>
      </c>
    </row>
    <row r="605" spans="1:5">
      <c r="A605" s="359" t="s">
        <v>345</v>
      </c>
      <c r="B605" s="359" t="s">
        <v>346</v>
      </c>
      <c r="C605" s="89">
        <v>43481</v>
      </c>
      <c r="D605" s="40">
        <v>863</v>
      </c>
    </row>
    <row r="606" spans="1:5">
      <c r="A606" s="359" t="s">
        <v>345</v>
      </c>
      <c r="B606" s="359" t="s">
        <v>346</v>
      </c>
      <c r="C606" s="89">
        <v>43481</v>
      </c>
      <c r="D606" s="40">
        <v>702.76300000000003</v>
      </c>
    </row>
    <row r="607" spans="1:5">
      <c r="A607" s="359" t="s">
        <v>1213</v>
      </c>
      <c r="B607" s="359" t="s">
        <v>682</v>
      </c>
      <c r="C607" s="89">
        <v>43482</v>
      </c>
      <c r="D607" s="40">
        <v>800</v>
      </c>
    </row>
    <row r="608" spans="1:5">
      <c r="A608" s="359" t="s">
        <v>364</v>
      </c>
      <c r="B608" s="359" t="s">
        <v>365</v>
      </c>
      <c r="C608" s="89">
        <v>43482</v>
      </c>
      <c r="D608" s="40">
        <v>4000</v>
      </c>
    </row>
    <row r="609" spans="1:4">
      <c r="A609" s="359" t="s">
        <v>286</v>
      </c>
      <c r="B609" s="359" t="s">
        <v>287</v>
      </c>
      <c r="C609" s="89">
        <v>43482</v>
      </c>
      <c r="D609" s="40">
        <v>2000</v>
      </c>
    </row>
    <row r="610" spans="1:4">
      <c r="A610" s="359" t="s">
        <v>291</v>
      </c>
      <c r="B610" s="359" t="s">
        <v>292</v>
      </c>
      <c r="C610" s="89">
        <v>43482</v>
      </c>
      <c r="D610" s="40">
        <v>750</v>
      </c>
    </row>
    <row r="611" spans="1:4">
      <c r="A611" s="359" t="s">
        <v>293</v>
      </c>
      <c r="B611" s="359" t="s">
        <v>294</v>
      </c>
      <c r="C611" s="89">
        <v>43482</v>
      </c>
      <c r="D611" s="40">
        <v>1134.335</v>
      </c>
    </row>
    <row r="612" spans="1:4">
      <c r="A612" s="359" t="s">
        <v>1182</v>
      </c>
      <c r="B612" s="359" t="s">
        <v>1181</v>
      </c>
      <c r="C612" s="89">
        <v>43483</v>
      </c>
      <c r="D612" s="40">
        <v>292.26900000000001</v>
      </c>
    </row>
    <row r="613" spans="1:4">
      <c r="A613" s="359" t="s">
        <v>549</v>
      </c>
      <c r="B613" s="359" t="s">
        <v>550</v>
      </c>
      <c r="C613" s="89">
        <v>43483</v>
      </c>
      <c r="D613" s="40">
        <v>515.70399999999995</v>
      </c>
    </row>
    <row r="614" spans="1:4">
      <c r="A614" s="359" t="s">
        <v>345</v>
      </c>
      <c r="B614" s="359" t="s">
        <v>346</v>
      </c>
      <c r="C614" s="89">
        <v>43483</v>
      </c>
      <c r="D614" s="40">
        <v>702.76</v>
      </c>
    </row>
    <row r="615" spans="1:4">
      <c r="A615" s="359" t="s">
        <v>403</v>
      </c>
      <c r="B615" s="359" t="s">
        <v>404</v>
      </c>
      <c r="C615" s="89">
        <v>43484</v>
      </c>
      <c r="D615" s="40">
        <v>697.43200000000002</v>
      </c>
    </row>
    <row r="616" spans="1:4">
      <c r="A616" s="359" t="s">
        <v>303</v>
      </c>
      <c r="B616" s="359" t="s">
        <v>304</v>
      </c>
      <c r="C616" s="89">
        <v>43484</v>
      </c>
      <c r="D616" s="40">
        <v>970.45799999999997</v>
      </c>
    </row>
    <row r="617" spans="1:4">
      <c r="A617" s="359" t="s">
        <v>305</v>
      </c>
      <c r="B617" s="359" t="s">
        <v>306</v>
      </c>
      <c r="C617" s="89">
        <v>43484</v>
      </c>
      <c r="D617" s="40">
        <v>1800</v>
      </c>
    </row>
    <row r="618" spans="1:4">
      <c r="A618" s="359" t="s">
        <v>394</v>
      </c>
      <c r="B618" s="359" t="s">
        <v>395</v>
      </c>
      <c r="C618" s="89">
        <v>43484</v>
      </c>
      <c r="D618" s="40">
        <v>2500</v>
      </c>
    </row>
    <row r="619" spans="1:4">
      <c r="A619" s="359" t="s">
        <v>617</v>
      </c>
      <c r="B619" s="359" t="s">
        <v>618</v>
      </c>
      <c r="C619" s="89">
        <v>43485</v>
      </c>
      <c r="D619" s="40">
        <v>963.71299999999997</v>
      </c>
    </row>
    <row r="620" spans="1:4">
      <c r="A620" s="359" t="s">
        <v>1470</v>
      </c>
      <c r="B620" s="359" t="s">
        <v>1616</v>
      </c>
      <c r="C620" s="89">
        <v>43485</v>
      </c>
      <c r="D620" s="40">
        <v>483.12099999999998</v>
      </c>
    </row>
    <row r="621" spans="1:4">
      <c r="A621" s="359" t="s">
        <v>357</v>
      </c>
      <c r="B621" s="359" t="s">
        <v>358</v>
      </c>
      <c r="C621" s="89">
        <v>43485</v>
      </c>
      <c r="D621" s="40">
        <v>445.58</v>
      </c>
    </row>
    <row r="622" spans="1:4">
      <c r="A622" s="359" t="s">
        <v>310</v>
      </c>
      <c r="B622" s="359" t="s">
        <v>311</v>
      </c>
      <c r="C622" s="89">
        <v>43485</v>
      </c>
      <c r="D622" s="40">
        <v>600</v>
      </c>
    </row>
    <row r="623" spans="1:4">
      <c r="A623" s="359" t="s">
        <v>1221</v>
      </c>
      <c r="B623" s="359" t="s">
        <v>429</v>
      </c>
      <c r="C623" s="89">
        <v>43485</v>
      </c>
      <c r="D623" s="40">
        <v>1250</v>
      </c>
    </row>
    <row r="624" spans="1:4">
      <c r="A624" s="359" t="s">
        <v>1176</v>
      </c>
      <c r="B624" s="359" t="s">
        <v>375</v>
      </c>
      <c r="C624" s="89">
        <v>43485</v>
      </c>
      <c r="D624" s="40">
        <v>2024.5319999999999</v>
      </c>
    </row>
    <row r="625" spans="1:4">
      <c r="A625" s="359" t="s">
        <v>1128</v>
      </c>
      <c r="B625" s="359" t="s">
        <v>321</v>
      </c>
      <c r="C625" s="89">
        <v>43485</v>
      </c>
      <c r="D625" s="40">
        <v>6784.1270000000004</v>
      </c>
    </row>
    <row r="626" spans="1:4">
      <c r="A626" s="359" t="s">
        <v>688</v>
      </c>
      <c r="B626" s="359" t="s">
        <v>594</v>
      </c>
      <c r="C626" s="89">
        <v>43485</v>
      </c>
      <c r="D626" s="40">
        <v>830</v>
      </c>
    </row>
    <row r="627" spans="1:4">
      <c r="A627" s="359" t="s">
        <v>447</v>
      </c>
      <c r="B627" s="359" t="s">
        <v>448</v>
      </c>
      <c r="C627" s="89">
        <v>43485</v>
      </c>
      <c r="D627" s="40">
        <v>6893.0460000000003</v>
      </c>
    </row>
    <row r="628" spans="1:4">
      <c r="A628" s="359" t="s">
        <v>960</v>
      </c>
      <c r="B628" s="359" t="s">
        <v>376</v>
      </c>
      <c r="C628" s="89">
        <v>43485</v>
      </c>
      <c r="D628" s="40">
        <v>2545.0369999999998</v>
      </c>
    </row>
    <row r="629" spans="1:4">
      <c r="A629" s="359" t="s">
        <v>1610</v>
      </c>
      <c r="B629" s="359" t="s">
        <v>424</v>
      </c>
      <c r="C629" s="89">
        <v>43485</v>
      </c>
      <c r="D629" s="40">
        <v>3000</v>
      </c>
    </row>
    <row r="630" spans="1:4">
      <c r="A630" s="359" t="s">
        <v>377</v>
      </c>
      <c r="B630" s="359" t="s">
        <v>325</v>
      </c>
      <c r="C630" s="89">
        <v>43485</v>
      </c>
      <c r="D630" s="40">
        <v>500</v>
      </c>
    </row>
    <row r="631" spans="1:4">
      <c r="A631" s="359" t="s">
        <v>377</v>
      </c>
      <c r="B631" s="359" t="s">
        <v>325</v>
      </c>
      <c r="C631" s="89">
        <v>43485</v>
      </c>
      <c r="D631" s="40">
        <v>750</v>
      </c>
    </row>
    <row r="632" spans="1:4">
      <c r="A632" s="359" t="s">
        <v>1217</v>
      </c>
      <c r="B632" s="359" t="s">
        <v>326</v>
      </c>
      <c r="C632" s="89">
        <v>43485</v>
      </c>
      <c r="D632" s="40">
        <v>2700</v>
      </c>
    </row>
    <row r="633" spans="1:4">
      <c r="A633" s="359" t="s">
        <v>977</v>
      </c>
      <c r="B633" s="359" t="s">
        <v>976</v>
      </c>
      <c r="C633" s="89">
        <v>43485</v>
      </c>
      <c r="D633" s="40">
        <v>3719.299</v>
      </c>
    </row>
    <row r="634" spans="1:4">
      <c r="A634" s="359" t="s">
        <v>380</v>
      </c>
      <c r="B634" s="359" t="s">
        <v>381</v>
      </c>
      <c r="C634" s="89">
        <v>43485</v>
      </c>
      <c r="D634" s="40">
        <v>780</v>
      </c>
    </row>
    <row r="635" spans="1:4">
      <c r="A635" s="359" t="s">
        <v>529</v>
      </c>
      <c r="B635" s="359" t="s">
        <v>530</v>
      </c>
      <c r="C635" s="89">
        <v>43485</v>
      </c>
      <c r="D635" s="40">
        <v>924.53700000000003</v>
      </c>
    </row>
    <row r="636" spans="1:4">
      <c r="A636" s="359" t="s">
        <v>972</v>
      </c>
      <c r="B636" s="359" t="s">
        <v>1055</v>
      </c>
      <c r="C636" s="89">
        <v>43485</v>
      </c>
      <c r="D636" s="40">
        <v>500</v>
      </c>
    </row>
    <row r="637" spans="1:4">
      <c r="A637" s="359" t="s">
        <v>1606</v>
      </c>
      <c r="B637" s="359" t="s">
        <v>1605</v>
      </c>
      <c r="C637" s="89">
        <v>43485</v>
      </c>
      <c r="D637" s="40">
        <v>2000</v>
      </c>
    </row>
    <row r="638" spans="1:4">
      <c r="A638" s="359" t="s">
        <v>341</v>
      </c>
      <c r="B638" s="359" t="s">
        <v>342</v>
      </c>
      <c r="C638" s="89">
        <v>43485</v>
      </c>
      <c r="D638" s="40">
        <v>2300</v>
      </c>
    </row>
    <row r="639" spans="1:4">
      <c r="A639" s="359" t="s">
        <v>386</v>
      </c>
      <c r="B639" s="359" t="s">
        <v>387</v>
      </c>
      <c r="C639" s="89">
        <v>43485</v>
      </c>
      <c r="D639" s="40">
        <v>2500</v>
      </c>
    </row>
    <row r="640" spans="1:4">
      <c r="A640" s="359" t="s">
        <v>1339</v>
      </c>
      <c r="B640" s="359" t="s">
        <v>346</v>
      </c>
      <c r="C640" s="89">
        <v>43485</v>
      </c>
      <c r="D640" s="40">
        <v>651.9</v>
      </c>
    </row>
    <row r="641" spans="1:5">
      <c r="A641" s="359" t="s">
        <v>581</v>
      </c>
      <c r="B641" s="359" t="s">
        <v>582</v>
      </c>
      <c r="C641" s="89">
        <v>43485</v>
      </c>
      <c r="D641" s="40">
        <v>555.09900000000005</v>
      </c>
      <c r="E641" s="560"/>
    </row>
    <row r="642" spans="1:5">
      <c r="A642" s="359" t="s">
        <v>543</v>
      </c>
      <c r="B642" s="359" t="s">
        <v>544</v>
      </c>
      <c r="C642" s="89">
        <v>43485</v>
      </c>
      <c r="D642" s="40">
        <v>1000</v>
      </c>
    </row>
    <row r="643" spans="1:5">
      <c r="A643" s="359" t="s">
        <v>1099</v>
      </c>
      <c r="B643" s="359" t="s">
        <v>658</v>
      </c>
      <c r="C643" s="89">
        <v>43485</v>
      </c>
      <c r="D643" s="40">
        <v>2700</v>
      </c>
    </row>
    <row r="644" spans="1:5">
      <c r="A644" s="359" t="s">
        <v>727</v>
      </c>
      <c r="B644" s="359" t="s">
        <v>752</v>
      </c>
      <c r="C644" s="89">
        <v>43485</v>
      </c>
      <c r="D644" s="40">
        <v>2334.6469999999999</v>
      </c>
    </row>
    <row r="645" spans="1:5" s="558" customFormat="1">
      <c r="A645" s="359" t="s">
        <v>355</v>
      </c>
      <c r="B645" s="359" t="s">
        <v>356</v>
      </c>
      <c r="C645" s="89">
        <v>43485</v>
      </c>
      <c r="D645" s="40">
        <v>945</v>
      </c>
      <c r="E645" s="359"/>
    </row>
    <row r="646" spans="1:5">
      <c r="A646" s="359" t="s">
        <v>403</v>
      </c>
      <c r="B646" s="359" t="s">
        <v>404</v>
      </c>
      <c r="C646" s="89">
        <v>43486</v>
      </c>
      <c r="D646" s="40">
        <v>800</v>
      </c>
    </row>
    <row r="647" spans="1:5">
      <c r="A647" s="359" t="s">
        <v>1468</v>
      </c>
      <c r="B647" s="359" t="s">
        <v>366</v>
      </c>
      <c r="C647" s="89">
        <v>43486</v>
      </c>
      <c r="D647" s="40">
        <v>1000</v>
      </c>
    </row>
    <row r="648" spans="1:5">
      <c r="A648" s="359" t="s">
        <v>370</v>
      </c>
      <c r="B648" s="359" t="s">
        <v>371</v>
      </c>
      <c r="C648" s="89">
        <v>43486</v>
      </c>
      <c r="D648" s="40">
        <v>300</v>
      </c>
    </row>
    <row r="649" spans="1:5">
      <c r="A649" s="359" t="s">
        <v>392</v>
      </c>
      <c r="B649" s="359" t="s">
        <v>393</v>
      </c>
      <c r="C649" s="89">
        <v>43486</v>
      </c>
      <c r="D649" s="40">
        <v>2000</v>
      </c>
    </row>
    <row r="650" spans="1:5">
      <c r="A650" s="359" t="s">
        <v>301</v>
      </c>
      <c r="B650" s="359" t="s">
        <v>302</v>
      </c>
      <c r="C650" s="89">
        <v>43486</v>
      </c>
      <c r="D650" s="40">
        <v>3000</v>
      </c>
    </row>
    <row r="651" spans="1:5">
      <c r="A651" s="359" t="s">
        <v>661</v>
      </c>
      <c r="B651" s="359" t="s">
        <v>662</v>
      </c>
      <c r="C651" s="89">
        <v>43486</v>
      </c>
      <c r="D651" s="40">
        <v>2569.6289999999999</v>
      </c>
    </row>
    <row r="652" spans="1:5">
      <c r="A652" s="359" t="s">
        <v>303</v>
      </c>
      <c r="B652" s="359" t="s">
        <v>304</v>
      </c>
      <c r="C652" s="89">
        <v>43486</v>
      </c>
      <c r="D652" s="40">
        <v>594.19299999999998</v>
      </c>
    </row>
    <row r="653" spans="1:5">
      <c r="A653" s="359" t="s">
        <v>368</v>
      </c>
      <c r="B653" s="359" t="s">
        <v>369</v>
      </c>
      <c r="C653" s="89">
        <v>43487</v>
      </c>
      <c r="D653" s="40">
        <v>1100</v>
      </c>
    </row>
    <row r="654" spans="1:5">
      <c r="A654" s="359" t="s">
        <v>589</v>
      </c>
      <c r="B654" s="359" t="s">
        <v>360</v>
      </c>
      <c r="C654" s="89">
        <v>43487</v>
      </c>
      <c r="D654" s="40">
        <v>1006.104</v>
      </c>
    </row>
    <row r="655" spans="1:5">
      <c r="A655" s="359" t="s">
        <v>590</v>
      </c>
      <c r="B655" s="359" t="s">
        <v>323</v>
      </c>
      <c r="C655" s="89">
        <v>43487</v>
      </c>
      <c r="D655" s="40">
        <v>1400</v>
      </c>
    </row>
    <row r="656" spans="1:5">
      <c r="A656" s="359" t="s">
        <v>554</v>
      </c>
      <c r="B656" s="359" t="s">
        <v>555</v>
      </c>
      <c r="C656" s="89">
        <v>43487</v>
      </c>
      <c r="D656" s="40">
        <v>3500</v>
      </c>
    </row>
    <row r="657" spans="1:4">
      <c r="A657" s="359" t="s">
        <v>286</v>
      </c>
      <c r="B657" s="359" t="s">
        <v>287</v>
      </c>
      <c r="C657" s="89">
        <v>43487</v>
      </c>
      <c r="D657" s="40">
        <v>1500</v>
      </c>
    </row>
    <row r="658" spans="1:4">
      <c r="A658" s="359" t="s">
        <v>403</v>
      </c>
      <c r="B658" s="359" t="s">
        <v>404</v>
      </c>
      <c r="C658" s="89">
        <v>43488</v>
      </c>
      <c r="D658" s="40">
        <v>795</v>
      </c>
    </row>
    <row r="659" spans="1:4">
      <c r="A659" s="359" t="s">
        <v>425</v>
      </c>
      <c r="B659" s="359" t="s">
        <v>426</v>
      </c>
      <c r="C659" s="89">
        <v>43488</v>
      </c>
      <c r="D659" s="40">
        <v>2400</v>
      </c>
    </row>
    <row r="660" spans="1:4">
      <c r="A660" s="359" t="s">
        <v>400</v>
      </c>
      <c r="B660" s="359" t="s">
        <v>401</v>
      </c>
      <c r="C660" s="89">
        <v>43488</v>
      </c>
      <c r="D660" s="40">
        <v>2000</v>
      </c>
    </row>
    <row r="661" spans="1:4">
      <c r="A661" s="359" t="s">
        <v>1126</v>
      </c>
      <c r="B661" s="359" t="s">
        <v>1125</v>
      </c>
      <c r="C661" s="89">
        <v>43489</v>
      </c>
      <c r="D661" s="40">
        <v>7838.1009999999997</v>
      </c>
    </row>
    <row r="662" spans="1:4">
      <c r="A662" s="359" t="s">
        <v>1023</v>
      </c>
      <c r="B662" s="359" t="s">
        <v>420</v>
      </c>
      <c r="C662" s="89">
        <v>43489</v>
      </c>
      <c r="D662" s="40">
        <v>1302.6600000000001</v>
      </c>
    </row>
    <row r="663" spans="1:4">
      <c r="A663" s="359" t="s">
        <v>593</v>
      </c>
      <c r="B663" s="359" t="s">
        <v>594</v>
      </c>
      <c r="C663" s="89">
        <v>43489</v>
      </c>
      <c r="D663" s="40">
        <v>700</v>
      </c>
    </row>
    <row r="664" spans="1:4">
      <c r="A664" s="359" t="s">
        <v>362</v>
      </c>
      <c r="B664" s="359" t="s">
        <v>363</v>
      </c>
      <c r="C664" s="89">
        <v>43489</v>
      </c>
      <c r="D664" s="40">
        <v>1200</v>
      </c>
    </row>
    <row r="665" spans="1:4">
      <c r="A665" s="359" t="s">
        <v>291</v>
      </c>
      <c r="B665" s="359" t="s">
        <v>292</v>
      </c>
      <c r="C665" s="89">
        <v>43489</v>
      </c>
      <c r="D665" s="40">
        <v>750</v>
      </c>
    </row>
    <row r="666" spans="1:4">
      <c r="A666" s="359" t="s">
        <v>357</v>
      </c>
      <c r="B666" s="359" t="s">
        <v>358</v>
      </c>
      <c r="C666" s="89">
        <v>43490</v>
      </c>
      <c r="D666" s="40">
        <v>445.58</v>
      </c>
    </row>
    <row r="667" spans="1:4">
      <c r="A667" s="359" t="s">
        <v>421</v>
      </c>
      <c r="B667" s="359" t="s">
        <v>422</v>
      </c>
      <c r="C667" s="89">
        <v>43490</v>
      </c>
      <c r="D667" s="40">
        <v>2960.2530000000002</v>
      </c>
    </row>
    <row r="668" spans="1:4">
      <c r="A668" s="359" t="s">
        <v>1180</v>
      </c>
      <c r="B668" s="359" t="s">
        <v>317</v>
      </c>
      <c r="C668" s="89">
        <v>43490</v>
      </c>
      <c r="D668" s="40">
        <v>1727.4390000000001</v>
      </c>
    </row>
    <row r="669" spans="1:4">
      <c r="A669" s="359" t="s">
        <v>1119</v>
      </c>
      <c r="B669" s="359" t="s">
        <v>405</v>
      </c>
      <c r="C669" s="89">
        <v>43490</v>
      </c>
      <c r="D669" s="40">
        <v>2639.721</v>
      </c>
    </row>
    <row r="670" spans="1:4">
      <c r="A670" s="359" t="s">
        <v>770</v>
      </c>
      <c r="B670" s="359" t="s">
        <v>771</v>
      </c>
      <c r="C670" s="89">
        <v>43490</v>
      </c>
      <c r="D670" s="40">
        <v>1590</v>
      </c>
    </row>
    <row r="671" spans="1:4">
      <c r="A671" s="359" t="s">
        <v>403</v>
      </c>
      <c r="B671" s="359" t="s">
        <v>404</v>
      </c>
      <c r="C671" s="89">
        <v>43490</v>
      </c>
      <c r="D671" s="40">
        <v>790</v>
      </c>
    </row>
    <row r="672" spans="1:4">
      <c r="A672" s="359" t="s">
        <v>324</v>
      </c>
      <c r="B672" s="359" t="s">
        <v>325</v>
      </c>
      <c r="C672" s="89">
        <v>43490</v>
      </c>
      <c r="D672" s="40">
        <v>500</v>
      </c>
    </row>
    <row r="673" spans="1:5">
      <c r="A673" s="359" t="s">
        <v>324</v>
      </c>
      <c r="B673" s="359" t="s">
        <v>325</v>
      </c>
      <c r="C673" s="89">
        <v>43490</v>
      </c>
      <c r="D673" s="40">
        <v>880</v>
      </c>
    </row>
    <row r="674" spans="1:5">
      <c r="A674" s="359" t="s">
        <v>324</v>
      </c>
      <c r="B674" s="359" t="s">
        <v>325</v>
      </c>
      <c r="C674" s="89">
        <v>43490</v>
      </c>
      <c r="D674" s="40">
        <v>1000</v>
      </c>
    </row>
    <row r="675" spans="1:5">
      <c r="A675" s="359" t="s">
        <v>1111</v>
      </c>
      <c r="B675" s="359" t="s">
        <v>600</v>
      </c>
      <c r="C675" s="89">
        <v>43490</v>
      </c>
      <c r="D675" s="40">
        <v>1709.8209999999999</v>
      </c>
    </row>
    <row r="676" spans="1:5">
      <c r="A676" s="359" t="s">
        <v>380</v>
      </c>
      <c r="B676" s="359" t="s">
        <v>381</v>
      </c>
      <c r="C676" s="89">
        <v>43490</v>
      </c>
      <c r="D676" s="40">
        <v>780</v>
      </c>
      <c r="E676" s="558"/>
    </row>
    <row r="677" spans="1:5">
      <c r="A677" s="359" t="s">
        <v>335</v>
      </c>
      <c r="B677" s="359" t="s">
        <v>336</v>
      </c>
      <c r="C677" s="89">
        <v>43490</v>
      </c>
      <c r="D677" s="40">
        <v>3576</v>
      </c>
    </row>
    <row r="678" spans="1:5">
      <c r="A678" s="359" t="s">
        <v>335</v>
      </c>
      <c r="B678" s="359" t="s">
        <v>336</v>
      </c>
      <c r="C678" s="89">
        <v>43490</v>
      </c>
      <c r="D678" s="40">
        <v>350</v>
      </c>
    </row>
    <row r="679" spans="1:5">
      <c r="A679" s="359" t="s">
        <v>341</v>
      </c>
      <c r="B679" s="359" t="s">
        <v>342</v>
      </c>
      <c r="C679" s="89">
        <v>43490</v>
      </c>
      <c r="D679" s="40">
        <v>2300</v>
      </c>
    </row>
    <row r="680" spans="1:5">
      <c r="A680" s="359" t="s">
        <v>386</v>
      </c>
      <c r="B680" s="359" t="s">
        <v>387</v>
      </c>
      <c r="C680" s="89">
        <v>43490</v>
      </c>
      <c r="D680" s="40">
        <v>2500</v>
      </c>
    </row>
    <row r="681" spans="1:5">
      <c r="A681" s="359" t="s">
        <v>343</v>
      </c>
      <c r="B681" s="359" t="s">
        <v>344</v>
      </c>
      <c r="C681" s="89">
        <v>43490</v>
      </c>
      <c r="D681" s="40">
        <v>1037.9760000000001</v>
      </c>
    </row>
    <row r="682" spans="1:5">
      <c r="A682" s="359" t="s">
        <v>349</v>
      </c>
      <c r="B682" s="359" t="s">
        <v>350</v>
      </c>
      <c r="C682" s="89">
        <v>43490</v>
      </c>
      <c r="D682" s="40">
        <v>4200</v>
      </c>
    </row>
    <row r="683" spans="1:5">
      <c r="A683" s="359" t="s">
        <v>482</v>
      </c>
      <c r="B683" s="359" t="s">
        <v>483</v>
      </c>
      <c r="C683" s="89">
        <v>43490</v>
      </c>
      <c r="D683" s="40">
        <v>838.28300000000002</v>
      </c>
    </row>
    <row r="684" spans="1:5">
      <c r="A684" s="359" t="s">
        <v>461</v>
      </c>
      <c r="B684" s="359" t="s">
        <v>410</v>
      </c>
      <c r="C684" s="89">
        <v>43490</v>
      </c>
      <c r="D684" s="40">
        <v>2633.4650000000001</v>
      </c>
    </row>
    <row r="685" spans="1:5">
      <c r="A685" s="359" t="s">
        <v>671</v>
      </c>
      <c r="B685" s="359" t="s">
        <v>573</v>
      </c>
      <c r="C685" s="89">
        <v>43490</v>
      </c>
      <c r="D685" s="40">
        <v>1522.1079999999999</v>
      </c>
    </row>
    <row r="686" spans="1:5">
      <c r="A686" s="359" t="s">
        <v>283</v>
      </c>
      <c r="B686" s="359" t="s">
        <v>284</v>
      </c>
      <c r="C686" s="89">
        <v>43490</v>
      </c>
      <c r="D686" s="40">
        <v>2500</v>
      </c>
    </row>
    <row r="687" spans="1:5">
      <c r="A687" s="359" t="s">
        <v>767</v>
      </c>
      <c r="B687" s="359" t="s">
        <v>768</v>
      </c>
      <c r="C687" s="89">
        <v>43490</v>
      </c>
      <c r="D687" s="40">
        <v>3000</v>
      </c>
    </row>
    <row r="688" spans="1:5">
      <c r="A688" s="359" t="s">
        <v>355</v>
      </c>
      <c r="B688" s="359" t="s">
        <v>356</v>
      </c>
      <c r="C688" s="89">
        <v>43490</v>
      </c>
      <c r="D688" s="40">
        <v>925</v>
      </c>
    </row>
    <row r="689" spans="1:4">
      <c r="A689" s="359" t="s">
        <v>591</v>
      </c>
      <c r="B689" s="359" t="s">
        <v>592</v>
      </c>
      <c r="C689" s="89">
        <v>43491</v>
      </c>
      <c r="D689" s="40">
        <v>1745.5129999999999</v>
      </c>
    </row>
    <row r="690" spans="1:4">
      <c r="A690" s="359" t="s">
        <v>939</v>
      </c>
      <c r="B690" s="359" t="s">
        <v>361</v>
      </c>
      <c r="C690" s="89">
        <v>43491</v>
      </c>
      <c r="D690" s="40">
        <v>1764.913</v>
      </c>
    </row>
    <row r="691" spans="1:4">
      <c r="A691" s="359" t="s">
        <v>459</v>
      </c>
      <c r="B691" s="359" t="s">
        <v>460</v>
      </c>
      <c r="C691" s="89">
        <v>43491</v>
      </c>
      <c r="D691" s="40">
        <v>1695.403</v>
      </c>
    </row>
    <row r="692" spans="1:4">
      <c r="A692" s="359" t="s">
        <v>576</v>
      </c>
      <c r="B692" s="359" t="s">
        <v>577</v>
      </c>
      <c r="C692" s="89">
        <v>43491</v>
      </c>
      <c r="D692" s="40">
        <v>560.59100000000001</v>
      </c>
    </row>
    <row r="693" spans="1:4">
      <c r="A693" s="359" t="s">
        <v>305</v>
      </c>
      <c r="B693" s="359" t="s">
        <v>306</v>
      </c>
      <c r="C693" s="89">
        <v>43491</v>
      </c>
      <c r="D693" s="40">
        <v>832.81500000000005</v>
      </c>
    </row>
    <row r="694" spans="1:4">
      <c r="A694" s="359" t="s">
        <v>394</v>
      </c>
      <c r="B694" s="359" t="s">
        <v>395</v>
      </c>
      <c r="C694" s="89">
        <v>43491</v>
      </c>
      <c r="D694" s="40">
        <v>2500</v>
      </c>
    </row>
    <row r="695" spans="1:4">
      <c r="A695" s="359" t="s">
        <v>589</v>
      </c>
      <c r="B695" s="359" t="s">
        <v>360</v>
      </c>
      <c r="C695" s="89">
        <v>43492</v>
      </c>
      <c r="D695" s="40">
        <v>1006.104</v>
      </c>
    </row>
    <row r="696" spans="1:4">
      <c r="A696" s="359" t="s">
        <v>403</v>
      </c>
      <c r="B696" s="359" t="s">
        <v>404</v>
      </c>
      <c r="C696" s="89">
        <v>43492</v>
      </c>
      <c r="D696" s="40">
        <v>785</v>
      </c>
    </row>
    <row r="697" spans="1:4">
      <c r="A697" s="359" t="s">
        <v>281</v>
      </c>
      <c r="B697" s="359" t="s">
        <v>282</v>
      </c>
      <c r="C697" s="89">
        <v>43492</v>
      </c>
      <c r="D697" s="40">
        <v>1900</v>
      </c>
    </row>
    <row r="698" spans="1:4">
      <c r="A698" s="359" t="s">
        <v>416</v>
      </c>
      <c r="B698" s="359" t="s">
        <v>417</v>
      </c>
      <c r="C698" s="89">
        <v>43492</v>
      </c>
      <c r="D698" s="40">
        <v>1100</v>
      </c>
    </row>
    <row r="699" spans="1:4">
      <c r="A699" s="359" t="s">
        <v>652</v>
      </c>
      <c r="B699" s="359" t="s">
        <v>653</v>
      </c>
      <c r="C699" s="89">
        <v>43492</v>
      </c>
      <c r="D699" s="40">
        <v>940.61099999999999</v>
      </c>
    </row>
    <row r="700" spans="1:4">
      <c r="A700" s="359" t="s">
        <v>418</v>
      </c>
      <c r="B700" s="359" t="s">
        <v>419</v>
      </c>
      <c r="C700" s="89">
        <v>43492</v>
      </c>
      <c r="D700" s="40">
        <v>16857.89</v>
      </c>
    </row>
    <row r="701" spans="1:4">
      <c r="A701" s="359" t="s">
        <v>1468</v>
      </c>
      <c r="B701" s="359" t="s">
        <v>366</v>
      </c>
      <c r="C701" s="89">
        <v>43493</v>
      </c>
      <c r="D701" s="40">
        <v>722.09</v>
      </c>
    </row>
    <row r="702" spans="1:4">
      <c r="A702" s="359" t="s">
        <v>382</v>
      </c>
      <c r="B702" s="359" t="s">
        <v>383</v>
      </c>
      <c r="C702" s="89">
        <v>43493</v>
      </c>
      <c r="D702" s="40">
        <v>2080.0010000000002</v>
      </c>
    </row>
    <row r="703" spans="1:4">
      <c r="A703" s="359" t="s">
        <v>611</v>
      </c>
      <c r="B703" s="359" t="s">
        <v>612</v>
      </c>
      <c r="C703" s="89">
        <v>43493</v>
      </c>
      <c r="D703" s="40">
        <v>3357.375</v>
      </c>
    </row>
    <row r="704" spans="1:4">
      <c r="A704" s="359" t="s">
        <v>661</v>
      </c>
      <c r="B704" s="359" t="s">
        <v>662</v>
      </c>
      <c r="C704" s="89">
        <v>43493</v>
      </c>
      <c r="D704" s="40">
        <v>2385.674</v>
      </c>
    </row>
    <row r="705" spans="1:4">
      <c r="A705" s="359" t="s">
        <v>303</v>
      </c>
      <c r="B705" s="359" t="s">
        <v>304</v>
      </c>
      <c r="C705" s="89">
        <v>43493</v>
      </c>
      <c r="D705" s="40">
        <v>594.19299999999998</v>
      </c>
    </row>
    <row r="706" spans="1:4">
      <c r="A706" s="359" t="s">
        <v>303</v>
      </c>
      <c r="B706" s="359" t="s">
        <v>304</v>
      </c>
      <c r="C706" s="89">
        <v>43493</v>
      </c>
      <c r="D706" s="40">
        <v>970.45799999999997</v>
      </c>
    </row>
    <row r="707" spans="1:4">
      <c r="A707" s="359" t="s">
        <v>286</v>
      </c>
      <c r="B707" s="359" t="s">
        <v>287</v>
      </c>
      <c r="C707" s="89">
        <v>43493</v>
      </c>
      <c r="D707" s="40">
        <v>2000</v>
      </c>
    </row>
    <row r="708" spans="1:4">
      <c r="A708" s="359" t="s">
        <v>1615</v>
      </c>
      <c r="B708" s="359" t="s">
        <v>733</v>
      </c>
      <c r="C708" s="89">
        <v>43494</v>
      </c>
      <c r="D708" s="40">
        <v>2857.5459999999998</v>
      </c>
    </row>
    <row r="709" spans="1:4">
      <c r="A709" s="359" t="s">
        <v>403</v>
      </c>
      <c r="B709" s="359" t="s">
        <v>404</v>
      </c>
      <c r="C709" s="89">
        <v>43494</v>
      </c>
      <c r="D709" s="40">
        <v>780</v>
      </c>
    </row>
    <row r="710" spans="1:4">
      <c r="A710" s="359" t="s">
        <v>590</v>
      </c>
      <c r="B710" s="359" t="s">
        <v>323</v>
      </c>
      <c r="C710" s="89">
        <v>43494</v>
      </c>
      <c r="D710" s="40">
        <v>1625.7139999999999</v>
      </c>
    </row>
    <row r="711" spans="1:4">
      <c r="A711" s="359" t="s">
        <v>362</v>
      </c>
      <c r="B711" s="359" t="s">
        <v>363</v>
      </c>
      <c r="C711" s="89">
        <v>43494</v>
      </c>
      <c r="D711" s="40">
        <v>1210</v>
      </c>
    </row>
    <row r="712" spans="1:4">
      <c r="A712" s="359" t="s">
        <v>425</v>
      </c>
      <c r="B712" s="359" t="s">
        <v>426</v>
      </c>
      <c r="C712" s="89">
        <v>43494</v>
      </c>
      <c r="D712" s="40">
        <v>2500</v>
      </c>
    </row>
    <row r="713" spans="1:4">
      <c r="A713" s="359" t="s">
        <v>1339</v>
      </c>
      <c r="B713" s="359" t="s">
        <v>346</v>
      </c>
      <c r="C713" s="89">
        <v>43494</v>
      </c>
      <c r="D713" s="40">
        <v>651.9</v>
      </c>
    </row>
    <row r="714" spans="1:4">
      <c r="A714" s="359" t="s">
        <v>1225</v>
      </c>
      <c r="B714" s="359" t="s">
        <v>493</v>
      </c>
      <c r="C714" s="89">
        <v>43495</v>
      </c>
      <c r="D714" s="40">
        <v>2036.6310000000001</v>
      </c>
    </row>
    <row r="715" spans="1:4">
      <c r="A715" s="359" t="s">
        <v>684</v>
      </c>
      <c r="B715" s="359" t="s">
        <v>432</v>
      </c>
      <c r="C715" s="89">
        <v>43495</v>
      </c>
      <c r="D715" s="40">
        <v>228.57400000000001</v>
      </c>
    </row>
    <row r="716" spans="1:4">
      <c r="A716" s="359" t="s">
        <v>1380</v>
      </c>
      <c r="B716" s="359" t="s">
        <v>625</v>
      </c>
      <c r="C716" s="89">
        <v>43495</v>
      </c>
      <c r="D716" s="40">
        <v>1258.345</v>
      </c>
    </row>
    <row r="717" spans="1:4">
      <c r="A717" s="359" t="s">
        <v>561</v>
      </c>
      <c r="B717" s="359" t="s">
        <v>562</v>
      </c>
      <c r="C717" s="89">
        <v>43495</v>
      </c>
      <c r="D717" s="40">
        <v>2132.723</v>
      </c>
    </row>
    <row r="718" spans="1:4">
      <c r="A718" s="359" t="s">
        <v>1352</v>
      </c>
      <c r="B718" s="359" t="s">
        <v>1351</v>
      </c>
      <c r="C718" s="89">
        <v>43495</v>
      </c>
      <c r="D718" s="40">
        <v>714.29399999999998</v>
      </c>
    </row>
    <row r="719" spans="1:4">
      <c r="A719" s="359" t="s">
        <v>1456</v>
      </c>
      <c r="B719" s="359" t="s">
        <v>501</v>
      </c>
      <c r="C719" s="89">
        <v>43495</v>
      </c>
      <c r="D719" s="40">
        <v>2978.3820000000001</v>
      </c>
    </row>
    <row r="720" spans="1:4">
      <c r="A720" s="359" t="s">
        <v>1199</v>
      </c>
      <c r="B720" s="359" t="s">
        <v>312</v>
      </c>
      <c r="C720" s="89">
        <v>43495</v>
      </c>
      <c r="D720" s="40">
        <v>1723.134</v>
      </c>
    </row>
    <row r="721" spans="1:4">
      <c r="A721" s="359" t="s">
        <v>315</v>
      </c>
      <c r="B721" s="359" t="s">
        <v>314</v>
      </c>
      <c r="C721" s="89">
        <v>43495</v>
      </c>
      <c r="D721" s="40">
        <v>4448.9840000000004</v>
      </c>
    </row>
    <row r="722" spans="1:4">
      <c r="A722" s="359" t="s">
        <v>315</v>
      </c>
      <c r="B722" s="359" t="s">
        <v>314</v>
      </c>
      <c r="C722" s="89">
        <v>43495</v>
      </c>
      <c r="D722" s="40">
        <v>3614.511</v>
      </c>
    </row>
    <row r="723" spans="1:4">
      <c r="A723" s="359" t="s">
        <v>421</v>
      </c>
      <c r="B723" s="359" t="s">
        <v>422</v>
      </c>
      <c r="C723" s="89">
        <v>43495</v>
      </c>
      <c r="D723" s="40">
        <v>2960.2530000000002</v>
      </c>
    </row>
    <row r="724" spans="1:4">
      <c r="A724" s="359" t="s">
        <v>631</v>
      </c>
      <c r="B724" s="359" t="s">
        <v>316</v>
      </c>
      <c r="C724" s="89">
        <v>43495</v>
      </c>
      <c r="D724" s="40">
        <v>1738.18</v>
      </c>
    </row>
    <row r="725" spans="1:4">
      <c r="A725" s="359" t="s">
        <v>1455</v>
      </c>
      <c r="B725" s="359" t="s">
        <v>633</v>
      </c>
      <c r="C725" s="89">
        <v>43495</v>
      </c>
      <c r="D725" s="40">
        <v>3867.1149999999998</v>
      </c>
    </row>
    <row r="726" spans="1:4">
      <c r="A726" s="359" t="s">
        <v>1202</v>
      </c>
      <c r="B726" s="359" t="s">
        <v>1056</v>
      </c>
      <c r="C726" s="89">
        <v>43495</v>
      </c>
      <c r="D726" s="40">
        <v>1728.57</v>
      </c>
    </row>
    <row r="727" spans="1:4">
      <c r="A727" s="359" t="s">
        <v>1122</v>
      </c>
      <c r="B727" s="359" t="s">
        <v>423</v>
      </c>
      <c r="C727" s="89">
        <v>43495</v>
      </c>
      <c r="D727" s="40">
        <v>1378.9949999999999</v>
      </c>
    </row>
    <row r="728" spans="1:4">
      <c r="A728" s="359" t="s">
        <v>1379</v>
      </c>
      <c r="B728" s="359" t="s">
        <v>1454</v>
      </c>
      <c r="C728" s="89">
        <v>43495</v>
      </c>
      <c r="D728" s="40">
        <v>1348.5609999999999</v>
      </c>
    </row>
    <row r="729" spans="1:4">
      <c r="A729" s="359" t="s">
        <v>599</v>
      </c>
      <c r="B729" s="359" t="s">
        <v>320</v>
      </c>
      <c r="C729" s="89">
        <v>43495</v>
      </c>
      <c r="D729" s="40">
        <v>3727</v>
      </c>
    </row>
    <row r="730" spans="1:4">
      <c r="A730" s="359" t="s">
        <v>1350</v>
      </c>
      <c r="B730" s="359" t="s">
        <v>1349</v>
      </c>
      <c r="C730" s="89">
        <v>43495</v>
      </c>
      <c r="D730" s="40">
        <v>6792.6930000000002</v>
      </c>
    </row>
    <row r="731" spans="1:4">
      <c r="A731" s="359" t="s">
        <v>377</v>
      </c>
      <c r="B731" s="359" t="s">
        <v>325</v>
      </c>
      <c r="C731" s="89">
        <v>43495</v>
      </c>
      <c r="D731" s="40">
        <v>650</v>
      </c>
    </row>
    <row r="732" spans="1:4">
      <c r="A732" s="359" t="s">
        <v>769</v>
      </c>
      <c r="B732" s="359" t="s">
        <v>378</v>
      </c>
      <c r="C732" s="89">
        <v>43495</v>
      </c>
      <c r="D732" s="40">
        <v>1564.5029999999999</v>
      </c>
    </row>
    <row r="733" spans="1:4">
      <c r="A733" s="359" t="s">
        <v>649</v>
      </c>
      <c r="B733" s="359" t="s">
        <v>650</v>
      </c>
      <c r="C733" s="89">
        <v>43495</v>
      </c>
      <c r="D733" s="40">
        <v>1905.3620000000001</v>
      </c>
    </row>
    <row r="734" spans="1:4">
      <c r="A734" s="359" t="s">
        <v>651</v>
      </c>
      <c r="B734" s="359" t="s">
        <v>451</v>
      </c>
      <c r="C734" s="89">
        <v>43495</v>
      </c>
      <c r="D734" s="40">
        <v>2068.9810000000002</v>
      </c>
    </row>
    <row r="735" spans="1:4">
      <c r="A735" s="359" t="s">
        <v>1179</v>
      </c>
      <c r="B735" s="359" t="s">
        <v>453</v>
      </c>
      <c r="C735" s="89">
        <v>43495</v>
      </c>
      <c r="D735" s="40">
        <v>1847.7940000000001</v>
      </c>
    </row>
    <row r="736" spans="1:4">
      <c r="A736" s="359" t="s">
        <v>572</v>
      </c>
      <c r="B736" s="359" t="s">
        <v>531</v>
      </c>
      <c r="C736" s="89">
        <v>43495</v>
      </c>
      <c r="D736" s="40">
        <v>5264.308</v>
      </c>
    </row>
    <row r="737" spans="1:5">
      <c r="A737" s="359" t="s">
        <v>1235</v>
      </c>
      <c r="B737" s="359" t="s">
        <v>1109</v>
      </c>
      <c r="C737" s="89">
        <v>43495</v>
      </c>
      <c r="D737" s="40">
        <v>1074.5650000000001</v>
      </c>
    </row>
    <row r="738" spans="1:5">
      <c r="A738" s="359" t="s">
        <v>972</v>
      </c>
      <c r="B738" s="359" t="s">
        <v>1055</v>
      </c>
      <c r="C738" s="89">
        <v>43495</v>
      </c>
      <c r="D738" s="40">
        <v>550</v>
      </c>
    </row>
    <row r="739" spans="1:5" s="558" customFormat="1">
      <c r="A739" s="359" t="s">
        <v>472</v>
      </c>
      <c r="B739" s="359" t="s">
        <v>473</v>
      </c>
      <c r="C739" s="89">
        <v>43495</v>
      </c>
      <c r="D739" s="40">
        <v>775.17100000000005</v>
      </c>
      <c r="E739" s="359"/>
    </row>
    <row r="740" spans="1:5">
      <c r="A740" s="359" t="s">
        <v>474</v>
      </c>
      <c r="B740" s="359" t="s">
        <v>475</v>
      </c>
      <c r="C740" s="89">
        <v>43495</v>
      </c>
      <c r="D740" s="40">
        <v>1944.7840000000001</v>
      </c>
    </row>
    <row r="741" spans="1:5">
      <c r="A741" s="359" t="s">
        <v>474</v>
      </c>
      <c r="B741" s="359" t="s">
        <v>475</v>
      </c>
      <c r="C741" s="89">
        <v>43495</v>
      </c>
      <c r="D741" s="40">
        <v>2065.7860000000001</v>
      </c>
    </row>
    <row r="742" spans="1:5">
      <c r="A742" s="359" t="s">
        <v>384</v>
      </c>
      <c r="B742" s="359" t="s">
        <v>385</v>
      </c>
      <c r="C742" s="89">
        <v>43495</v>
      </c>
      <c r="D742" s="40">
        <v>867.51499999999999</v>
      </c>
    </row>
    <row r="743" spans="1:5">
      <c r="A743" s="359" t="s">
        <v>559</v>
      </c>
      <c r="B743" s="359" t="s">
        <v>560</v>
      </c>
      <c r="C743" s="89">
        <v>43495</v>
      </c>
      <c r="D743" s="40">
        <v>1500</v>
      </c>
    </row>
    <row r="744" spans="1:5">
      <c r="A744" s="359" t="s">
        <v>476</v>
      </c>
      <c r="B744" s="359" t="s">
        <v>477</v>
      </c>
      <c r="C744" s="89">
        <v>43495</v>
      </c>
      <c r="D744" s="40">
        <v>604.85199999999998</v>
      </c>
    </row>
    <row r="745" spans="1:5">
      <c r="A745" s="359" t="s">
        <v>578</v>
      </c>
      <c r="B745" s="359" t="s">
        <v>579</v>
      </c>
      <c r="C745" s="89">
        <v>43495</v>
      </c>
      <c r="D745" s="40">
        <v>2318.0720000000001</v>
      </c>
    </row>
    <row r="746" spans="1:5">
      <c r="A746" s="359" t="s">
        <v>341</v>
      </c>
      <c r="B746" s="359" t="s">
        <v>342</v>
      </c>
      <c r="C746" s="89">
        <v>43495</v>
      </c>
      <c r="D746" s="40">
        <v>2053.8020000000001</v>
      </c>
    </row>
    <row r="747" spans="1:5">
      <c r="A747" s="359" t="s">
        <v>478</v>
      </c>
      <c r="B747" s="359" t="s">
        <v>479</v>
      </c>
      <c r="C747" s="89">
        <v>43495</v>
      </c>
      <c r="D747" s="40">
        <v>4500</v>
      </c>
    </row>
    <row r="748" spans="1:5">
      <c r="A748" s="359" t="s">
        <v>386</v>
      </c>
      <c r="B748" s="359" t="s">
        <v>387</v>
      </c>
      <c r="C748" s="89">
        <v>43495</v>
      </c>
      <c r="D748" s="40">
        <v>2585.4389999999999</v>
      </c>
    </row>
    <row r="749" spans="1:5">
      <c r="A749" s="359" t="s">
        <v>1448</v>
      </c>
      <c r="B749" s="359" t="s">
        <v>1447</v>
      </c>
      <c r="C749" s="89">
        <v>43495</v>
      </c>
      <c r="D749" s="40">
        <v>600.33100000000002</v>
      </c>
    </row>
    <row r="750" spans="1:5">
      <c r="A750" s="359" t="s">
        <v>286</v>
      </c>
      <c r="B750" s="359" t="s">
        <v>287</v>
      </c>
      <c r="C750" s="89">
        <v>43495</v>
      </c>
      <c r="D750" s="40">
        <v>1500</v>
      </c>
    </row>
    <row r="751" spans="1:5">
      <c r="A751" s="359" t="s">
        <v>1446</v>
      </c>
      <c r="B751" s="359" t="s">
        <v>1054</v>
      </c>
      <c r="C751" s="89">
        <v>43495</v>
      </c>
      <c r="D751" s="40">
        <v>914.04399999999998</v>
      </c>
    </row>
    <row r="752" spans="1:5">
      <c r="A752" s="359" t="s">
        <v>583</v>
      </c>
      <c r="B752" s="359" t="s">
        <v>584</v>
      </c>
      <c r="C752" s="89">
        <v>43495</v>
      </c>
      <c r="D752" s="40">
        <v>5000</v>
      </c>
    </row>
    <row r="753" spans="1:5">
      <c r="A753" s="359" t="s">
        <v>1106</v>
      </c>
      <c r="B753" s="359" t="s">
        <v>1105</v>
      </c>
      <c r="C753" s="89">
        <v>43495</v>
      </c>
      <c r="D753" s="40">
        <v>11930.088</v>
      </c>
    </row>
    <row r="754" spans="1:5">
      <c r="A754" s="359" t="s">
        <v>463</v>
      </c>
      <c r="B754" s="359" t="s">
        <v>464</v>
      </c>
      <c r="C754" s="89">
        <v>43495</v>
      </c>
      <c r="D754" s="40">
        <v>8195.3690000000006</v>
      </c>
    </row>
    <row r="755" spans="1:5" s="558" customFormat="1">
      <c r="A755" s="359" t="s">
        <v>463</v>
      </c>
      <c r="B755" s="359" t="s">
        <v>464</v>
      </c>
      <c r="C755" s="89">
        <v>43495</v>
      </c>
      <c r="D755" s="40">
        <v>8509.2000000000007</v>
      </c>
      <c r="E755" s="359"/>
    </row>
    <row r="756" spans="1:5">
      <c r="A756" s="359" t="s">
        <v>735</v>
      </c>
      <c r="B756" s="359" t="s">
        <v>465</v>
      </c>
      <c r="C756" s="89">
        <v>43495</v>
      </c>
      <c r="D756" s="40">
        <v>8249.5920000000006</v>
      </c>
    </row>
    <row r="757" spans="1:5" s="558" customFormat="1">
      <c r="A757" s="359" t="s">
        <v>735</v>
      </c>
      <c r="B757" s="359" t="s">
        <v>465</v>
      </c>
      <c r="C757" s="89">
        <v>43495</v>
      </c>
      <c r="D757" s="40">
        <v>2306.7379999999998</v>
      </c>
      <c r="E757" s="359"/>
    </row>
    <row r="758" spans="1:5">
      <c r="A758" s="359" t="s">
        <v>485</v>
      </c>
      <c r="B758" s="359" t="s">
        <v>486</v>
      </c>
      <c r="C758" s="89">
        <v>43495</v>
      </c>
      <c r="D758" s="40">
        <v>1774.4649999999999</v>
      </c>
    </row>
    <row r="759" spans="1:5" s="558" customFormat="1">
      <c r="A759" s="359" t="s">
        <v>1452</v>
      </c>
      <c r="B759" s="359" t="s">
        <v>1451</v>
      </c>
      <c r="C759" s="89">
        <v>43495</v>
      </c>
      <c r="D759" s="40">
        <v>3627.9850000000001</v>
      </c>
      <c r="E759" s="359"/>
    </row>
    <row r="760" spans="1:5">
      <c r="A760" s="359" t="s">
        <v>1450</v>
      </c>
      <c r="B760" s="359" t="s">
        <v>1449</v>
      </c>
      <c r="C760" s="89">
        <v>43495</v>
      </c>
      <c r="D760" s="40">
        <v>2028.17</v>
      </c>
    </row>
    <row r="761" spans="1:5">
      <c r="A761" s="359" t="s">
        <v>487</v>
      </c>
      <c r="B761" s="359" t="s">
        <v>488</v>
      </c>
      <c r="C761" s="89">
        <v>43495</v>
      </c>
      <c r="D761" s="40">
        <v>2366.0219999999999</v>
      </c>
    </row>
    <row r="762" spans="1:5">
      <c r="A762" s="359" t="s">
        <v>489</v>
      </c>
      <c r="B762" s="359" t="s">
        <v>490</v>
      </c>
      <c r="C762" s="89">
        <v>43495</v>
      </c>
      <c r="D762" s="40">
        <v>2026</v>
      </c>
    </row>
    <row r="763" spans="1:5">
      <c r="A763" s="359" t="s">
        <v>388</v>
      </c>
      <c r="B763" s="359" t="s">
        <v>389</v>
      </c>
      <c r="C763" s="89">
        <v>43495</v>
      </c>
      <c r="D763" s="40">
        <v>627.37300000000005</v>
      </c>
    </row>
    <row r="764" spans="1:5">
      <c r="A764" s="359" t="s">
        <v>491</v>
      </c>
      <c r="B764" s="359" t="s">
        <v>492</v>
      </c>
      <c r="C764" s="89">
        <v>43495</v>
      </c>
      <c r="D764" s="40">
        <v>4176.0249999999996</v>
      </c>
    </row>
    <row r="765" spans="1:5">
      <c r="A765" s="359" t="s">
        <v>623</v>
      </c>
      <c r="B765" s="359" t="s">
        <v>624</v>
      </c>
      <c r="C765" s="89">
        <v>43496</v>
      </c>
      <c r="D765" s="40">
        <v>1613.9</v>
      </c>
    </row>
    <row r="766" spans="1:5">
      <c r="A766" s="359" t="s">
        <v>1130</v>
      </c>
      <c r="B766" s="359" t="s">
        <v>431</v>
      </c>
      <c r="C766" s="89">
        <v>43496</v>
      </c>
      <c r="D766" s="40">
        <v>951.74300000000005</v>
      </c>
    </row>
    <row r="767" spans="1:5">
      <c r="A767" s="359" t="s">
        <v>494</v>
      </c>
      <c r="B767" s="359" t="s">
        <v>495</v>
      </c>
      <c r="C767" s="89">
        <v>43496</v>
      </c>
      <c r="D767" s="40">
        <v>6330.7330000000002</v>
      </c>
    </row>
    <row r="768" spans="1:5">
      <c r="A768" s="359" t="s">
        <v>1113</v>
      </c>
      <c r="B768" s="359" t="s">
        <v>433</v>
      </c>
      <c r="C768" s="89">
        <v>43496</v>
      </c>
      <c r="D768" s="40">
        <v>1676.067</v>
      </c>
    </row>
    <row r="769" spans="1:5">
      <c r="A769" s="359" t="s">
        <v>1614</v>
      </c>
      <c r="B769" s="359" t="s">
        <v>1613</v>
      </c>
      <c r="C769" s="89">
        <v>43496</v>
      </c>
      <c r="D769" s="40">
        <v>727.69</v>
      </c>
    </row>
    <row r="770" spans="1:5">
      <c r="A770" s="359" t="s">
        <v>497</v>
      </c>
      <c r="B770" s="359" t="s">
        <v>498</v>
      </c>
      <c r="C770" s="89">
        <v>43496</v>
      </c>
      <c r="D770" s="40">
        <v>1487.7729999999999</v>
      </c>
      <c r="E770" s="558"/>
    </row>
    <row r="771" spans="1:5">
      <c r="A771" s="359" t="s">
        <v>1348</v>
      </c>
      <c r="B771" s="359" t="s">
        <v>626</v>
      </c>
      <c r="C771" s="89">
        <v>43496</v>
      </c>
      <c r="D771" s="40">
        <v>1544.7170000000001</v>
      </c>
    </row>
    <row r="772" spans="1:5">
      <c r="A772" s="359" t="s">
        <v>308</v>
      </c>
      <c r="B772" s="359" t="s">
        <v>309</v>
      </c>
      <c r="C772" s="89">
        <v>43496</v>
      </c>
      <c r="D772" s="40">
        <v>2369.627</v>
      </c>
    </row>
    <row r="773" spans="1:5">
      <c r="A773" s="359" t="s">
        <v>1471</v>
      </c>
      <c r="B773" s="359" t="s">
        <v>499</v>
      </c>
      <c r="C773" s="89">
        <v>43496</v>
      </c>
      <c r="D773" s="40">
        <v>2486.5639999999999</v>
      </c>
    </row>
    <row r="774" spans="1:5">
      <c r="A774" s="359" t="s">
        <v>357</v>
      </c>
      <c r="B774" s="359" t="s">
        <v>358</v>
      </c>
      <c r="C774" s="89">
        <v>43496</v>
      </c>
      <c r="D774" s="40">
        <v>446.35399999999998</v>
      </c>
    </row>
    <row r="775" spans="1:5">
      <c r="A775" s="359" t="s">
        <v>357</v>
      </c>
      <c r="B775" s="359" t="s">
        <v>358</v>
      </c>
      <c r="C775" s="89">
        <v>43496</v>
      </c>
      <c r="D775" s="40">
        <v>333.5</v>
      </c>
    </row>
    <row r="776" spans="1:5">
      <c r="A776" s="359" t="s">
        <v>1178</v>
      </c>
      <c r="B776" s="359" t="s">
        <v>627</v>
      </c>
      <c r="C776" s="89">
        <v>43496</v>
      </c>
      <c r="D776" s="40">
        <v>3414.0079999999998</v>
      </c>
    </row>
    <row r="777" spans="1:5">
      <c r="A777" s="359" t="s">
        <v>1023</v>
      </c>
      <c r="B777" s="359" t="s">
        <v>420</v>
      </c>
      <c r="C777" s="89">
        <v>43496</v>
      </c>
      <c r="D777" s="40">
        <v>1302.5999999999999</v>
      </c>
    </row>
    <row r="778" spans="1:5">
      <c r="A778" s="359" t="s">
        <v>679</v>
      </c>
      <c r="B778" s="359" t="s">
        <v>680</v>
      </c>
      <c r="C778" s="89">
        <v>43496</v>
      </c>
      <c r="D778" s="40">
        <v>4183.9679999999998</v>
      </c>
    </row>
    <row r="779" spans="1:5">
      <c r="A779" s="359" t="s">
        <v>1221</v>
      </c>
      <c r="B779" s="359" t="s">
        <v>429</v>
      </c>
      <c r="C779" s="89">
        <v>43496</v>
      </c>
      <c r="D779" s="40">
        <v>1250</v>
      </c>
    </row>
    <row r="780" spans="1:5">
      <c r="A780" s="359" t="s">
        <v>630</v>
      </c>
      <c r="B780" s="359" t="s">
        <v>502</v>
      </c>
      <c r="C780" s="89">
        <v>43496</v>
      </c>
      <c r="D780" s="40">
        <v>763.93399999999997</v>
      </c>
    </row>
    <row r="781" spans="1:5">
      <c r="A781" s="359" t="s">
        <v>772</v>
      </c>
      <c r="B781" s="359" t="s">
        <v>373</v>
      </c>
      <c r="C781" s="89">
        <v>43496</v>
      </c>
      <c r="D781" s="40">
        <v>2049.509</v>
      </c>
    </row>
    <row r="782" spans="1:5">
      <c r="A782" s="359" t="s">
        <v>288</v>
      </c>
      <c r="B782" s="359" t="s">
        <v>289</v>
      </c>
      <c r="C782" s="89">
        <v>43496</v>
      </c>
      <c r="D782" s="40">
        <v>6392.9350000000004</v>
      </c>
    </row>
    <row r="783" spans="1:5">
      <c r="A783" s="359" t="s">
        <v>439</v>
      </c>
      <c r="B783" s="359" t="s">
        <v>440</v>
      </c>
      <c r="C783" s="89">
        <v>43496</v>
      </c>
      <c r="D783" s="40">
        <v>1406.818</v>
      </c>
      <c r="E783" s="560"/>
    </row>
    <row r="784" spans="1:5">
      <c r="A784" s="359" t="s">
        <v>701</v>
      </c>
      <c r="B784" s="359" t="s">
        <v>564</v>
      </c>
      <c r="C784" s="89">
        <v>43496</v>
      </c>
      <c r="D784" s="40">
        <v>1000</v>
      </c>
    </row>
    <row r="785" spans="1:5">
      <c r="A785" s="359" t="s">
        <v>1453</v>
      </c>
      <c r="B785" s="359" t="s">
        <v>504</v>
      </c>
      <c r="C785" s="89">
        <v>43496</v>
      </c>
      <c r="D785" s="40">
        <v>1291.067</v>
      </c>
    </row>
    <row r="786" spans="1:5">
      <c r="A786" s="359" t="s">
        <v>1203</v>
      </c>
      <c r="B786" s="359" t="s">
        <v>933</v>
      </c>
      <c r="C786" s="89">
        <v>43496</v>
      </c>
      <c r="D786" s="40">
        <v>133.154</v>
      </c>
      <c r="E786" s="558"/>
    </row>
    <row r="787" spans="1:5">
      <c r="A787" s="359" t="s">
        <v>686</v>
      </c>
      <c r="B787" s="359" t="s">
        <v>687</v>
      </c>
      <c r="C787" s="89">
        <v>43496</v>
      </c>
      <c r="D787" s="40">
        <v>5054.8370000000004</v>
      </c>
    </row>
    <row r="788" spans="1:5">
      <c r="A788" s="359" t="s">
        <v>686</v>
      </c>
      <c r="B788" s="359" t="s">
        <v>687</v>
      </c>
      <c r="C788" s="89">
        <v>43496</v>
      </c>
      <c r="D788" s="40">
        <v>5925.2830000000004</v>
      </c>
      <c r="E788" s="558"/>
    </row>
    <row r="789" spans="1:5">
      <c r="A789" s="359" t="s">
        <v>1244</v>
      </c>
      <c r="B789" s="359" t="s">
        <v>1048</v>
      </c>
      <c r="C789" s="89">
        <v>43496</v>
      </c>
      <c r="D789" s="40">
        <v>536.36400000000003</v>
      </c>
    </row>
    <row r="790" spans="1:5">
      <c r="A790" s="359" t="s">
        <v>1219</v>
      </c>
      <c r="B790" s="359" t="s">
        <v>1245</v>
      </c>
      <c r="C790" s="89">
        <v>43496</v>
      </c>
      <c r="D790" s="40">
        <v>1068.806</v>
      </c>
      <c r="E790" s="558"/>
    </row>
    <row r="791" spans="1:5">
      <c r="A791" s="359" t="s">
        <v>759</v>
      </c>
      <c r="B791" s="359" t="s">
        <v>441</v>
      </c>
      <c r="C791" s="89">
        <v>43496</v>
      </c>
      <c r="D791" s="40">
        <v>1707.09</v>
      </c>
    </row>
    <row r="792" spans="1:5">
      <c r="A792" s="359" t="s">
        <v>634</v>
      </c>
      <c r="B792" s="359" t="s">
        <v>508</v>
      </c>
      <c r="C792" s="89">
        <v>43496</v>
      </c>
      <c r="D792" s="40">
        <v>1644.383</v>
      </c>
    </row>
    <row r="793" spans="1:5">
      <c r="A793" s="359" t="s">
        <v>509</v>
      </c>
      <c r="B793" s="359" t="s">
        <v>510</v>
      </c>
      <c r="C793" s="89">
        <v>43496</v>
      </c>
      <c r="D793" s="40">
        <v>3332.7489999999998</v>
      </c>
    </row>
    <row r="794" spans="1:5">
      <c r="A794" s="359" t="s">
        <v>1176</v>
      </c>
      <c r="B794" s="359" t="s">
        <v>375</v>
      </c>
      <c r="C794" s="89">
        <v>43496</v>
      </c>
      <c r="D794" s="40">
        <v>2024.5319999999999</v>
      </c>
    </row>
    <row r="795" spans="1:5">
      <c r="A795" s="359" t="s">
        <v>637</v>
      </c>
      <c r="B795" s="359" t="s">
        <v>638</v>
      </c>
      <c r="C795" s="89">
        <v>43496</v>
      </c>
      <c r="D795" s="40">
        <v>5474.05</v>
      </c>
    </row>
    <row r="796" spans="1:5">
      <c r="A796" s="359" t="s">
        <v>1212</v>
      </c>
      <c r="B796" s="359" t="s">
        <v>640</v>
      </c>
      <c r="C796" s="89">
        <v>43496</v>
      </c>
      <c r="D796" s="40">
        <v>2977.652</v>
      </c>
    </row>
    <row r="797" spans="1:5">
      <c r="A797" s="359" t="s">
        <v>1192</v>
      </c>
      <c r="B797" s="359" t="s">
        <v>445</v>
      </c>
      <c r="C797" s="89">
        <v>43496</v>
      </c>
      <c r="D797" s="40">
        <v>3635.0039999999999</v>
      </c>
    </row>
    <row r="798" spans="1:5">
      <c r="A798" s="359" t="s">
        <v>642</v>
      </c>
      <c r="B798" s="359" t="s">
        <v>515</v>
      </c>
      <c r="C798" s="89">
        <v>43496</v>
      </c>
      <c r="D798" s="40">
        <v>930.63300000000004</v>
      </c>
    </row>
    <row r="799" spans="1:5">
      <c r="A799" s="359" t="s">
        <v>403</v>
      </c>
      <c r="B799" s="359" t="s">
        <v>404</v>
      </c>
      <c r="C799" s="89">
        <v>43496</v>
      </c>
      <c r="D799" s="40">
        <v>775</v>
      </c>
    </row>
    <row r="800" spans="1:5">
      <c r="A800" s="359" t="s">
        <v>1469</v>
      </c>
      <c r="B800" s="359" t="s">
        <v>517</v>
      </c>
      <c r="C800" s="89">
        <v>43496</v>
      </c>
      <c r="D800" s="40">
        <v>7970.7730000000001</v>
      </c>
    </row>
    <row r="801" spans="1:4">
      <c r="A801" s="359" t="s">
        <v>737</v>
      </c>
      <c r="B801" s="359" t="s">
        <v>644</v>
      </c>
      <c r="C801" s="89">
        <v>43496</v>
      </c>
      <c r="D801" s="40">
        <v>2768.576</v>
      </c>
    </row>
    <row r="802" spans="1:4">
      <c r="A802" s="359" t="s">
        <v>742</v>
      </c>
      <c r="B802" s="359" t="s">
        <v>520</v>
      </c>
      <c r="C802" s="89">
        <v>43496</v>
      </c>
      <c r="D802" s="40">
        <v>1517.1659999999999</v>
      </c>
    </row>
    <row r="803" spans="1:4">
      <c r="A803" s="359" t="s">
        <v>957</v>
      </c>
      <c r="B803" s="359" t="s">
        <v>450</v>
      </c>
      <c r="C803" s="89">
        <v>43496</v>
      </c>
      <c r="D803" s="40">
        <v>2121.0360000000001</v>
      </c>
    </row>
    <row r="804" spans="1:4">
      <c r="A804" s="359" t="s">
        <v>1102</v>
      </c>
      <c r="B804" s="359" t="s">
        <v>1101</v>
      </c>
      <c r="C804" s="89">
        <v>43496</v>
      </c>
      <c r="D804" s="40">
        <v>375.77100000000002</v>
      </c>
    </row>
    <row r="805" spans="1:4">
      <c r="A805" s="359" t="s">
        <v>1127</v>
      </c>
      <c r="B805" s="359" t="s">
        <v>521</v>
      </c>
      <c r="C805" s="89">
        <v>43496</v>
      </c>
      <c r="D805" s="40">
        <v>4239.848</v>
      </c>
    </row>
    <row r="806" spans="1:4">
      <c r="A806" s="359" t="s">
        <v>761</v>
      </c>
      <c r="B806" s="359" t="s">
        <v>762</v>
      </c>
      <c r="C806" s="89">
        <v>43496</v>
      </c>
      <c r="D806" s="40">
        <v>857.52599999999995</v>
      </c>
    </row>
    <row r="807" spans="1:4">
      <c r="A807" s="359" t="s">
        <v>692</v>
      </c>
      <c r="B807" s="359" t="s">
        <v>522</v>
      </c>
      <c r="C807" s="89">
        <v>43496</v>
      </c>
      <c r="D807" s="40">
        <v>1178.1289999999999</v>
      </c>
    </row>
    <row r="808" spans="1:4">
      <c r="A808" s="359" t="s">
        <v>1217</v>
      </c>
      <c r="B808" s="359" t="s">
        <v>326</v>
      </c>
      <c r="C808" s="89">
        <v>43496</v>
      </c>
      <c r="D808" s="40">
        <v>2831.9940000000001</v>
      </c>
    </row>
    <row r="809" spans="1:4">
      <c r="A809" s="359" t="s">
        <v>1366</v>
      </c>
      <c r="B809" s="359" t="s">
        <v>1365</v>
      </c>
      <c r="C809" s="89">
        <v>43496</v>
      </c>
      <c r="D809" s="40">
        <v>3291.6010000000001</v>
      </c>
    </row>
    <row r="810" spans="1:4">
      <c r="A810" s="359" t="s">
        <v>406</v>
      </c>
      <c r="B810" s="359" t="s">
        <v>407</v>
      </c>
      <c r="C810" s="89">
        <v>43496</v>
      </c>
      <c r="D810" s="40">
        <v>2454.84</v>
      </c>
    </row>
    <row r="811" spans="1:4">
      <c r="A811" s="359" t="s">
        <v>523</v>
      </c>
      <c r="B811" s="359" t="s">
        <v>524</v>
      </c>
      <c r="C811" s="89">
        <v>43496</v>
      </c>
      <c r="D811" s="40">
        <v>2121.221</v>
      </c>
    </row>
    <row r="812" spans="1:4">
      <c r="A812" s="359" t="s">
        <v>525</v>
      </c>
      <c r="B812" s="359" t="s">
        <v>526</v>
      </c>
      <c r="C812" s="89">
        <v>43496</v>
      </c>
      <c r="D812" s="40">
        <v>6041.0039999999999</v>
      </c>
    </row>
    <row r="813" spans="1:4">
      <c r="A813" s="359" t="s">
        <v>327</v>
      </c>
      <c r="B813" s="359" t="s">
        <v>328</v>
      </c>
      <c r="C813" s="89">
        <v>43496</v>
      </c>
      <c r="D813" s="40">
        <v>1224.931</v>
      </c>
    </row>
    <row r="814" spans="1:4">
      <c r="A814" s="359" t="s">
        <v>327</v>
      </c>
      <c r="B814" s="359" t="s">
        <v>328</v>
      </c>
      <c r="C814" s="89">
        <v>43496</v>
      </c>
      <c r="D814" s="40">
        <v>999.7</v>
      </c>
    </row>
    <row r="815" spans="1:4">
      <c r="A815" s="359" t="s">
        <v>380</v>
      </c>
      <c r="B815" s="359" t="s">
        <v>381</v>
      </c>
      <c r="C815" s="89">
        <v>43496</v>
      </c>
      <c r="D815" s="40">
        <v>779.46600000000001</v>
      </c>
    </row>
    <row r="816" spans="1:4">
      <c r="A816" s="359" t="s">
        <v>329</v>
      </c>
      <c r="B816" s="359" t="s">
        <v>330</v>
      </c>
      <c r="C816" s="89">
        <v>43496</v>
      </c>
      <c r="D816" s="40">
        <v>1778.3620000000001</v>
      </c>
    </row>
    <row r="817" spans="1:4">
      <c r="A817" s="359" t="s">
        <v>601</v>
      </c>
      <c r="B817" s="359" t="s">
        <v>602</v>
      </c>
      <c r="C817" s="89">
        <v>43496</v>
      </c>
      <c r="D817" s="40">
        <v>4000</v>
      </c>
    </row>
    <row r="818" spans="1:4">
      <c r="A818" s="359" t="s">
        <v>364</v>
      </c>
      <c r="B818" s="359" t="s">
        <v>365</v>
      </c>
      <c r="C818" s="89">
        <v>43496</v>
      </c>
      <c r="D818" s="40">
        <v>4166.8440000000001</v>
      </c>
    </row>
    <row r="819" spans="1:4">
      <c r="A819" s="359" t="s">
        <v>455</v>
      </c>
      <c r="B819" s="359" t="s">
        <v>456</v>
      </c>
      <c r="C819" s="89">
        <v>43496</v>
      </c>
      <c r="D819" s="40">
        <v>260.05</v>
      </c>
    </row>
    <row r="820" spans="1:4">
      <c r="A820" s="359" t="s">
        <v>529</v>
      </c>
      <c r="B820" s="359" t="s">
        <v>530</v>
      </c>
      <c r="C820" s="89">
        <v>43496</v>
      </c>
      <c r="D820" s="40">
        <v>1047.3030000000001</v>
      </c>
    </row>
    <row r="821" spans="1:4">
      <c r="A821" s="359" t="s">
        <v>532</v>
      </c>
      <c r="B821" s="359" t="s">
        <v>533</v>
      </c>
      <c r="C821" s="89">
        <v>43496</v>
      </c>
      <c r="D821" s="40">
        <v>1699.857</v>
      </c>
    </row>
    <row r="822" spans="1:4">
      <c r="A822" s="359" t="s">
        <v>603</v>
      </c>
      <c r="B822" s="359" t="s">
        <v>604</v>
      </c>
      <c r="C822" s="89">
        <v>43496</v>
      </c>
      <c r="D822" s="40">
        <v>1655.029</v>
      </c>
    </row>
    <row r="823" spans="1:4">
      <c r="A823" s="359" t="s">
        <v>400</v>
      </c>
      <c r="B823" s="359" t="s">
        <v>401</v>
      </c>
      <c r="C823" s="89">
        <v>43496</v>
      </c>
      <c r="D823" s="40">
        <v>3862.203</v>
      </c>
    </row>
    <row r="824" spans="1:4">
      <c r="A824" s="359" t="s">
        <v>534</v>
      </c>
      <c r="B824" s="359" t="s">
        <v>535</v>
      </c>
      <c r="C824" s="89">
        <v>43496</v>
      </c>
      <c r="D824" s="40">
        <v>4899.067</v>
      </c>
    </row>
    <row r="825" spans="1:4">
      <c r="A825" s="359" t="s">
        <v>1116</v>
      </c>
      <c r="B825" s="359" t="s">
        <v>614</v>
      </c>
      <c r="C825" s="89">
        <v>43496</v>
      </c>
      <c r="D825" s="40">
        <v>4459.2950000000001</v>
      </c>
    </row>
    <row r="826" spans="1:4">
      <c r="A826" s="359" t="s">
        <v>605</v>
      </c>
      <c r="B826" s="359" t="s">
        <v>606</v>
      </c>
      <c r="C826" s="89">
        <v>43496</v>
      </c>
      <c r="D826" s="40">
        <v>2009.423</v>
      </c>
    </row>
    <row r="827" spans="1:4">
      <c r="A827" s="359" t="s">
        <v>339</v>
      </c>
      <c r="B827" s="359" t="s">
        <v>340</v>
      </c>
      <c r="C827" s="89">
        <v>43496</v>
      </c>
      <c r="D827" s="40">
        <v>1091.8440000000001</v>
      </c>
    </row>
    <row r="828" spans="1:4">
      <c r="A828" s="359" t="s">
        <v>370</v>
      </c>
      <c r="B828" s="359" t="s">
        <v>371</v>
      </c>
      <c r="C828" s="89">
        <v>43496</v>
      </c>
      <c r="D828" s="40">
        <v>289.32799999999997</v>
      </c>
    </row>
    <row r="829" spans="1:4">
      <c r="A829" s="359" t="s">
        <v>468</v>
      </c>
      <c r="B829" s="359" t="s">
        <v>469</v>
      </c>
      <c r="C829" s="89">
        <v>43496</v>
      </c>
      <c r="D829" s="40">
        <v>3137.5340000000001</v>
      </c>
    </row>
    <row r="830" spans="1:4">
      <c r="A830" s="359" t="s">
        <v>661</v>
      </c>
      <c r="B830" s="359" t="s">
        <v>662</v>
      </c>
      <c r="C830" s="89">
        <v>43496</v>
      </c>
      <c r="D830" s="40">
        <v>2385.674</v>
      </c>
    </row>
    <row r="831" spans="1:4">
      <c r="A831" s="359" t="s">
        <v>607</v>
      </c>
      <c r="B831" s="359" t="s">
        <v>608</v>
      </c>
      <c r="C831" s="89">
        <v>43496</v>
      </c>
      <c r="D831" s="40">
        <v>569.48800000000006</v>
      </c>
    </row>
    <row r="832" spans="1:4">
      <c r="A832" s="359" t="s">
        <v>1461</v>
      </c>
      <c r="B832" s="359" t="s">
        <v>1460</v>
      </c>
      <c r="C832" s="89">
        <v>43496</v>
      </c>
      <c r="D832" s="40">
        <v>1211.931</v>
      </c>
    </row>
    <row r="833" spans="1:4">
      <c r="A833" s="359" t="s">
        <v>345</v>
      </c>
      <c r="B833" s="359" t="s">
        <v>346</v>
      </c>
      <c r="C833" s="89">
        <v>43496</v>
      </c>
      <c r="D833" s="40">
        <v>866.79</v>
      </c>
    </row>
    <row r="834" spans="1:4">
      <c r="A834" s="359" t="s">
        <v>539</v>
      </c>
      <c r="B834" s="359" t="s">
        <v>540</v>
      </c>
      <c r="C834" s="89">
        <v>43496</v>
      </c>
      <c r="D834" s="40">
        <v>223.874</v>
      </c>
    </row>
    <row r="835" spans="1:4">
      <c r="A835" s="359" t="s">
        <v>1375</v>
      </c>
      <c r="B835" s="359" t="s">
        <v>350</v>
      </c>
      <c r="C835" s="89">
        <v>43496</v>
      </c>
      <c r="D835" s="40">
        <v>5611.07</v>
      </c>
    </row>
    <row r="836" spans="1:4">
      <c r="A836" s="359" t="s">
        <v>291</v>
      </c>
      <c r="B836" s="359" t="s">
        <v>292</v>
      </c>
      <c r="C836" s="89">
        <v>43496</v>
      </c>
      <c r="D836" s="40">
        <v>819.03800000000001</v>
      </c>
    </row>
    <row r="837" spans="1:4">
      <c r="A837" s="359" t="s">
        <v>541</v>
      </c>
      <c r="B837" s="359" t="s">
        <v>542</v>
      </c>
      <c r="C837" s="89">
        <v>43496</v>
      </c>
      <c r="D837" s="40">
        <v>703.71199999999999</v>
      </c>
    </row>
    <row r="838" spans="1:4">
      <c r="A838" s="359" t="s">
        <v>543</v>
      </c>
      <c r="B838" s="359" t="s">
        <v>544</v>
      </c>
      <c r="C838" s="89">
        <v>43496</v>
      </c>
      <c r="D838" s="40">
        <v>785.64400000000001</v>
      </c>
    </row>
    <row r="839" spans="1:4">
      <c r="A839" s="359" t="s">
        <v>482</v>
      </c>
      <c r="B839" s="359" t="s">
        <v>483</v>
      </c>
      <c r="C839" s="89">
        <v>43496</v>
      </c>
      <c r="D839" s="40">
        <v>838.28300000000002</v>
      </c>
    </row>
    <row r="840" spans="1:4">
      <c r="A840" s="359" t="s">
        <v>394</v>
      </c>
      <c r="B840" s="359" t="s">
        <v>395</v>
      </c>
      <c r="C840" s="89">
        <v>43496</v>
      </c>
      <c r="D840" s="40">
        <v>2408.3270000000002</v>
      </c>
    </row>
    <row r="841" spans="1:4">
      <c r="A841" s="359" t="s">
        <v>693</v>
      </c>
      <c r="B841" s="359" t="s">
        <v>609</v>
      </c>
      <c r="C841" s="89">
        <v>43496</v>
      </c>
      <c r="D841" s="40">
        <v>3457.8710000000001</v>
      </c>
    </row>
    <row r="842" spans="1:4">
      <c r="A842" s="359" t="s">
        <v>654</v>
      </c>
      <c r="B842" s="359" t="s">
        <v>655</v>
      </c>
      <c r="C842" s="89">
        <v>43496</v>
      </c>
      <c r="D842" s="40">
        <v>3767.9920000000002</v>
      </c>
    </row>
    <row r="843" spans="1:4">
      <c r="A843" s="359" t="s">
        <v>461</v>
      </c>
      <c r="B843" s="359" t="s">
        <v>410</v>
      </c>
      <c r="C843" s="89">
        <v>43496</v>
      </c>
      <c r="D843" s="40">
        <v>2400</v>
      </c>
    </row>
    <row r="844" spans="1:4">
      <c r="A844" s="359" t="s">
        <v>297</v>
      </c>
      <c r="B844" s="359" t="s">
        <v>298</v>
      </c>
      <c r="C844" s="89">
        <v>43496</v>
      </c>
      <c r="D844" s="40">
        <v>2979.0189999999998</v>
      </c>
    </row>
    <row r="845" spans="1:4">
      <c r="A845" s="359" t="s">
        <v>657</v>
      </c>
      <c r="B845" s="359" t="s">
        <v>658</v>
      </c>
      <c r="C845" s="89">
        <v>43496</v>
      </c>
      <c r="D845" s="40">
        <v>2710</v>
      </c>
    </row>
    <row r="846" spans="1:4">
      <c r="A846" s="359" t="s">
        <v>466</v>
      </c>
      <c r="B846" s="359" t="s">
        <v>467</v>
      </c>
      <c r="C846" s="89">
        <v>43496</v>
      </c>
      <c r="D846" s="40">
        <v>8458.5040000000008</v>
      </c>
    </row>
    <row r="847" spans="1:4">
      <c r="A847" s="359" t="s">
        <v>1372</v>
      </c>
      <c r="B847" s="359" t="s">
        <v>1371</v>
      </c>
      <c r="C847" s="89">
        <v>43496</v>
      </c>
      <c r="D847" s="40">
        <v>3849.1869999999999</v>
      </c>
    </row>
    <row r="848" spans="1:4">
      <c r="A848" s="359" t="s">
        <v>767</v>
      </c>
      <c r="B848" s="359" t="s">
        <v>768</v>
      </c>
      <c r="C848" s="89">
        <v>43496</v>
      </c>
      <c r="D848" s="40">
        <v>3475.7379999999998</v>
      </c>
    </row>
    <row r="849" spans="1:4">
      <c r="A849" s="359" t="s">
        <v>1210</v>
      </c>
      <c r="B849" s="359" t="s">
        <v>586</v>
      </c>
      <c r="C849" s="89">
        <v>43496</v>
      </c>
      <c r="D849" s="40">
        <v>5042.125</v>
      </c>
    </row>
    <row r="850" spans="1:4">
      <c r="A850" s="359" t="s">
        <v>355</v>
      </c>
      <c r="B850" s="359" t="s">
        <v>356</v>
      </c>
      <c r="C850" s="89">
        <v>43496</v>
      </c>
      <c r="D850" s="40">
        <v>913.45899999999995</v>
      </c>
    </row>
    <row r="851" spans="1:4" ht="15.75" thickBot="1">
      <c r="A851" s="359" t="s">
        <v>545</v>
      </c>
      <c r="B851" s="359" t="s">
        <v>546</v>
      </c>
      <c r="C851" s="89">
        <v>43496</v>
      </c>
      <c r="D851" s="40">
        <v>8155.08</v>
      </c>
    </row>
    <row r="852" spans="1:4" ht="15.75" thickBot="1">
      <c r="A852" s="857" t="s">
        <v>912</v>
      </c>
      <c r="B852" s="858"/>
      <c r="C852" s="858"/>
      <c r="D852" s="620">
        <f>SUM(D432:D851)</f>
        <v>913908.75399999961</v>
      </c>
    </row>
    <row r="853" spans="1:4">
      <c r="A853" s="359" t="s">
        <v>368</v>
      </c>
      <c r="B853" s="359" t="s">
        <v>369</v>
      </c>
      <c r="C853" s="89">
        <v>43497</v>
      </c>
      <c r="D853" s="40">
        <v>1134.8820000000001</v>
      </c>
    </row>
    <row r="854" spans="1:4">
      <c r="A854" s="359" t="s">
        <v>324</v>
      </c>
      <c r="B854" s="359" t="s">
        <v>325</v>
      </c>
      <c r="C854" s="89">
        <v>43497</v>
      </c>
      <c r="D854" s="40">
        <v>1000</v>
      </c>
    </row>
    <row r="855" spans="1:4">
      <c r="A855" s="359" t="s">
        <v>547</v>
      </c>
      <c r="B855" s="359" t="s">
        <v>548</v>
      </c>
      <c r="C855" s="89">
        <v>43497</v>
      </c>
      <c r="D855" s="40">
        <v>3528.1990000000001</v>
      </c>
    </row>
    <row r="856" spans="1:4">
      <c r="A856" s="359" t="s">
        <v>377</v>
      </c>
      <c r="B856" s="359" t="s">
        <v>325</v>
      </c>
      <c r="C856" s="89">
        <v>43498</v>
      </c>
      <c r="D856" s="40">
        <v>550</v>
      </c>
    </row>
    <row r="857" spans="1:4">
      <c r="A857" s="359" t="s">
        <v>425</v>
      </c>
      <c r="B857" s="359" t="s">
        <v>426</v>
      </c>
      <c r="C857" s="89">
        <v>43498</v>
      </c>
      <c r="D857" s="40">
        <v>2802.9870000000001</v>
      </c>
    </row>
    <row r="858" spans="1:4">
      <c r="A858" s="359" t="s">
        <v>981</v>
      </c>
      <c r="B858" s="359" t="s">
        <v>980</v>
      </c>
      <c r="C858" s="89">
        <v>43498</v>
      </c>
      <c r="D858" s="40">
        <v>500</v>
      </c>
    </row>
    <row r="859" spans="1:4">
      <c r="A859" s="359" t="s">
        <v>392</v>
      </c>
      <c r="B859" s="359" t="s">
        <v>393</v>
      </c>
      <c r="C859" s="89">
        <v>43498</v>
      </c>
      <c r="D859" s="40">
        <v>2000</v>
      </c>
    </row>
    <row r="860" spans="1:4">
      <c r="A860" s="359" t="s">
        <v>305</v>
      </c>
      <c r="B860" s="359" t="s">
        <v>306</v>
      </c>
      <c r="C860" s="89">
        <v>43498</v>
      </c>
      <c r="D860" s="40">
        <v>1200</v>
      </c>
    </row>
    <row r="861" spans="1:4">
      <c r="A861" s="359" t="s">
        <v>283</v>
      </c>
      <c r="B861" s="359" t="s">
        <v>284</v>
      </c>
      <c r="C861" s="89">
        <v>43498</v>
      </c>
      <c r="D861" s="40">
        <v>2500</v>
      </c>
    </row>
    <row r="862" spans="1:4">
      <c r="A862" s="359" t="s">
        <v>1019</v>
      </c>
      <c r="B862" s="359" t="s">
        <v>1048</v>
      </c>
      <c r="C862" s="89">
        <v>43499</v>
      </c>
      <c r="D862" s="40">
        <v>1134.8119999999999</v>
      </c>
    </row>
    <row r="863" spans="1:4">
      <c r="A863" s="359" t="s">
        <v>589</v>
      </c>
      <c r="B863" s="359" t="s">
        <v>360</v>
      </c>
      <c r="C863" s="89">
        <v>43499</v>
      </c>
      <c r="D863" s="40">
        <v>1006.104</v>
      </c>
    </row>
    <row r="864" spans="1:4">
      <c r="A864" s="359" t="s">
        <v>552</v>
      </c>
      <c r="B864" s="359" t="s">
        <v>553</v>
      </c>
      <c r="C864" s="89">
        <v>43499</v>
      </c>
      <c r="D864" s="40">
        <v>4565.6059999999998</v>
      </c>
    </row>
    <row r="865" spans="1:4">
      <c r="A865" s="359" t="s">
        <v>649</v>
      </c>
      <c r="B865" s="359" t="s">
        <v>650</v>
      </c>
      <c r="C865" s="89">
        <v>43499</v>
      </c>
      <c r="D865" s="40">
        <v>1905.3620000000001</v>
      </c>
    </row>
    <row r="866" spans="1:4">
      <c r="A866" s="359" t="s">
        <v>400</v>
      </c>
      <c r="B866" s="359" t="s">
        <v>401</v>
      </c>
      <c r="C866" s="89">
        <v>43500</v>
      </c>
      <c r="D866" s="40">
        <v>2000</v>
      </c>
    </row>
    <row r="867" spans="1:4">
      <c r="A867" s="359" t="s">
        <v>343</v>
      </c>
      <c r="B867" s="359" t="s">
        <v>344</v>
      </c>
      <c r="C867" s="89">
        <v>43500</v>
      </c>
      <c r="D867" s="40">
        <v>1274.999</v>
      </c>
    </row>
    <row r="868" spans="1:4">
      <c r="A868" s="359" t="s">
        <v>303</v>
      </c>
      <c r="B868" s="359" t="s">
        <v>304</v>
      </c>
      <c r="C868" s="89">
        <v>43500</v>
      </c>
      <c r="D868" s="40">
        <v>970.45799999999997</v>
      </c>
    </row>
    <row r="869" spans="1:4">
      <c r="A869" s="359" t="s">
        <v>303</v>
      </c>
      <c r="B869" s="359" t="s">
        <v>304</v>
      </c>
      <c r="C869" s="89">
        <v>43500</v>
      </c>
      <c r="D869" s="40">
        <v>594.19299999999998</v>
      </c>
    </row>
    <row r="870" spans="1:4">
      <c r="A870" s="359" t="s">
        <v>1347</v>
      </c>
      <c r="B870" s="359" t="s">
        <v>1346</v>
      </c>
      <c r="C870" s="89">
        <v>43501</v>
      </c>
      <c r="D870" s="40">
        <v>1794.8889999999999</v>
      </c>
    </row>
    <row r="871" spans="1:4">
      <c r="A871" s="359" t="s">
        <v>672</v>
      </c>
      <c r="B871" s="359" t="s">
        <v>557</v>
      </c>
      <c r="C871" s="89">
        <v>43501</v>
      </c>
      <c r="D871" s="40">
        <v>4678.0550000000003</v>
      </c>
    </row>
    <row r="872" spans="1:4">
      <c r="A872" s="359" t="s">
        <v>357</v>
      </c>
      <c r="B872" s="359" t="s">
        <v>358</v>
      </c>
      <c r="C872" s="89">
        <v>43501</v>
      </c>
      <c r="D872" s="40">
        <v>333.5</v>
      </c>
    </row>
    <row r="873" spans="1:4">
      <c r="A873" s="359" t="s">
        <v>1177</v>
      </c>
      <c r="B873" s="359" t="s">
        <v>566</v>
      </c>
      <c r="C873" s="89">
        <v>43501</v>
      </c>
      <c r="D873" s="40">
        <v>1311.8989999999999</v>
      </c>
    </row>
    <row r="874" spans="1:4">
      <c r="A874" s="359" t="s">
        <v>770</v>
      </c>
      <c r="B874" s="359" t="s">
        <v>771</v>
      </c>
      <c r="C874" s="89">
        <v>43501</v>
      </c>
      <c r="D874" s="40">
        <v>1590</v>
      </c>
    </row>
    <row r="875" spans="1:4">
      <c r="A875" s="359" t="s">
        <v>1612</v>
      </c>
      <c r="B875" s="359" t="s">
        <v>1611</v>
      </c>
      <c r="C875" s="89">
        <v>43501</v>
      </c>
      <c r="D875" s="40">
        <v>1446.5</v>
      </c>
    </row>
    <row r="876" spans="1:4">
      <c r="A876" s="359" t="s">
        <v>590</v>
      </c>
      <c r="B876" s="359" t="s">
        <v>323</v>
      </c>
      <c r="C876" s="89">
        <v>43501</v>
      </c>
      <c r="D876" s="40">
        <v>1685.847</v>
      </c>
    </row>
    <row r="877" spans="1:4">
      <c r="A877" s="359" t="s">
        <v>1610</v>
      </c>
      <c r="B877" s="359" t="s">
        <v>424</v>
      </c>
      <c r="C877" s="89">
        <v>43501</v>
      </c>
      <c r="D877" s="40">
        <v>3598.4180000000001</v>
      </c>
    </row>
    <row r="878" spans="1:4">
      <c r="A878" s="359" t="s">
        <v>567</v>
      </c>
      <c r="B878" s="359" t="s">
        <v>568</v>
      </c>
      <c r="C878" s="89">
        <v>43501</v>
      </c>
      <c r="D878" s="40">
        <v>2267.192</v>
      </c>
    </row>
    <row r="879" spans="1:4">
      <c r="A879" s="359" t="s">
        <v>1187</v>
      </c>
      <c r="B879" s="359" t="s">
        <v>1186</v>
      </c>
      <c r="C879" s="89">
        <v>43501</v>
      </c>
      <c r="D879" s="40">
        <v>4214.5379999999996</v>
      </c>
    </row>
    <row r="880" spans="1:4">
      <c r="A880" s="359" t="s">
        <v>981</v>
      </c>
      <c r="B880" s="359" t="s">
        <v>980</v>
      </c>
      <c r="C880" s="89">
        <v>43501</v>
      </c>
      <c r="D880" s="40">
        <v>310</v>
      </c>
    </row>
    <row r="881" spans="1:4">
      <c r="A881" s="359" t="s">
        <v>981</v>
      </c>
      <c r="B881" s="359" t="s">
        <v>980</v>
      </c>
      <c r="C881" s="89">
        <v>43501</v>
      </c>
      <c r="D881" s="40">
        <v>300</v>
      </c>
    </row>
    <row r="882" spans="1:4">
      <c r="A882" s="359" t="s">
        <v>411</v>
      </c>
      <c r="B882" s="359" t="s">
        <v>412</v>
      </c>
      <c r="C882" s="89">
        <v>43501</v>
      </c>
      <c r="D882" s="40">
        <v>2089.3330000000001</v>
      </c>
    </row>
    <row r="883" spans="1:4">
      <c r="A883" s="359" t="s">
        <v>973</v>
      </c>
      <c r="B883" s="359" t="s">
        <v>1053</v>
      </c>
      <c r="C883" s="89">
        <v>43501</v>
      </c>
      <c r="D883" s="40">
        <v>13000</v>
      </c>
    </row>
    <row r="884" spans="1:4">
      <c r="A884" s="359" t="s">
        <v>341</v>
      </c>
      <c r="B884" s="359" t="s">
        <v>342</v>
      </c>
      <c r="C884" s="89">
        <v>43501</v>
      </c>
      <c r="D884" s="40">
        <v>2378.8710000000001</v>
      </c>
    </row>
    <row r="885" spans="1:4">
      <c r="A885" s="359" t="s">
        <v>1339</v>
      </c>
      <c r="B885" s="359" t="s">
        <v>346</v>
      </c>
      <c r="C885" s="89">
        <v>43501</v>
      </c>
      <c r="D885" s="40">
        <v>651.9</v>
      </c>
    </row>
    <row r="886" spans="1:4">
      <c r="A886" s="359" t="s">
        <v>286</v>
      </c>
      <c r="B886" s="359" t="s">
        <v>287</v>
      </c>
      <c r="C886" s="89">
        <v>43501</v>
      </c>
      <c r="D886" s="40">
        <v>1500</v>
      </c>
    </row>
    <row r="887" spans="1:4">
      <c r="A887" s="359" t="s">
        <v>293</v>
      </c>
      <c r="B887" s="359" t="s">
        <v>294</v>
      </c>
      <c r="C887" s="89">
        <v>43501</v>
      </c>
      <c r="D887" s="40">
        <v>1050</v>
      </c>
    </row>
    <row r="888" spans="1:4">
      <c r="A888" s="359" t="s">
        <v>536</v>
      </c>
      <c r="B888" s="359" t="s">
        <v>462</v>
      </c>
      <c r="C888" s="89">
        <v>43501</v>
      </c>
      <c r="D888" s="40">
        <v>3227.0479999999998</v>
      </c>
    </row>
    <row r="889" spans="1:4">
      <c r="A889" s="359" t="s">
        <v>355</v>
      </c>
      <c r="B889" s="359" t="s">
        <v>356</v>
      </c>
      <c r="C889" s="89">
        <v>43501</v>
      </c>
      <c r="D889" s="40">
        <v>740</v>
      </c>
    </row>
    <row r="890" spans="1:4">
      <c r="A890" s="359" t="s">
        <v>308</v>
      </c>
      <c r="B890" s="359" t="s">
        <v>309</v>
      </c>
      <c r="C890" s="89">
        <v>43502</v>
      </c>
      <c r="D890" s="40">
        <v>3043.9360000000001</v>
      </c>
    </row>
    <row r="891" spans="1:4">
      <c r="A891" s="359" t="s">
        <v>1023</v>
      </c>
      <c r="B891" s="359" t="s">
        <v>420</v>
      </c>
      <c r="C891" s="89">
        <v>43502</v>
      </c>
      <c r="D891" s="40">
        <v>1302.7</v>
      </c>
    </row>
    <row r="892" spans="1:4">
      <c r="A892" s="359" t="s">
        <v>1019</v>
      </c>
      <c r="B892" s="359" t="s">
        <v>1048</v>
      </c>
      <c r="C892" s="89">
        <v>43502</v>
      </c>
      <c r="D892" s="40">
        <v>1135.211</v>
      </c>
    </row>
    <row r="893" spans="1:4">
      <c r="A893" s="359" t="s">
        <v>362</v>
      </c>
      <c r="B893" s="359" t="s">
        <v>363</v>
      </c>
      <c r="C893" s="89">
        <v>43502</v>
      </c>
      <c r="D893" s="40">
        <v>1227.423</v>
      </c>
    </row>
    <row r="894" spans="1:4">
      <c r="A894" s="359" t="s">
        <v>416</v>
      </c>
      <c r="B894" s="359" t="s">
        <v>417</v>
      </c>
      <c r="C894" s="89">
        <v>43502</v>
      </c>
      <c r="D894" s="40">
        <v>1132.1320000000001</v>
      </c>
    </row>
    <row r="895" spans="1:4">
      <c r="A895" s="359" t="s">
        <v>416</v>
      </c>
      <c r="B895" s="359" t="s">
        <v>417</v>
      </c>
      <c r="C895" s="89">
        <v>43502</v>
      </c>
      <c r="D895" s="40">
        <v>1149.3309999999999</v>
      </c>
    </row>
    <row r="896" spans="1:4">
      <c r="A896" s="359" t="s">
        <v>400</v>
      </c>
      <c r="B896" s="359" t="s">
        <v>401</v>
      </c>
      <c r="C896" s="89">
        <v>43502</v>
      </c>
      <c r="D896" s="40">
        <v>1500</v>
      </c>
    </row>
    <row r="897" spans="1:4">
      <c r="A897" s="359" t="s">
        <v>1362</v>
      </c>
      <c r="B897" s="359" t="s">
        <v>1361</v>
      </c>
      <c r="C897" s="89">
        <v>43502</v>
      </c>
      <c r="D897" s="40">
        <v>3000</v>
      </c>
    </row>
    <row r="898" spans="1:4">
      <c r="A898" s="359" t="s">
        <v>673</v>
      </c>
      <c r="B898" s="359" t="s">
        <v>674</v>
      </c>
      <c r="C898" s="89">
        <v>43502</v>
      </c>
      <c r="D898" s="40">
        <v>2111.027</v>
      </c>
    </row>
    <row r="899" spans="1:4">
      <c r="A899" s="359" t="s">
        <v>1224</v>
      </c>
      <c r="B899" s="359" t="s">
        <v>666</v>
      </c>
      <c r="C899" s="89">
        <v>43503</v>
      </c>
      <c r="D899" s="40">
        <v>886.51300000000003</v>
      </c>
    </row>
    <row r="900" spans="1:4">
      <c r="A900" s="359" t="s">
        <v>1609</v>
      </c>
      <c r="B900" s="359" t="s">
        <v>519</v>
      </c>
      <c r="C900" s="89">
        <v>43503</v>
      </c>
      <c r="D900" s="40">
        <v>2484.35</v>
      </c>
    </row>
    <row r="901" spans="1:4">
      <c r="A901" s="359" t="s">
        <v>286</v>
      </c>
      <c r="B901" s="359" t="s">
        <v>287</v>
      </c>
      <c r="C901" s="89">
        <v>43503</v>
      </c>
      <c r="D901" s="40">
        <v>2000</v>
      </c>
    </row>
    <row r="902" spans="1:4">
      <c r="A902" s="359" t="s">
        <v>394</v>
      </c>
      <c r="B902" s="359" t="s">
        <v>395</v>
      </c>
      <c r="C902" s="89">
        <v>43503</v>
      </c>
      <c r="D902" s="40">
        <v>2000</v>
      </c>
    </row>
    <row r="903" spans="1:4">
      <c r="A903" s="359" t="s">
        <v>315</v>
      </c>
      <c r="B903" s="359" t="s">
        <v>314</v>
      </c>
      <c r="C903" s="89">
        <v>43504</v>
      </c>
      <c r="D903" s="40">
        <v>4000</v>
      </c>
    </row>
    <row r="904" spans="1:4">
      <c r="A904" s="359" t="s">
        <v>589</v>
      </c>
      <c r="B904" s="359" t="s">
        <v>360</v>
      </c>
      <c r="C904" s="89">
        <v>43504</v>
      </c>
      <c r="D904" s="40">
        <v>1006.104</v>
      </c>
    </row>
    <row r="905" spans="1:4">
      <c r="A905" s="359" t="s">
        <v>770</v>
      </c>
      <c r="B905" s="359" t="s">
        <v>771</v>
      </c>
      <c r="C905" s="89">
        <v>43504</v>
      </c>
      <c r="D905" s="40">
        <v>1590</v>
      </c>
    </row>
    <row r="906" spans="1:4">
      <c r="A906" s="359" t="s">
        <v>382</v>
      </c>
      <c r="B906" s="359" t="s">
        <v>383</v>
      </c>
      <c r="C906" s="89">
        <v>43504</v>
      </c>
      <c r="D906" s="40">
        <v>2700</v>
      </c>
    </row>
    <row r="907" spans="1:4">
      <c r="A907" s="359" t="s">
        <v>1339</v>
      </c>
      <c r="B907" s="359" t="s">
        <v>346</v>
      </c>
      <c r="C907" s="89">
        <v>43504</v>
      </c>
      <c r="D907" s="40">
        <v>651.9</v>
      </c>
    </row>
    <row r="908" spans="1:4">
      <c r="A908" s="359" t="s">
        <v>305</v>
      </c>
      <c r="B908" s="359" t="s">
        <v>306</v>
      </c>
      <c r="C908" s="89">
        <v>43504</v>
      </c>
      <c r="D908" s="40">
        <v>1800</v>
      </c>
    </row>
    <row r="909" spans="1:4">
      <c r="A909" s="359" t="s">
        <v>291</v>
      </c>
      <c r="B909" s="359" t="s">
        <v>292</v>
      </c>
      <c r="C909" s="89">
        <v>43504</v>
      </c>
      <c r="D909" s="40">
        <v>650</v>
      </c>
    </row>
    <row r="910" spans="1:4">
      <c r="A910" s="359" t="s">
        <v>392</v>
      </c>
      <c r="B910" s="359" t="s">
        <v>393</v>
      </c>
      <c r="C910" s="89">
        <v>43505</v>
      </c>
      <c r="D910" s="40">
        <v>2216.797</v>
      </c>
    </row>
    <row r="911" spans="1:4">
      <c r="A911" s="359" t="s">
        <v>617</v>
      </c>
      <c r="B911" s="359" t="s">
        <v>618</v>
      </c>
      <c r="C911" s="89">
        <v>43506</v>
      </c>
      <c r="D911" s="40">
        <v>1301.8050000000001</v>
      </c>
    </row>
    <row r="912" spans="1:4">
      <c r="A912" s="359" t="s">
        <v>368</v>
      </c>
      <c r="B912" s="359" t="s">
        <v>369</v>
      </c>
      <c r="C912" s="89">
        <v>43506</v>
      </c>
      <c r="D912" s="40">
        <v>1100</v>
      </c>
    </row>
    <row r="913" spans="1:4">
      <c r="A913" s="359" t="s">
        <v>698</v>
      </c>
      <c r="B913" s="359" t="s">
        <v>402</v>
      </c>
      <c r="C913" s="89">
        <v>43506</v>
      </c>
      <c r="D913" s="40">
        <v>1413.3920000000001</v>
      </c>
    </row>
    <row r="914" spans="1:4">
      <c r="A914" s="359" t="s">
        <v>1347</v>
      </c>
      <c r="B914" s="359" t="s">
        <v>1346</v>
      </c>
      <c r="C914" s="89">
        <v>43506</v>
      </c>
      <c r="D914" s="40">
        <v>1700</v>
      </c>
    </row>
    <row r="915" spans="1:4">
      <c r="A915" s="359" t="s">
        <v>308</v>
      </c>
      <c r="B915" s="359" t="s">
        <v>309</v>
      </c>
      <c r="C915" s="89">
        <v>43506</v>
      </c>
      <c r="D915" s="40">
        <v>2369.627</v>
      </c>
    </row>
    <row r="916" spans="1:4">
      <c r="A916" s="359" t="s">
        <v>357</v>
      </c>
      <c r="B916" s="359" t="s">
        <v>358</v>
      </c>
      <c r="C916" s="89">
        <v>43506</v>
      </c>
      <c r="D916" s="40">
        <v>333.5</v>
      </c>
    </row>
    <row r="917" spans="1:4">
      <c r="A917" s="359" t="s">
        <v>1126</v>
      </c>
      <c r="B917" s="359" t="s">
        <v>1125</v>
      </c>
      <c r="C917" s="89">
        <v>43506</v>
      </c>
      <c r="D917" s="40">
        <v>7838.1009999999997</v>
      </c>
    </row>
    <row r="918" spans="1:4">
      <c r="A918" s="359" t="s">
        <v>701</v>
      </c>
      <c r="B918" s="359" t="s">
        <v>564</v>
      </c>
      <c r="C918" s="89">
        <v>43506</v>
      </c>
      <c r="D918" s="40">
        <v>1014.004</v>
      </c>
    </row>
    <row r="919" spans="1:4">
      <c r="A919" s="359" t="s">
        <v>1019</v>
      </c>
      <c r="B919" s="359" t="s">
        <v>1048</v>
      </c>
      <c r="C919" s="89">
        <v>43506</v>
      </c>
      <c r="D919" s="40">
        <v>1136.2090000000001</v>
      </c>
    </row>
    <row r="920" spans="1:4">
      <c r="A920" s="359" t="s">
        <v>773</v>
      </c>
      <c r="B920" s="359" t="s">
        <v>696</v>
      </c>
      <c r="C920" s="89">
        <v>43506</v>
      </c>
      <c r="D920" s="40">
        <v>1496.097</v>
      </c>
    </row>
    <row r="921" spans="1:4">
      <c r="A921" s="359" t="s">
        <v>1176</v>
      </c>
      <c r="B921" s="359" t="s">
        <v>375</v>
      </c>
      <c r="C921" s="89">
        <v>43506</v>
      </c>
      <c r="D921" s="40">
        <v>2024.5319999999999</v>
      </c>
    </row>
    <row r="922" spans="1:4">
      <c r="A922" s="359" t="s">
        <v>741</v>
      </c>
      <c r="B922" s="359" t="s">
        <v>597</v>
      </c>
      <c r="C922" s="89">
        <v>43506</v>
      </c>
      <c r="D922" s="40">
        <v>10617.458000000001</v>
      </c>
    </row>
    <row r="923" spans="1:4">
      <c r="A923" s="359" t="s">
        <v>1383</v>
      </c>
      <c r="B923" s="359" t="s">
        <v>444</v>
      </c>
      <c r="C923" s="89">
        <v>43506</v>
      </c>
      <c r="D923" s="40">
        <v>3263.57</v>
      </c>
    </row>
    <row r="924" spans="1:4">
      <c r="A924" s="359" t="s">
        <v>281</v>
      </c>
      <c r="B924" s="359" t="s">
        <v>282</v>
      </c>
      <c r="C924" s="89">
        <v>43506</v>
      </c>
      <c r="D924" s="40">
        <v>1928.2929999999999</v>
      </c>
    </row>
    <row r="925" spans="1:4">
      <c r="A925" s="359" t="s">
        <v>769</v>
      </c>
      <c r="B925" s="359" t="s">
        <v>378</v>
      </c>
      <c r="C925" s="89">
        <v>43506</v>
      </c>
      <c r="D925" s="40">
        <v>1500</v>
      </c>
    </row>
    <row r="926" spans="1:4">
      <c r="A926" s="359" t="s">
        <v>452</v>
      </c>
      <c r="B926" s="359" t="s">
        <v>453</v>
      </c>
      <c r="C926" s="89">
        <v>43506</v>
      </c>
      <c r="D926" s="40">
        <v>2000</v>
      </c>
    </row>
    <row r="927" spans="1:4">
      <c r="A927" s="359" t="s">
        <v>413</v>
      </c>
      <c r="B927" s="359" t="s">
        <v>414</v>
      </c>
      <c r="C927" s="89">
        <v>43506</v>
      </c>
      <c r="D927" s="40">
        <v>10195.216</v>
      </c>
    </row>
    <row r="928" spans="1:4">
      <c r="A928" s="359" t="s">
        <v>408</v>
      </c>
      <c r="B928" s="359" t="s">
        <v>409</v>
      </c>
      <c r="C928" s="89">
        <v>43506</v>
      </c>
      <c r="D928" s="40">
        <v>1989.3789999999999</v>
      </c>
    </row>
    <row r="929" spans="1:4">
      <c r="A929" s="359" t="s">
        <v>529</v>
      </c>
      <c r="B929" s="359" t="s">
        <v>530</v>
      </c>
      <c r="C929" s="89">
        <v>43506</v>
      </c>
      <c r="D929" s="40">
        <v>1047.3040000000001</v>
      </c>
    </row>
    <row r="930" spans="1:4">
      <c r="A930" s="359" t="s">
        <v>457</v>
      </c>
      <c r="B930" s="359" t="s">
        <v>458</v>
      </c>
      <c r="C930" s="89">
        <v>43506</v>
      </c>
      <c r="D930" s="40">
        <v>799.86400000000003</v>
      </c>
    </row>
    <row r="931" spans="1:4">
      <c r="A931" s="359" t="s">
        <v>335</v>
      </c>
      <c r="B931" s="359" t="s">
        <v>336</v>
      </c>
      <c r="C931" s="89">
        <v>43506</v>
      </c>
      <c r="D931" s="40">
        <v>1849.2</v>
      </c>
    </row>
    <row r="932" spans="1:4">
      <c r="A932" s="359" t="s">
        <v>335</v>
      </c>
      <c r="B932" s="359" t="s">
        <v>336</v>
      </c>
      <c r="C932" s="89">
        <v>43506</v>
      </c>
      <c r="D932" s="40">
        <v>1533.5</v>
      </c>
    </row>
    <row r="933" spans="1:4">
      <c r="A933" s="359" t="s">
        <v>1110</v>
      </c>
      <c r="B933" s="359" t="s">
        <v>1109</v>
      </c>
      <c r="C933" s="89">
        <v>43506</v>
      </c>
      <c r="D933" s="40">
        <v>1000</v>
      </c>
    </row>
    <row r="934" spans="1:4">
      <c r="A934" s="359" t="s">
        <v>675</v>
      </c>
      <c r="B934" s="359" t="s">
        <v>676</v>
      </c>
      <c r="C934" s="89">
        <v>43506</v>
      </c>
      <c r="D934" s="40">
        <v>3562.8139999999999</v>
      </c>
    </row>
    <row r="935" spans="1:4">
      <c r="A935" s="359" t="s">
        <v>411</v>
      </c>
      <c r="B935" s="359" t="s">
        <v>412</v>
      </c>
      <c r="C935" s="89">
        <v>43506</v>
      </c>
      <c r="D935" s="40">
        <v>2000</v>
      </c>
    </row>
    <row r="936" spans="1:4">
      <c r="A936" s="359" t="s">
        <v>1606</v>
      </c>
      <c r="B936" s="359" t="s">
        <v>1605</v>
      </c>
      <c r="C936" s="89">
        <v>43506</v>
      </c>
      <c r="D936" s="40">
        <v>2000</v>
      </c>
    </row>
    <row r="937" spans="1:4">
      <c r="A937" s="359" t="s">
        <v>341</v>
      </c>
      <c r="B937" s="359" t="s">
        <v>342</v>
      </c>
      <c r="C937" s="89">
        <v>43506</v>
      </c>
      <c r="D937" s="40">
        <v>2300</v>
      </c>
    </row>
    <row r="938" spans="1:4">
      <c r="A938" s="359" t="s">
        <v>386</v>
      </c>
      <c r="B938" s="359" t="s">
        <v>387</v>
      </c>
      <c r="C938" s="89">
        <v>43506</v>
      </c>
      <c r="D938" s="40">
        <v>2500</v>
      </c>
    </row>
    <row r="939" spans="1:4">
      <c r="A939" s="359" t="s">
        <v>1339</v>
      </c>
      <c r="B939" s="359" t="s">
        <v>346</v>
      </c>
      <c r="C939" s="89">
        <v>43506</v>
      </c>
      <c r="D939" s="40">
        <v>652.72500000000002</v>
      </c>
    </row>
    <row r="940" spans="1:4">
      <c r="A940" s="359" t="s">
        <v>293</v>
      </c>
      <c r="B940" s="359" t="s">
        <v>294</v>
      </c>
      <c r="C940" s="89">
        <v>43506</v>
      </c>
      <c r="D940" s="40">
        <v>1045</v>
      </c>
    </row>
    <row r="941" spans="1:4">
      <c r="A941" s="359" t="s">
        <v>283</v>
      </c>
      <c r="B941" s="359" t="s">
        <v>284</v>
      </c>
      <c r="C941" s="89">
        <v>43506</v>
      </c>
      <c r="D941" s="40">
        <v>2192.866</v>
      </c>
    </row>
    <row r="942" spans="1:4">
      <c r="A942" s="359" t="s">
        <v>727</v>
      </c>
      <c r="B942" s="359" t="s">
        <v>752</v>
      </c>
      <c r="C942" s="89">
        <v>43506</v>
      </c>
      <c r="D942" s="40">
        <v>2200</v>
      </c>
    </row>
    <row r="943" spans="1:4">
      <c r="A943" s="359" t="s">
        <v>355</v>
      </c>
      <c r="B943" s="359" t="s">
        <v>356</v>
      </c>
      <c r="C943" s="89">
        <v>43506</v>
      </c>
      <c r="D943" s="40">
        <v>745</v>
      </c>
    </row>
    <row r="944" spans="1:4">
      <c r="A944" s="359" t="s">
        <v>400</v>
      </c>
      <c r="B944" s="359" t="s">
        <v>401</v>
      </c>
      <c r="C944" s="89">
        <v>43507</v>
      </c>
      <c r="D944" s="40">
        <v>1500</v>
      </c>
    </row>
    <row r="945" spans="1:4">
      <c r="A945" s="359" t="s">
        <v>343</v>
      </c>
      <c r="B945" s="359" t="s">
        <v>344</v>
      </c>
      <c r="C945" s="89">
        <v>43507</v>
      </c>
      <c r="D945" s="40">
        <v>885.19799999999998</v>
      </c>
    </row>
    <row r="946" spans="1:4">
      <c r="A946" s="359" t="s">
        <v>1023</v>
      </c>
      <c r="B946" s="359" t="s">
        <v>420</v>
      </c>
      <c r="C946" s="89">
        <v>43508</v>
      </c>
      <c r="D946" s="40">
        <v>1302.6500000000001</v>
      </c>
    </row>
    <row r="947" spans="1:4">
      <c r="A947" s="359" t="s">
        <v>1213</v>
      </c>
      <c r="B947" s="359" t="s">
        <v>682</v>
      </c>
      <c r="C947" s="89">
        <v>43508</v>
      </c>
      <c r="D947" s="40">
        <v>500</v>
      </c>
    </row>
    <row r="948" spans="1:4">
      <c r="A948" s="359" t="s">
        <v>590</v>
      </c>
      <c r="B948" s="359" t="s">
        <v>323</v>
      </c>
      <c r="C948" s="89">
        <v>43508</v>
      </c>
      <c r="D948" s="40">
        <v>1723.713</v>
      </c>
    </row>
    <row r="949" spans="1:4">
      <c r="A949" s="359" t="s">
        <v>595</v>
      </c>
      <c r="B949" s="359" t="s">
        <v>290</v>
      </c>
      <c r="C949" s="89">
        <v>43508</v>
      </c>
      <c r="D949" s="40">
        <v>545.50099999999998</v>
      </c>
    </row>
    <row r="950" spans="1:4">
      <c r="A950" s="359" t="s">
        <v>303</v>
      </c>
      <c r="B950" s="359" t="s">
        <v>304</v>
      </c>
      <c r="C950" s="89">
        <v>43508</v>
      </c>
      <c r="D950" s="40">
        <v>970.45799999999997</v>
      </c>
    </row>
    <row r="951" spans="1:4">
      <c r="A951" s="359" t="s">
        <v>286</v>
      </c>
      <c r="B951" s="359" t="s">
        <v>287</v>
      </c>
      <c r="C951" s="89">
        <v>43508</v>
      </c>
      <c r="D951" s="40">
        <v>1500</v>
      </c>
    </row>
    <row r="952" spans="1:4">
      <c r="A952" s="359" t="s">
        <v>305</v>
      </c>
      <c r="B952" s="359" t="s">
        <v>306</v>
      </c>
      <c r="C952" s="89">
        <v>43508</v>
      </c>
      <c r="D952" s="40">
        <v>1200</v>
      </c>
    </row>
    <row r="953" spans="1:4">
      <c r="A953" s="359" t="s">
        <v>359</v>
      </c>
      <c r="B953" s="359" t="s">
        <v>360</v>
      </c>
      <c r="C953" s="89">
        <v>43509</v>
      </c>
      <c r="D953" s="40">
        <v>1077.2750000000001</v>
      </c>
    </row>
    <row r="954" spans="1:4">
      <c r="A954" s="359" t="s">
        <v>301</v>
      </c>
      <c r="B954" s="359" t="s">
        <v>302</v>
      </c>
      <c r="C954" s="89">
        <v>43509</v>
      </c>
      <c r="D954" s="40">
        <v>3000</v>
      </c>
    </row>
    <row r="955" spans="1:4">
      <c r="A955" s="359" t="s">
        <v>1608</v>
      </c>
      <c r="B955" s="359" t="s">
        <v>285</v>
      </c>
      <c r="C955" s="89">
        <v>43509</v>
      </c>
      <c r="D955" s="40">
        <v>1754.7619999999999</v>
      </c>
    </row>
    <row r="956" spans="1:4">
      <c r="A956" s="359" t="s">
        <v>673</v>
      </c>
      <c r="B956" s="359" t="s">
        <v>674</v>
      </c>
      <c r="C956" s="89">
        <v>43509</v>
      </c>
      <c r="D956" s="40">
        <v>3000</v>
      </c>
    </row>
    <row r="957" spans="1:4">
      <c r="A957" s="359" t="s">
        <v>1604</v>
      </c>
      <c r="B957" s="359" t="s">
        <v>493</v>
      </c>
      <c r="C957" s="89">
        <v>43510</v>
      </c>
      <c r="D957" s="40">
        <v>2000</v>
      </c>
    </row>
    <row r="958" spans="1:4">
      <c r="A958" s="359" t="s">
        <v>1213</v>
      </c>
      <c r="B958" s="359" t="s">
        <v>682</v>
      </c>
      <c r="C958" s="89">
        <v>43510</v>
      </c>
      <c r="D958" s="40">
        <v>543.822</v>
      </c>
    </row>
    <row r="959" spans="1:4">
      <c r="A959" s="359" t="s">
        <v>679</v>
      </c>
      <c r="B959" s="359" t="s">
        <v>680</v>
      </c>
      <c r="C959" s="89">
        <v>43511</v>
      </c>
      <c r="D959" s="40">
        <v>8345.3019999999997</v>
      </c>
    </row>
    <row r="960" spans="1:4">
      <c r="A960" s="359" t="s">
        <v>315</v>
      </c>
      <c r="B960" s="359" t="s">
        <v>314</v>
      </c>
      <c r="C960" s="89">
        <v>43511</v>
      </c>
      <c r="D960" s="40">
        <v>4000</v>
      </c>
    </row>
    <row r="961" spans="1:4">
      <c r="A961" s="359" t="s">
        <v>315</v>
      </c>
      <c r="B961" s="359" t="s">
        <v>314</v>
      </c>
      <c r="C961" s="89">
        <v>43511</v>
      </c>
      <c r="D961" s="40">
        <v>4000</v>
      </c>
    </row>
    <row r="962" spans="1:4">
      <c r="A962" s="359" t="s">
        <v>1378</v>
      </c>
      <c r="B962" s="359" t="s">
        <v>636</v>
      </c>
      <c r="C962" s="89">
        <v>43511</v>
      </c>
      <c r="D962" s="40">
        <v>1222.95</v>
      </c>
    </row>
    <row r="963" spans="1:4">
      <c r="A963" s="359" t="s">
        <v>1176</v>
      </c>
      <c r="B963" s="359" t="s">
        <v>375</v>
      </c>
      <c r="C963" s="89">
        <v>43511</v>
      </c>
      <c r="D963" s="40">
        <v>2024.5319999999999</v>
      </c>
    </row>
    <row r="964" spans="1:4">
      <c r="A964" s="359" t="s">
        <v>374</v>
      </c>
      <c r="B964" s="359" t="s">
        <v>375</v>
      </c>
      <c r="C964" s="89">
        <v>43511</v>
      </c>
      <c r="D964" s="40">
        <v>1458.2619999999999</v>
      </c>
    </row>
    <row r="965" spans="1:4">
      <c r="A965" s="359" t="s">
        <v>599</v>
      </c>
      <c r="B965" s="359" t="s">
        <v>320</v>
      </c>
      <c r="C965" s="89">
        <v>43511</v>
      </c>
      <c r="D965" s="40">
        <v>3727.116</v>
      </c>
    </row>
    <row r="966" spans="1:4">
      <c r="A966" s="359" t="s">
        <v>514</v>
      </c>
      <c r="B966" s="359" t="s">
        <v>515</v>
      </c>
      <c r="C966" s="89">
        <v>43511</v>
      </c>
      <c r="D966" s="40">
        <v>3000</v>
      </c>
    </row>
    <row r="967" spans="1:4">
      <c r="A967" s="359" t="s">
        <v>689</v>
      </c>
      <c r="B967" s="359" t="s">
        <v>448</v>
      </c>
      <c r="C967" s="89">
        <v>43511</v>
      </c>
      <c r="D967" s="40">
        <v>6779.8140000000003</v>
      </c>
    </row>
    <row r="968" spans="1:4">
      <c r="A968" s="359" t="s">
        <v>281</v>
      </c>
      <c r="B968" s="359" t="s">
        <v>282</v>
      </c>
      <c r="C968" s="89">
        <v>43511</v>
      </c>
      <c r="D968" s="40">
        <v>1850</v>
      </c>
    </row>
    <row r="969" spans="1:4">
      <c r="A969" s="359" t="s">
        <v>324</v>
      </c>
      <c r="B969" s="359" t="s">
        <v>325</v>
      </c>
      <c r="C969" s="89">
        <v>43511</v>
      </c>
      <c r="D969" s="40">
        <v>1000</v>
      </c>
    </row>
    <row r="970" spans="1:4">
      <c r="A970" s="359" t="s">
        <v>377</v>
      </c>
      <c r="B970" s="359" t="s">
        <v>325</v>
      </c>
      <c r="C970" s="89">
        <v>43511</v>
      </c>
      <c r="D970" s="40">
        <v>900</v>
      </c>
    </row>
    <row r="971" spans="1:4">
      <c r="A971" s="359" t="s">
        <v>1607</v>
      </c>
      <c r="B971" s="359" t="s">
        <v>670</v>
      </c>
      <c r="C971" s="89">
        <v>43511</v>
      </c>
      <c r="D971" s="40">
        <v>7262.9279999999999</v>
      </c>
    </row>
    <row r="972" spans="1:4">
      <c r="A972" s="359" t="s">
        <v>977</v>
      </c>
      <c r="B972" s="359" t="s">
        <v>976</v>
      </c>
      <c r="C972" s="89">
        <v>43511</v>
      </c>
      <c r="D972" s="40">
        <v>2268.3850000000002</v>
      </c>
    </row>
    <row r="973" spans="1:4">
      <c r="A973" s="359" t="s">
        <v>327</v>
      </c>
      <c r="B973" s="359" t="s">
        <v>328</v>
      </c>
      <c r="C973" s="89">
        <v>43511</v>
      </c>
      <c r="D973" s="40">
        <v>1800</v>
      </c>
    </row>
    <row r="974" spans="1:4">
      <c r="A974" s="359" t="s">
        <v>425</v>
      </c>
      <c r="B974" s="359" t="s">
        <v>426</v>
      </c>
      <c r="C974" s="89">
        <v>43511</v>
      </c>
      <c r="D974" s="40">
        <v>2670</v>
      </c>
    </row>
    <row r="975" spans="1:4">
      <c r="A975" s="359" t="s">
        <v>339</v>
      </c>
      <c r="B975" s="359" t="s">
        <v>340</v>
      </c>
      <c r="C975" s="89">
        <v>43511</v>
      </c>
      <c r="D975" s="40">
        <v>1091.8440000000001</v>
      </c>
    </row>
    <row r="976" spans="1:4">
      <c r="A976" s="359" t="s">
        <v>411</v>
      </c>
      <c r="B976" s="359" t="s">
        <v>412</v>
      </c>
      <c r="C976" s="89">
        <v>43511</v>
      </c>
      <c r="D976" s="40">
        <v>2085.2939999999999</v>
      </c>
    </row>
    <row r="977" spans="1:4">
      <c r="A977" s="359" t="s">
        <v>476</v>
      </c>
      <c r="B977" s="359" t="s">
        <v>477</v>
      </c>
      <c r="C977" s="89">
        <v>43511</v>
      </c>
      <c r="D977" s="40">
        <v>1718.66</v>
      </c>
    </row>
    <row r="978" spans="1:4">
      <c r="A978" s="359" t="s">
        <v>341</v>
      </c>
      <c r="B978" s="359" t="s">
        <v>342</v>
      </c>
      <c r="C978" s="89">
        <v>43511</v>
      </c>
      <c r="D978" s="40">
        <v>2300</v>
      </c>
    </row>
    <row r="979" spans="1:4">
      <c r="A979" s="359" t="s">
        <v>386</v>
      </c>
      <c r="B979" s="359" t="s">
        <v>387</v>
      </c>
      <c r="C979" s="89">
        <v>43511</v>
      </c>
      <c r="D979" s="40">
        <v>2500</v>
      </c>
    </row>
    <row r="980" spans="1:4">
      <c r="A980" s="359" t="s">
        <v>731</v>
      </c>
      <c r="B980" s="359" t="s">
        <v>755</v>
      </c>
      <c r="C980" s="89">
        <v>43511</v>
      </c>
      <c r="D980" s="40">
        <v>1607.943</v>
      </c>
    </row>
    <row r="981" spans="1:4">
      <c r="A981" s="359" t="s">
        <v>349</v>
      </c>
      <c r="B981" s="359" t="s">
        <v>350</v>
      </c>
      <c r="C981" s="89">
        <v>43511</v>
      </c>
      <c r="D981" s="40">
        <v>5000</v>
      </c>
    </row>
    <row r="982" spans="1:4">
      <c r="A982" s="359" t="s">
        <v>291</v>
      </c>
      <c r="B982" s="359" t="s">
        <v>292</v>
      </c>
      <c r="C982" s="89">
        <v>43511</v>
      </c>
      <c r="D982" s="40">
        <v>650</v>
      </c>
    </row>
    <row r="983" spans="1:4">
      <c r="A983" s="359" t="s">
        <v>293</v>
      </c>
      <c r="B983" s="359" t="s">
        <v>294</v>
      </c>
      <c r="C983" s="89">
        <v>43511</v>
      </c>
      <c r="D983" s="40">
        <v>1054.7919999999999</v>
      </c>
    </row>
    <row r="984" spans="1:4">
      <c r="A984" s="359" t="s">
        <v>461</v>
      </c>
      <c r="B984" s="359" t="s">
        <v>410</v>
      </c>
      <c r="C984" s="89">
        <v>43511</v>
      </c>
      <c r="D984" s="40">
        <v>3250</v>
      </c>
    </row>
    <row r="985" spans="1:4">
      <c r="A985" s="359" t="s">
        <v>1099</v>
      </c>
      <c r="B985" s="359" t="s">
        <v>658</v>
      </c>
      <c r="C985" s="89">
        <v>43511</v>
      </c>
      <c r="D985" s="40">
        <v>3000</v>
      </c>
    </row>
    <row r="986" spans="1:4">
      <c r="A986" s="359" t="s">
        <v>1020</v>
      </c>
      <c r="B986" s="359" t="s">
        <v>1050</v>
      </c>
      <c r="C986" s="89">
        <v>43511</v>
      </c>
      <c r="D986" s="40">
        <v>2331.31</v>
      </c>
    </row>
    <row r="987" spans="1:4">
      <c r="A987" s="359" t="s">
        <v>351</v>
      </c>
      <c r="B987" s="359" t="s">
        <v>352</v>
      </c>
      <c r="C987" s="89">
        <v>43511</v>
      </c>
      <c r="D987" s="40">
        <v>1412.0260000000001</v>
      </c>
    </row>
    <row r="988" spans="1:4">
      <c r="A988" s="359" t="s">
        <v>767</v>
      </c>
      <c r="B988" s="359" t="s">
        <v>768</v>
      </c>
      <c r="C988" s="89">
        <v>43511</v>
      </c>
      <c r="D988" s="40">
        <v>3000</v>
      </c>
    </row>
    <row r="989" spans="1:4">
      <c r="A989" s="359" t="s">
        <v>388</v>
      </c>
      <c r="B989" s="359" t="s">
        <v>389</v>
      </c>
      <c r="C989" s="89">
        <v>43511</v>
      </c>
      <c r="D989" s="40">
        <v>976.66499999999996</v>
      </c>
    </row>
    <row r="990" spans="1:4">
      <c r="A990" s="359" t="s">
        <v>355</v>
      </c>
      <c r="B990" s="359" t="s">
        <v>356</v>
      </c>
      <c r="C990" s="89">
        <v>43511</v>
      </c>
      <c r="D990" s="40">
        <v>750</v>
      </c>
    </row>
    <row r="991" spans="1:4">
      <c r="A991" s="359" t="s">
        <v>416</v>
      </c>
      <c r="B991" s="359" t="s">
        <v>417</v>
      </c>
      <c r="C991" s="89">
        <v>43512</v>
      </c>
      <c r="D991" s="40">
        <v>1100</v>
      </c>
    </row>
    <row r="992" spans="1:4">
      <c r="A992" s="359" t="s">
        <v>392</v>
      </c>
      <c r="B992" s="359" t="s">
        <v>393</v>
      </c>
      <c r="C992" s="89">
        <v>43512</v>
      </c>
      <c r="D992" s="40">
        <v>2000</v>
      </c>
    </row>
    <row r="993" spans="1:4">
      <c r="A993" s="359" t="s">
        <v>305</v>
      </c>
      <c r="B993" s="359" t="s">
        <v>306</v>
      </c>
      <c r="C993" s="89">
        <v>43512</v>
      </c>
      <c r="D993" s="40">
        <v>1386.663</v>
      </c>
    </row>
    <row r="994" spans="1:4">
      <c r="A994" s="359" t="s">
        <v>554</v>
      </c>
      <c r="B994" s="359" t="s">
        <v>555</v>
      </c>
      <c r="C994" s="89">
        <v>43513</v>
      </c>
      <c r="D994" s="40">
        <v>3788.1729999999998</v>
      </c>
    </row>
    <row r="995" spans="1:4">
      <c r="A995" s="359" t="s">
        <v>527</v>
      </c>
      <c r="B995" s="359" t="s">
        <v>528</v>
      </c>
      <c r="C995" s="89">
        <v>43513</v>
      </c>
      <c r="D995" s="40">
        <v>1150</v>
      </c>
    </row>
    <row r="996" spans="1:4">
      <c r="A996" s="359" t="s">
        <v>394</v>
      </c>
      <c r="B996" s="359" t="s">
        <v>395</v>
      </c>
      <c r="C996" s="89">
        <v>43513</v>
      </c>
      <c r="D996" s="40">
        <v>1310.127</v>
      </c>
    </row>
    <row r="997" spans="1:4">
      <c r="A997" s="359" t="s">
        <v>310</v>
      </c>
      <c r="B997" s="359" t="s">
        <v>311</v>
      </c>
      <c r="C997" s="89">
        <v>43514</v>
      </c>
      <c r="D997" s="40">
        <v>600</v>
      </c>
    </row>
    <row r="998" spans="1:4">
      <c r="A998" s="359" t="s">
        <v>1219</v>
      </c>
      <c r="B998" s="359" t="s">
        <v>1245</v>
      </c>
      <c r="C998" s="89">
        <v>43514</v>
      </c>
      <c r="D998" s="40">
        <v>1080.9259999999999</v>
      </c>
    </row>
    <row r="999" spans="1:4">
      <c r="A999" s="359" t="s">
        <v>359</v>
      </c>
      <c r="B999" s="359" t="s">
        <v>360</v>
      </c>
      <c r="C999" s="89">
        <v>43514</v>
      </c>
      <c r="D999" s="40">
        <v>1077.2750000000001</v>
      </c>
    </row>
    <row r="1000" spans="1:4">
      <c r="A1000" s="359" t="s">
        <v>403</v>
      </c>
      <c r="B1000" s="359" t="s">
        <v>404</v>
      </c>
      <c r="C1000" s="89">
        <v>43514</v>
      </c>
      <c r="D1000" s="40">
        <v>890</v>
      </c>
    </row>
    <row r="1001" spans="1:4">
      <c r="A1001" s="359" t="s">
        <v>416</v>
      </c>
      <c r="B1001" s="359" t="s">
        <v>417</v>
      </c>
      <c r="C1001" s="89">
        <v>43514</v>
      </c>
      <c r="D1001" s="40">
        <v>1100</v>
      </c>
    </row>
    <row r="1002" spans="1:4">
      <c r="A1002" s="359" t="s">
        <v>343</v>
      </c>
      <c r="B1002" s="359" t="s">
        <v>344</v>
      </c>
      <c r="C1002" s="89">
        <v>43514</v>
      </c>
      <c r="D1002" s="40">
        <v>730.28399999999999</v>
      </c>
    </row>
    <row r="1003" spans="1:4">
      <c r="A1003" s="359" t="s">
        <v>303</v>
      </c>
      <c r="B1003" s="359" t="s">
        <v>304</v>
      </c>
      <c r="C1003" s="89">
        <v>43514</v>
      </c>
      <c r="D1003" s="40">
        <v>970.45899999999995</v>
      </c>
    </row>
    <row r="1004" spans="1:4">
      <c r="A1004" s="359" t="s">
        <v>305</v>
      </c>
      <c r="B1004" s="359" t="s">
        <v>306</v>
      </c>
      <c r="C1004" s="89">
        <v>43514</v>
      </c>
      <c r="D1004" s="40">
        <v>1800</v>
      </c>
    </row>
    <row r="1005" spans="1:4">
      <c r="A1005" s="359" t="s">
        <v>403</v>
      </c>
      <c r="B1005" s="359" t="s">
        <v>404</v>
      </c>
      <c r="C1005" s="89">
        <v>43515</v>
      </c>
      <c r="D1005" s="40">
        <v>880</v>
      </c>
    </row>
    <row r="1006" spans="1:4">
      <c r="A1006" s="359" t="s">
        <v>400</v>
      </c>
      <c r="B1006" s="359" t="s">
        <v>401</v>
      </c>
      <c r="C1006" s="89">
        <v>43515</v>
      </c>
      <c r="D1006" s="40">
        <v>1000</v>
      </c>
    </row>
    <row r="1007" spans="1:4">
      <c r="A1007" s="359" t="s">
        <v>286</v>
      </c>
      <c r="B1007" s="359" t="s">
        <v>287</v>
      </c>
      <c r="C1007" s="89">
        <v>43515</v>
      </c>
      <c r="D1007" s="40">
        <v>1119.8800000000001</v>
      </c>
    </row>
    <row r="1008" spans="1:4">
      <c r="A1008" s="359" t="s">
        <v>357</v>
      </c>
      <c r="B1008" s="359" t="s">
        <v>358</v>
      </c>
      <c r="C1008" s="89">
        <v>43516</v>
      </c>
      <c r="D1008" s="40">
        <v>333.5</v>
      </c>
    </row>
    <row r="1009" spans="1:4">
      <c r="A1009" s="359" t="s">
        <v>428</v>
      </c>
      <c r="B1009" s="359" t="s">
        <v>429</v>
      </c>
      <c r="C1009" s="89">
        <v>43516</v>
      </c>
      <c r="D1009" s="40">
        <v>1200</v>
      </c>
    </row>
    <row r="1010" spans="1:4">
      <c r="A1010" s="359" t="s">
        <v>629</v>
      </c>
      <c r="B1010" s="359" t="s">
        <v>422</v>
      </c>
      <c r="C1010" s="89">
        <v>43516</v>
      </c>
      <c r="D1010" s="40">
        <v>3000</v>
      </c>
    </row>
    <row r="1011" spans="1:4">
      <c r="A1011" s="359" t="s">
        <v>505</v>
      </c>
      <c r="B1011" s="359" t="s">
        <v>506</v>
      </c>
      <c r="C1011" s="89">
        <v>43516</v>
      </c>
      <c r="D1011" s="40">
        <v>5142.68</v>
      </c>
    </row>
    <row r="1012" spans="1:4">
      <c r="A1012" s="359" t="s">
        <v>743</v>
      </c>
      <c r="B1012" s="359" t="s">
        <v>443</v>
      </c>
      <c r="C1012" s="89">
        <v>43516</v>
      </c>
      <c r="D1012" s="40">
        <v>9681.4259999999995</v>
      </c>
    </row>
    <row r="1013" spans="1:4">
      <c r="A1013" s="359" t="s">
        <v>1128</v>
      </c>
      <c r="B1013" s="359" t="s">
        <v>321</v>
      </c>
      <c r="C1013" s="89">
        <v>43516</v>
      </c>
      <c r="D1013" s="40">
        <v>7655.9960000000001</v>
      </c>
    </row>
    <row r="1014" spans="1:4">
      <c r="A1014" s="359" t="s">
        <v>403</v>
      </c>
      <c r="B1014" s="359" t="s">
        <v>404</v>
      </c>
      <c r="C1014" s="89">
        <v>43516</v>
      </c>
      <c r="D1014" s="40">
        <v>870</v>
      </c>
    </row>
    <row r="1015" spans="1:4">
      <c r="A1015" s="359" t="s">
        <v>590</v>
      </c>
      <c r="B1015" s="359" t="s">
        <v>323</v>
      </c>
      <c r="C1015" s="89">
        <v>43516</v>
      </c>
      <c r="D1015" s="40">
        <v>2500</v>
      </c>
    </row>
    <row r="1016" spans="1:4">
      <c r="A1016" s="359" t="s">
        <v>754</v>
      </c>
      <c r="B1016" s="359" t="s">
        <v>518</v>
      </c>
      <c r="C1016" s="89">
        <v>43516</v>
      </c>
      <c r="D1016" s="40">
        <v>583.93799999999999</v>
      </c>
    </row>
    <row r="1017" spans="1:4">
      <c r="A1017" s="359" t="s">
        <v>281</v>
      </c>
      <c r="B1017" s="359" t="s">
        <v>282</v>
      </c>
      <c r="C1017" s="89">
        <v>43516</v>
      </c>
      <c r="D1017" s="40">
        <v>1850</v>
      </c>
    </row>
    <row r="1018" spans="1:4">
      <c r="A1018" s="359" t="s">
        <v>377</v>
      </c>
      <c r="B1018" s="359" t="s">
        <v>325</v>
      </c>
      <c r="C1018" s="89">
        <v>43516</v>
      </c>
      <c r="D1018" s="40">
        <v>400</v>
      </c>
    </row>
    <row r="1019" spans="1:4">
      <c r="A1019" s="359" t="s">
        <v>452</v>
      </c>
      <c r="B1019" s="359" t="s">
        <v>453</v>
      </c>
      <c r="C1019" s="89">
        <v>43516</v>
      </c>
      <c r="D1019" s="40">
        <v>2241.7730000000001</v>
      </c>
    </row>
    <row r="1020" spans="1:4">
      <c r="A1020" s="359" t="s">
        <v>382</v>
      </c>
      <c r="B1020" s="359" t="s">
        <v>383</v>
      </c>
      <c r="C1020" s="89">
        <v>43516</v>
      </c>
      <c r="D1020" s="40">
        <v>2623.3249999999998</v>
      </c>
    </row>
    <row r="1021" spans="1:4">
      <c r="A1021" s="359" t="s">
        <v>339</v>
      </c>
      <c r="B1021" s="359" t="s">
        <v>340</v>
      </c>
      <c r="C1021" s="89">
        <v>43516</v>
      </c>
      <c r="D1021" s="40">
        <v>1091.8440000000001</v>
      </c>
    </row>
    <row r="1022" spans="1:4">
      <c r="A1022" s="359" t="s">
        <v>301</v>
      </c>
      <c r="B1022" s="359" t="s">
        <v>302</v>
      </c>
      <c r="C1022" s="89">
        <v>43516</v>
      </c>
      <c r="D1022" s="40">
        <v>3000</v>
      </c>
    </row>
    <row r="1023" spans="1:4">
      <c r="A1023" s="359" t="s">
        <v>1606</v>
      </c>
      <c r="B1023" s="359" t="s">
        <v>1605</v>
      </c>
      <c r="C1023" s="89">
        <v>43516</v>
      </c>
      <c r="D1023" s="40">
        <v>2000</v>
      </c>
    </row>
    <row r="1024" spans="1:4">
      <c r="A1024" s="359" t="s">
        <v>341</v>
      </c>
      <c r="B1024" s="359" t="s">
        <v>342</v>
      </c>
      <c r="C1024" s="89">
        <v>43516</v>
      </c>
      <c r="D1024" s="40">
        <v>2300</v>
      </c>
    </row>
    <row r="1025" spans="1:4">
      <c r="A1025" s="359" t="s">
        <v>386</v>
      </c>
      <c r="B1025" s="359" t="s">
        <v>387</v>
      </c>
      <c r="C1025" s="89">
        <v>43516</v>
      </c>
      <c r="D1025" s="40">
        <v>2500</v>
      </c>
    </row>
    <row r="1026" spans="1:4">
      <c r="A1026" s="359" t="s">
        <v>671</v>
      </c>
      <c r="B1026" s="359" t="s">
        <v>573</v>
      </c>
      <c r="C1026" s="89">
        <v>43516</v>
      </c>
      <c r="D1026" s="40">
        <v>2000</v>
      </c>
    </row>
    <row r="1027" spans="1:4">
      <c r="A1027" s="359" t="s">
        <v>1240</v>
      </c>
      <c r="B1027" s="359" t="s">
        <v>622</v>
      </c>
      <c r="C1027" s="89">
        <v>43516</v>
      </c>
      <c r="D1027" s="40">
        <v>8733.3420000000006</v>
      </c>
    </row>
    <row r="1028" spans="1:4">
      <c r="A1028" s="359" t="s">
        <v>355</v>
      </c>
      <c r="B1028" s="359" t="s">
        <v>356</v>
      </c>
      <c r="C1028" s="89">
        <v>43516</v>
      </c>
      <c r="D1028" s="40">
        <v>735</v>
      </c>
    </row>
    <row r="1029" spans="1:4">
      <c r="A1029" s="359" t="s">
        <v>1213</v>
      </c>
      <c r="B1029" s="359" t="s">
        <v>682</v>
      </c>
      <c r="C1029" s="89">
        <v>43517</v>
      </c>
      <c r="D1029" s="40">
        <v>1000</v>
      </c>
    </row>
    <row r="1030" spans="1:4">
      <c r="A1030" s="359" t="s">
        <v>527</v>
      </c>
      <c r="B1030" s="359" t="s">
        <v>528</v>
      </c>
      <c r="C1030" s="89">
        <v>43517</v>
      </c>
      <c r="D1030" s="40">
        <v>1150</v>
      </c>
    </row>
    <row r="1031" spans="1:4">
      <c r="A1031" s="359" t="s">
        <v>400</v>
      </c>
      <c r="B1031" s="359" t="s">
        <v>401</v>
      </c>
      <c r="C1031" s="89">
        <v>43517</v>
      </c>
      <c r="D1031" s="40">
        <v>1000</v>
      </c>
    </row>
    <row r="1032" spans="1:4">
      <c r="A1032" s="359" t="s">
        <v>286</v>
      </c>
      <c r="B1032" s="359" t="s">
        <v>287</v>
      </c>
      <c r="C1032" s="89">
        <v>43517</v>
      </c>
      <c r="D1032" s="40">
        <v>2000</v>
      </c>
    </row>
    <row r="1033" spans="1:4">
      <c r="A1033" s="359" t="s">
        <v>403</v>
      </c>
      <c r="B1033" s="359" t="s">
        <v>404</v>
      </c>
      <c r="C1033" s="89">
        <v>43518</v>
      </c>
      <c r="D1033" s="40">
        <v>875</v>
      </c>
    </row>
    <row r="1034" spans="1:4">
      <c r="A1034" s="359" t="s">
        <v>593</v>
      </c>
      <c r="B1034" s="359" t="s">
        <v>594</v>
      </c>
      <c r="C1034" s="89">
        <v>43518</v>
      </c>
      <c r="D1034" s="40">
        <v>950.58900000000006</v>
      </c>
    </row>
    <row r="1035" spans="1:4">
      <c r="A1035" s="359" t="s">
        <v>291</v>
      </c>
      <c r="B1035" s="359" t="s">
        <v>292</v>
      </c>
      <c r="C1035" s="89">
        <v>43518</v>
      </c>
      <c r="D1035" s="40">
        <v>650</v>
      </c>
    </row>
    <row r="1036" spans="1:4">
      <c r="A1036" s="359" t="s">
        <v>767</v>
      </c>
      <c r="B1036" s="359" t="s">
        <v>768</v>
      </c>
      <c r="C1036" s="89">
        <v>43518</v>
      </c>
      <c r="D1036" s="40">
        <v>3000</v>
      </c>
    </row>
    <row r="1037" spans="1:4">
      <c r="A1037" s="359" t="s">
        <v>567</v>
      </c>
      <c r="B1037" s="359" t="s">
        <v>568</v>
      </c>
      <c r="C1037" s="89">
        <v>43519</v>
      </c>
      <c r="D1037" s="40">
        <v>2000</v>
      </c>
    </row>
    <row r="1038" spans="1:4">
      <c r="A1038" s="359" t="s">
        <v>394</v>
      </c>
      <c r="B1038" s="359" t="s">
        <v>395</v>
      </c>
      <c r="C1038" s="89">
        <v>43519</v>
      </c>
      <c r="D1038" s="40">
        <v>2000</v>
      </c>
    </row>
    <row r="1039" spans="1:4">
      <c r="A1039" s="359" t="s">
        <v>403</v>
      </c>
      <c r="B1039" s="359" t="s">
        <v>404</v>
      </c>
      <c r="C1039" s="89">
        <v>43520</v>
      </c>
      <c r="D1039" s="40">
        <v>860</v>
      </c>
    </row>
    <row r="1040" spans="1:4">
      <c r="A1040" s="359" t="s">
        <v>1604</v>
      </c>
      <c r="B1040" s="359" t="s">
        <v>493</v>
      </c>
      <c r="C1040" s="89">
        <v>43521</v>
      </c>
      <c r="D1040" s="40">
        <v>1659.4639999999999</v>
      </c>
    </row>
    <row r="1041" spans="1:4">
      <c r="A1041" s="359" t="s">
        <v>1223</v>
      </c>
      <c r="B1041" s="359" t="s">
        <v>369</v>
      </c>
      <c r="C1041" s="89">
        <v>43521</v>
      </c>
      <c r="D1041" s="40">
        <v>1371.4839999999999</v>
      </c>
    </row>
    <row r="1042" spans="1:4">
      <c r="A1042" s="359" t="s">
        <v>598</v>
      </c>
      <c r="B1042" s="359" t="s">
        <v>317</v>
      </c>
      <c r="C1042" s="89">
        <v>43521</v>
      </c>
      <c r="D1042" s="40">
        <v>1075.1410000000001</v>
      </c>
    </row>
    <row r="1043" spans="1:4">
      <c r="A1043" s="359" t="s">
        <v>619</v>
      </c>
      <c r="B1043" s="359" t="s">
        <v>405</v>
      </c>
      <c r="C1043" s="89">
        <v>43521</v>
      </c>
      <c r="D1043" s="40">
        <v>3378.8090000000002</v>
      </c>
    </row>
    <row r="1044" spans="1:4">
      <c r="A1044" s="359" t="s">
        <v>359</v>
      </c>
      <c r="B1044" s="359" t="s">
        <v>360</v>
      </c>
      <c r="C1044" s="89">
        <v>43521</v>
      </c>
      <c r="D1044" s="40">
        <v>1077.2750000000001</v>
      </c>
    </row>
    <row r="1045" spans="1:4">
      <c r="A1045" s="359" t="s">
        <v>770</v>
      </c>
      <c r="B1045" s="359" t="s">
        <v>771</v>
      </c>
      <c r="C1045" s="89">
        <v>43521</v>
      </c>
      <c r="D1045" s="40">
        <v>2436.5059999999999</v>
      </c>
    </row>
    <row r="1046" spans="1:4">
      <c r="A1046" s="359" t="s">
        <v>324</v>
      </c>
      <c r="B1046" s="359" t="s">
        <v>325</v>
      </c>
      <c r="C1046" s="89">
        <v>43521</v>
      </c>
      <c r="D1046" s="40">
        <v>1000</v>
      </c>
    </row>
    <row r="1047" spans="1:4">
      <c r="A1047" s="359" t="s">
        <v>1467</v>
      </c>
      <c r="B1047" s="359" t="s">
        <v>553</v>
      </c>
      <c r="C1047" s="89">
        <v>43521</v>
      </c>
      <c r="D1047" s="40">
        <v>1108.0139999999999</v>
      </c>
    </row>
    <row r="1048" spans="1:4">
      <c r="A1048" s="359" t="s">
        <v>1111</v>
      </c>
      <c r="B1048" s="359" t="s">
        <v>600</v>
      </c>
      <c r="C1048" s="89">
        <v>43521</v>
      </c>
      <c r="D1048" s="40">
        <v>2935.9360000000001</v>
      </c>
    </row>
    <row r="1049" spans="1:4">
      <c r="A1049" s="359" t="s">
        <v>406</v>
      </c>
      <c r="B1049" s="359" t="s">
        <v>407</v>
      </c>
      <c r="C1049" s="89">
        <v>43521</v>
      </c>
      <c r="D1049" s="40">
        <v>3500</v>
      </c>
    </row>
    <row r="1050" spans="1:4">
      <c r="A1050" s="359" t="s">
        <v>400</v>
      </c>
      <c r="B1050" s="359" t="s">
        <v>401</v>
      </c>
      <c r="C1050" s="89">
        <v>43521</v>
      </c>
      <c r="D1050" s="40">
        <v>2000</v>
      </c>
    </row>
    <row r="1051" spans="1:4">
      <c r="A1051" s="359" t="s">
        <v>341</v>
      </c>
      <c r="B1051" s="359" t="s">
        <v>342</v>
      </c>
      <c r="C1051" s="89">
        <v>43521</v>
      </c>
      <c r="D1051" s="40">
        <v>2300</v>
      </c>
    </row>
    <row r="1052" spans="1:4">
      <c r="A1052" s="359" t="s">
        <v>386</v>
      </c>
      <c r="B1052" s="359" t="s">
        <v>387</v>
      </c>
      <c r="C1052" s="89">
        <v>43521</v>
      </c>
      <c r="D1052" s="40">
        <v>2500</v>
      </c>
    </row>
    <row r="1053" spans="1:4">
      <c r="A1053" s="359" t="s">
        <v>286</v>
      </c>
      <c r="B1053" s="359" t="s">
        <v>287</v>
      </c>
      <c r="C1053" s="89">
        <v>43521</v>
      </c>
      <c r="D1053" s="40">
        <v>1405.855</v>
      </c>
    </row>
    <row r="1054" spans="1:4">
      <c r="A1054" s="359" t="s">
        <v>305</v>
      </c>
      <c r="B1054" s="359" t="s">
        <v>306</v>
      </c>
      <c r="C1054" s="89">
        <v>43521</v>
      </c>
      <c r="D1054" s="40">
        <v>1500</v>
      </c>
    </row>
    <row r="1055" spans="1:4">
      <c r="A1055" s="359" t="s">
        <v>349</v>
      </c>
      <c r="B1055" s="359" t="s">
        <v>350</v>
      </c>
      <c r="C1055" s="89">
        <v>43521</v>
      </c>
      <c r="D1055" s="40">
        <v>6000</v>
      </c>
    </row>
    <row r="1056" spans="1:4">
      <c r="A1056" s="359" t="s">
        <v>727</v>
      </c>
      <c r="B1056" s="359" t="s">
        <v>752</v>
      </c>
      <c r="C1056" s="89">
        <v>43521</v>
      </c>
      <c r="D1056" s="40">
        <v>2257.598</v>
      </c>
    </row>
    <row r="1057" spans="1:4">
      <c r="A1057" s="359" t="s">
        <v>355</v>
      </c>
      <c r="B1057" s="359" t="s">
        <v>356</v>
      </c>
      <c r="C1057" s="89">
        <v>43521</v>
      </c>
      <c r="D1057" s="40">
        <v>730</v>
      </c>
    </row>
    <row r="1058" spans="1:4">
      <c r="A1058" s="359" t="s">
        <v>403</v>
      </c>
      <c r="B1058" s="359" t="s">
        <v>404</v>
      </c>
      <c r="C1058" s="89">
        <v>43522</v>
      </c>
      <c r="D1058" s="40">
        <v>865</v>
      </c>
    </row>
    <row r="1059" spans="1:4">
      <c r="A1059" s="359" t="s">
        <v>301</v>
      </c>
      <c r="B1059" s="359" t="s">
        <v>302</v>
      </c>
      <c r="C1059" s="89">
        <v>43522</v>
      </c>
      <c r="D1059" s="40">
        <v>3000</v>
      </c>
    </row>
    <row r="1060" spans="1:4">
      <c r="A1060" s="359" t="s">
        <v>303</v>
      </c>
      <c r="B1060" s="359" t="s">
        <v>304</v>
      </c>
      <c r="C1060" s="89">
        <v>43522</v>
      </c>
      <c r="D1060" s="40">
        <v>970.46</v>
      </c>
    </row>
    <row r="1061" spans="1:4">
      <c r="A1061" s="359" t="s">
        <v>416</v>
      </c>
      <c r="B1061" s="359" t="s">
        <v>417</v>
      </c>
      <c r="C1061" s="89">
        <v>43523</v>
      </c>
      <c r="D1061" s="40">
        <v>1100</v>
      </c>
    </row>
    <row r="1062" spans="1:4">
      <c r="A1062" s="359" t="s">
        <v>418</v>
      </c>
      <c r="B1062" s="359" t="s">
        <v>419</v>
      </c>
      <c r="C1062" s="89">
        <v>43523</v>
      </c>
      <c r="D1062" s="40">
        <v>10484.424999999999</v>
      </c>
    </row>
    <row r="1063" spans="1:4">
      <c r="A1063" s="359" t="s">
        <v>418</v>
      </c>
      <c r="B1063" s="359" t="s">
        <v>419</v>
      </c>
      <c r="C1063" s="89">
        <v>43523</v>
      </c>
      <c r="D1063" s="40">
        <v>4961.8329999999996</v>
      </c>
    </row>
    <row r="1064" spans="1:4">
      <c r="A1064" s="359" t="s">
        <v>585</v>
      </c>
      <c r="B1064" s="359" t="s">
        <v>586</v>
      </c>
      <c r="C1064" s="89">
        <v>43523</v>
      </c>
      <c r="D1064" s="40">
        <v>4999.4009999999998</v>
      </c>
    </row>
    <row r="1065" spans="1:4">
      <c r="A1065" s="359" t="s">
        <v>936</v>
      </c>
      <c r="B1065" s="359" t="s">
        <v>624</v>
      </c>
      <c r="C1065" s="89">
        <v>43524</v>
      </c>
      <c r="D1065" s="40">
        <v>1352</v>
      </c>
    </row>
    <row r="1066" spans="1:4">
      <c r="A1066" s="359" t="s">
        <v>494</v>
      </c>
      <c r="B1066" s="359" t="s">
        <v>495</v>
      </c>
      <c r="C1066" s="89">
        <v>43524</v>
      </c>
      <c r="D1066" s="40">
        <v>10385.874</v>
      </c>
    </row>
    <row r="1067" spans="1:4">
      <c r="A1067" s="359" t="s">
        <v>694</v>
      </c>
      <c r="B1067" s="359" t="s">
        <v>571</v>
      </c>
      <c r="C1067" s="89">
        <v>43524</v>
      </c>
      <c r="D1067" s="40">
        <v>4736.723</v>
      </c>
    </row>
    <row r="1068" spans="1:4">
      <c r="A1068" s="359" t="s">
        <v>1603</v>
      </c>
      <c r="B1068" s="359" t="s">
        <v>1602</v>
      </c>
      <c r="C1068" s="89">
        <v>43524</v>
      </c>
      <c r="D1068" s="40">
        <v>3540.6880000000001</v>
      </c>
    </row>
    <row r="1069" spans="1:4">
      <c r="A1069" s="359" t="s">
        <v>746</v>
      </c>
      <c r="B1069" s="359" t="s">
        <v>562</v>
      </c>
      <c r="C1069" s="89">
        <v>43524</v>
      </c>
      <c r="D1069" s="40">
        <v>1297.9380000000001</v>
      </c>
    </row>
    <row r="1070" spans="1:4">
      <c r="A1070" s="359" t="s">
        <v>357</v>
      </c>
      <c r="B1070" s="359" t="s">
        <v>358</v>
      </c>
      <c r="C1070" s="89">
        <v>43524</v>
      </c>
      <c r="D1070" s="40">
        <v>333.899</v>
      </c>
    </row>
    <row r="1071" spans="1:4">
      <c r="A1071" s="359" t="s">
        <v>685</v>
      </c>
      <c r="B1071" s="359" t="s">
        <v>627</v>
      </c>
      <c r="C1071" s="89">
        <v>43524</v>
      </c>
      <c r="D1071" s="40">
        <v>424.54899999999998</v>
      </c>
    </row>
    <row r="1072" spans="1:4">
      <c r="A1072" s="359" t="s">
        <v>310</v>
      </c>
      <c r="B1072" s="359" t="s">
        <v>311</v>
      </c>
      <c r="C1072" s="89">
        <v>43524</v>
      </c>
      <c r="D1072" s="40">
        <v>638.22900000000004</v>
      </c>
    </row>
    <row r="1073" spans="1:4">
      <c r="A1073" s="359" t="s">
        <v>428</v>
      </c>
      <c r="B1073" s="359" t="s">
        <v>429</v>
      </c>
      <c r="C1073" s="89">
        <v>43524</v>
      </c>
      <c r="D1073" s="40">
        <v>1213.308</v>
      </c>
    </row>
    <row r="1074" spans="1:4">
      <c r="A1074" s="359" t="s">
        <v>315</v>
      </c>
      <c r="B1074" s="359" t="s">
        <v>314</v>
      </c>
      <c r="C1074" s="89">
        <v>43524</v>
      </c>
      <c r="D1074" s="40">
        <v>4000</v>
      </c>
    </row>
    <row r="1075" spans="1:4">
      <c r="A1075" s="359" t="s">
        <v>629</v>
      </c>
      <c r="B1075" s="359" t="s">
        <v>422</v>
      </c>
      <c r="C1075" s="89">
        <v>43524</v>
      </c>
      <c r="D1075" s="40">
        <v>3310.895</v>
      </c>
    </row>
    <row r="1076" spans="1:4">
      <c r="A1076" s="359" t="s">
        <v>1601</v>
      </c>
      <c r="B1076" s="359" t="s">
        <v>502</v>
      </c>
      <c r="C1076" s="89">
        <v>43524</v>
      </c>
      <c r="D1076" s="40">
        <v>630.85400000000004</v>
      </c>
    </row>
    <row r="1077" spans="1:4">
      <c r="A1077" s="359" t="s">
        <v>372</v>
      </c>
      <c r="B1077" s="359" t="s">
        <v>373</v>
      </c>
      <c r="C1077" s="89">
        <v>43524</v>
      </c>
      <c r="D1077" s="40">
        <v>1098.5440000000001</v>
      </c>
    </row>
    <row r="1078" spans="1:4">
      <c r="A1078" s="359" t="s">
        <v>988</v>
      </c>
      <c r="B1078" s="359" t="s">
        <v>316</v>
      </c>
      <c r="C1078" s="89">
        <v>43524</v>
      </c>
      <c r="D1078" s="40">
        <v>1679.393</v>
      </c>
    </row>
    <row r="1079" spans="1:4">
      <c r="A1079" s="359" t="s">
        <v>1596</v>
      </c>
      <c r="B1079" s="359" t="s">
        <v>289</v>
      </c>
      <c r="C1079" s="89">
        <v>43524</v>
      </c>
      <c r="D1079" s="40">
        <v>3000</v>
      </c>
    </row>
    <row r="1080" spans="1:4">
      <c r="A1080" s="359" t="s">
        <v>439</v>
      </c>
      <c r="B1080" s="359" t="s">
        <v>440</v>
      </c>
      <c r="C1080" s="89">
        <v>43524</v>
      </c>
      <c r="D1080" s="40">
        <v>619.24599999999998</v>
      </c>
    </row>
    <row r="1081" spans="1:4">
      <c r="A1081" s="359" t="s">
        <v>701</v>
      </c>
      <c r="B1081" s="359" t="s">
        <v>564</v>
      </c>
      <c r="C1081" s="89">
        <v>43524</v>
      </c>
      <c r="D1081" s="40">
        <v>800</v>
      </c>
    </row>
    <row r="1082" spans="1:4">
      <c r="A1082" s="359" t="s">
        <v>686</v>
      </c>
      <c r="B1082" s="359" t="s">
        <v>687</v>
      </c>
      <c r="C1082" s="89">
        <v>43524</v>
      </c>
      <c r="D1082" s="40">
        <v>6280.11</v>
      </c>
    </row>
    <row r="1083" spans="1:4">
      <c r="A1083" s="359" t="s">
        <v>1244</v>
      </c>
      <c r="B1083" s="359" t="s">
        <v>1048</v>
      </c>
      <c r="C1083" s="89">
        <v>43524</v>
      </c>
      <c r="D1083" s="40">
        <v>968.64099999999996</v>
      </c>
    </row>
    <row r="1084" spans="1:4">
      <c r="A1084" s="359" t="s">
        <v>1213</v>
      </c>
      <c r="B1084" s="359" t="s">
        <v>682</v>
      </c>
      <c r="C1084" s="89">
        <v>43524</v>
      </c>
      <c r="D1084" s="40">
        <v>1000</v>
      </c>
    </row>
    <row r="1085" spans="1:4">
      <c r="A1085" s="359" t="s">
        <v>374</v>
      </c>
      <c r="B1085" s="359" t="s">
        <v>375</v>
      </c>
      <c r="C1085" s="89">
        <v>43524</v>
      </c>
      <c r="D1085" s="40">
        <v>1458.2619999999999</v>
      </c>
    </row>
    <row r="1086" spans="1:4">
      <c r="A1086" s="359" t="s">
        <v>1345</v>
      </c>
      <c r="B1086" s="359" t="s">
        <v>320</v>
      </c>
      <c r="C1086" s="89">
        <v>43524</v>
      </c>
      <c r="D1086" s="40">
        <v>3560</v>
      </c>
    </row>
    <row r="1087" spans="1:4">
      <c r="A1087" s="359" t="s">
        <v>514</v>
      </c>
      <c r="B1087" s="359" t="s">
        <v>515</v>
      </c>
      <c r="C1087" s="89">
        <v>43524</v>
      </c>
      <c r="D1087" s="40">
        <v>3070.3359999999998</v>
      </c>
    </row>
    <row r="1088" spans="1:4">
      <c r="A1088" s="359" t="s">
        <v>403</v>
      </c>
      <c r="B1088" s="359" t="s">
        <v>404</v>
      </c>
      <c r="C1088" s="89">
        <v>43524</v>
      </c>
      <c r="D1088" s="40">
        <v>855</v>
      </c>
    </row>
    <row r="1089" spans="1:4">
      <c r="A1089" s="359" t="s">
        <v>403</v>
      </c>
      <c r="B1089" s="359" t="s">
        <v>404</v>
      </c>
      <c r="C1089" s="89">
        <v>43524</v>
      </c>
      <c r="D1089" s="40">
        <v>850</v>
      </c>
    </row>
    <row r="1090" spans="1:4">
      <c r="A1090" s="359" t="s">
        <v>590</v>
      </c>
      <c r="B1090" s="359" t="s">
        <v>323</v>
      </c>
      <c r="C1090" s="89">
        <v>43524</v>
      </c>
      <c r="D1090" s="40">
        <v>2500</v>
      </c>
    </row>
    <row r="1091" spans="1:4">
      <c r="A1091" s="359" t="s">
        <v>1220</v>
      </c>
      <c r="B1091" s="359" t="s">
        <v>399</v>
      </c>
      <c r="C1091" s="89">
        <v>43524</v>
      </c>
      <c r="D1091" s="40">
        <v>5138.125</v>
      </c>
    </row>
    <row r="1092" spans="1:4">
      <c r="A1092" s="359" t="s">
        <v>281</v>
      </c>
      <c r="B1092" s="359" t="s">
        <v>282</v>
      </c>
      <c r="C1092" s="89">
        <v>43524</v>
      </c>
      <c r="D1092" s="40">
        <v>1719.356</v>
      </c>
    </row>
    <row r="1093" spans="1:4">
      <c r="A1093" s="359" t="s">
        <v>377</v>
      </c>
      <c r="B1093" s="359" t="s">
        <v>325</v>
      </c>
      <c r="C1093" s="89">
        <v>43524</v>
      </c>
      <c r="D1093" s="40">
        <v>1000</v>
      </c>
    </row>
    <row r="1094" spans="1:4">
      <c r="A1094" s="359" t="s">
        <v>769</v>
      </c>
      <c r="B1094" s="359" t="s">
        <v>378</v>
      </c>
      <c r="C1094" s="89">
        <v>43524</v>
      </c>
      <c r="D1094" s="40">
        <v>1500</v>
      </c>
    </row>
    <row r="1095" spans="1:4">
      <c r="A1095" s="359" t="s">
        <v>692</v>
      </c>
      <c r="B1095" s="359" t="s">
        <v>522</v>
      </c>
      <c r="C1095" s="89">
        <v>43524</v>
      </c>
      <c r="D1095" s="40">
        <v>889.28</v>
      </c>
    </row>
    <row r="1096" spans="1:4">
      <c r="A1096" s="359" t="s">
        <v>651</v>
      </c>
      <c r="B1096" s="359" t="s">
        <v>451</v>
      </c>
      <c r="C1096" s="89">
        <v>43524</v>
      </c>
      <c r="D1096" s="40">
        <v>2478.8910000000001</v>
      </c>
    </row>
    <row r="1097" spans="1:4">
      <c r="A1097" s="359" t="s">
        <v>406</v>
      </c>
      <c r="B1097" s="359" t="s">
        <v>407</v>
      </c>
      <c r="C1097" s="89">
        <v>43524</v>
      </c>
      <c r="D1097" s="40">
        <v>3562.681</v>
      </c>
    </row>
    <row r="1098" spans="1:4">
      <c r="A1098" s="359" t="s">
        <v>525</v>
      </c>
      <c r="B1098" s="359" t="s">
        <v>526</v>
      </c>
      <c r="C1098" s="89">
        <v>43524</v>
      </c>
      <c r="D1098" s="40">
        <v>5450.8249999999998</v>
      </c>
    </row>
    <row r="1099" spans="1:4">
      <c r="A1099" s="359" t="s">
        <v>527</v>
      </c>
      <c r="B1099" s="359" t="s">
        <v>528</v>
      </c>
      <c r="C1099" s="89">
        <v>43524</v>
      </c>
      <c r="D1099" s="40">
        <v>1173.731</v>
      </c>
    </row>
    <row r="1100" spans="1:4">
      <c r="A1100" s="359" t="s">
        <v>327</v>
      </c>
      <c r="B1100" s="359" t="s">
        <v>328</v>
      </c>
      <c r="C1100" s="89">
        <v>43524</v>
      </c>
      <c r="D1100" s="40">
        <v>1526.9849999999999</v>
      </c>
    </row>
    <row r="1101" spans="1:4">
      <c r="A1101" s="359" t="s">
        <v>416</v>
      </c>
      <c r="B1101" s="359" t="s">
        <v>417</v>
      </c>
      <c r="C1101" s="89">
        <v>43524</v>
      </c>
      <c r="D1101" s="40">
        <v>1100</v>
      </c>
    </row>
    <row r="1102" spans="1:4">
      <c r="A1102" s="359" t="s">
        <v>425</v>
      </c>
      <c r="B1102" s="359" t="s">
        <v>426</v>
      </c>
      <c r="C1102" s="89">
        <v>43524</v>
      </c>
      <c r="D1102" s="40">
        <v>2681.721</v>
      </c>
    </row>
    <row r="1103" spans="1:4">
      <c r="A1103" s="359" t="s">
        <v>601</v>
      </c>
      <c r="B1103" s="359" t="s">
        <v>602</v>
      </c>
      <c r="C1103" s="89">
        <v>43524</v>
      </c>
      <c r="D1103" s="40">
        <v>3500</v>
      </c>
    </row>
    <row r="1104" spans="1:4">
      <c r="A1104" s="359" t="s">
        <v>400</v>
      </c>
      <c r="B1104" s="359" t="s">
        <v>401</v>
      </c>
      <c r="C1104" s="89">
        <v>43524</v>
      </c>
      <c r="D1104" s="40">
        <v>2417.19</v>
      </c>
    </row>
    <row r="1105" spans="1:4">
      <c r="A1105" s="359" t="s">
        <v>335</v>
      </c>
      <c r="B1105" s="359" t="s">
        <v>336</v>
      </c>
      <c r="C1105" s="89">
        <v>43524</v>
      </c>
      <c r="D1105" s="40">
        <v>1822</v>
      </c>
    </row>
    <row r="1106" spans="1:4">
      <c r="A1106" s="359" t="s">
        <v>339</v>
      </c>
      <c r="B1106" s="359" t="s">
        <v>340</v>
      </c>
      <c r="C1106" s="89">
        <v>43524</v>
      </c>
      <c r="D1106" s="40">
        <v>1091.8440000000001</v>
      </c>
    </row>
    <row r="1107" spans="1:4">
      <c r="A1107" s="359" t="s">
        <v>472</v>
      </c>
      <c r="B1107" s="359" t="s">
        <v>473</v>
      </c>
      <c r="C1107" s="89">
        <v>43524</v>
      </c>
      <c r="D1107" s="40">
        <v>3506.9369999999999</v>
      </c>
    </row>
    <row r="1108" spans="1:4">
      <c r="A1108" s="359" t="s">
        <v>301</v>
      </c>
      <c r="B1108" s="359" t="s">
        <v>302</v>
      </c>
      <c r="C1108" s="89">
        <v>43524</v>
      </c>
      <c r="D1108" s="40">
        <v>1839.934</v>
      </c>
    </row>
    <row r="1109" spans="1:4">
      <c r="A1109" s="359" t="s">
        <v>973</v>
      </c>
      <c r="B1109" s="359" t="s">
        <v>1053</v>
      </c>
      <c r="C1109" s="89">
        <v>43524</v>
      </c>
      <c r="D1109" s="40">
        <v>13000</v>
      </c>
    </row>
    <row r="1110" spans="1:4">
      <c r="A1110" s="359" t="s">
        <v>1600</v>
      </c>
      <c r="B1110" s="359" t="s">
        <v>1599</v>
      </c>
      <c r="C1110" s="89">
        <v>43524</v>
      </c>
      <c r="D1110" s="40">
        <v>1722.2159999999999</v>
      </c>
    </row>
    <row r="1111" spans="1:4">
      <c r="A1111" s="359" t="s">
        <v>478</v>
      </c>
      <c r="B1111" s="359" t="s">
        <v>479</v>
      </c>
      <c r="C1111" s="89">
        <v>43524</v>
      </c>
      <c r="D1111" s="40">
        <v>4869.9269999999997</v>
      </c>
    </row>
    <row r="1112" spans="1:4">
      <c r="A1112" s="359" t="s">
        <v>286</v>
      </c>
      <c r="B1112" s="359" t="s">
        <v>287</v>
      </c>
      <c r="C1112" s="89">
        <v>43524</v>
      </c>
      <c r="D1112" s="40">
        <v>2000</v>
      </c>
    </row>
    <row r="1113" spans="1:4">
      <c r="A1113" s="359" t="s">
        <v>583</v>
      </c>
      <c r="B1113" s="359" t="s">
        <v>584</v>
      </c>
      <c r="C1113" s="89">
        <v>43524</v>
      </c>
      <c r="D1113" s="40">
        <v>7721.6329999999998</v>
      </c>
    </row>
    <row r="1114" spans="1:4">
      <c r="A1114" s="359" t="s">
        <v>291</v>
      </c>
      <c r="B1114" s="359" t="s">
        <v>292</v>
      </c>
      <c r="C1114" s="89">
        <v>43524</v>
      </c>
      <c r="D1114" s="40">
        <v>686.92700000000002</v>
      </c>
    </row>
    <row r="1115" spans="1:4">
      <c r="A1115" s="359" t="s">
        <v>394</v>
      </c>
      <c r="B1115" s="359" t="s">
        <v>395</v>
      </c>
      <c r="C1115" s="89">
        <v>43524</v>
      </c>
      <c r="D1115" s="40">
        <v>2000</v>
      </c>
    </row>
    <row r="1116" spans="1:4">
      <c r="A1116" s="359" t="s">
        <v>693</v>
      </c>
      <c r="B1116" s="359" t="s">
        <v>609</v>
      </c>
      <c r="C1116" s="89">
        <v>43524</v>
      </c>
      <c r="D1116" s="40">
        <v>2346.6019999999999</v>
      </c>
    </row>
    <row r="1117" spans="1:4">
      <c r="A1117" s="359" t="s">
        <v>461</v>
      </c>
      <c r="B1117" s="359" t="s">
        <v>410</v>
      </c>
      <c r="C1117" s="89">
        <v>43524</v>
      </c>
      <c r="D1117" s="40">
        <v>3250.895</v>
      </c>
    </row>
    <row r="1118" spans="1:4">
      <c r="A1118" s="359" t="s">
        <v>657</v>
      </c>
      <c r="B1118" s="359" t="s">
        <v>658</v>
      </c>
      <c r="C1118" s="89">
        <v>43524</v>
      </c>
      <c r="D1118" s="40">
        <v>3000</v>
      </c>
    </row>
    <row r="1119" spans="1:4">
      <c r="A1119" s="359" t="s">
        <v>463</v>
      </c>
      <c r="B1119" s="359" t="s">
        <v>464</v>
      </c>
      <c r="C1119" s="89">
        <v>43524</v>
      </c>
      <c r="D1119" s="40">
        <v>8716.9339999999993</v>
      </c>
    </row>
    <row r="1120" spans="1:4">
      <c r="A1120" s="359" t="s">
        <v>463</v>
      </c>
      <c r="B1120" s="359" t="s">
        <v>464</v>
      </c>
      <c r="C1120" s="89">
        <v>43524</v>
      </c>
      <c r="D1120" s="40">
        <v>8552.0229999999992</v>
      </c>
    </row>
    <row r="1121" spans="1:4">
      <c r="A1121" s="359" t="s">
        <v>487</v>
      </c>
      <c r="B1121" s="359" t="s">
        <v>488</v>
      </c>
      <c r="C1121" s="89">
        <v>43524</v>
      </c>
      <c r="D1121" s="40">
        <v>2657.7139999999999</v>
      </c>
    </row>
    <row r="1122" spans="1:4">
      <c r="A1122" s="359" t="s">
        <v>767</v>
      </c>
      <c r="B1122" s="359" t="s">
        <v>768</v>
      </c>
      <c r="C1122" s="89">
        <v>43524</v>
      </c>
      <c r="D1122" s="40">
        <v>2403.1309999999999</v>
      </c>
    </row>
    <row r="1123" spans="1:4">
      <c r="A1123" s="359" t="s">
        <v>489</v>
      </c>
      <c r="B1123" s="359" t="s">
        <v>490</v>
      </c>
      <c r="C1123" s="89">
        <v>43524</v>
      </c>
      <c r="D1123" s="40">
        <v>3399</v>
      </c>
    </row>
    <row r="1124" spans="1:4">
      <c r="A1124" s="359" t="s">
        <v>388</v>
      </c>
      <c r="B1124" s="359" t="s">
        <v>389</v>
      </c>
      <c r="C1124" s="89">
        <v>43524</v>
      </c>
      <c r="D1124" s="40">
        <v>800</v>
      </c>
    </row>
    <row r="1125" spans="1:4" ht="15.75" thickBot="1">
      <c r="A1125" s="359" t="s">
        <v>545</v>
      </c>
      <c r="B1125" s="359" t="s">
        <v>546</v>
      </c>
      <c r="C1125" s="89">
        <v>43524</v>
      </c>
      <c r="D1125" s="40">
        <v>6098.0630000000001</v>
      </c>
    </row>
    <row r="1126" spans="1:4" ht="15.75" thickBot="1">
      <c r="A1126" s="857" t="s">
        <v>1141</v>
      </c>
      <c r="B1126" s="858"/>
      <c r="C1126" s="858"/>
      <c r="D1126" s="620">
        <f>SUM(D853:D1125)</f>
        <v>637372.12900000007</v>
      </c>
    </row>
    <row r="1127" spans="1:4">
      <c r="A1127" s="359" t="s">
        <v>359</v>
      </c>
      <c r="B1127" s="359" t="s">
        <v>360</v>
      </c>
      <c r="C1127" s="89">
        <v>43525</v>
      </c>
      <c r="D1127" s="40">
        <v>1077.2750000000001</v>
      </c>
    </row>
    <row r="1128" spans="1:4">
      <c r="A1128" s="359" t="s">
        <v>554</v>
      </c>
      <c r="B1128" s="359" t="s">
        <v>555</v>
      </c>
      <c r="C1128" s="89">
        <v>43525</v>
      </c>
      <c r="D1128" s="40">
        <v>2200</v>
      </c>
    </row>
    <row r="1129" spans="1:4">
      <c r="A1129" s="359" t="s">
        <v>392</v>
      </c>
      <c r="B1129" s="359" t="s">
        <v>393</v>
      </c>
      <c r="C1129" s="89">
        <v>43525</v>
      </c>
      <c r="D1129" s="40">
        <v>2000</v>
      </c>
    </row>
    <row r="1130" spans="1:4">
      <c r="A1130" s="359" t="s">
        <v>341</v>
      </c>
      <c r="B1130" s="359" t="s">
        <v>342</v>
      </c>
      <c r="C1130" s="89">
        <v>43525</v>
      </c>
      <c r="D1130" s="40">
        <v>2292</v>
      </c>
    </row>
    <row r="1131" spans="1:4">
      <c r="A1131" s="359" t="s">
        <v>386</v>
      </c>
      <c r="B1131" s="359" t="s">
        <v>387</v>
      </c>
      <c r="C1131" s="89">
        <v>43526</v>
      </c>
      <c r="D1131" s="40">
        <v>2500</v>
      </c>
    </row>
    <row r="1132" spans="1:4">
      <c r="A1132" s="359" t="s">
        <v>355</v>
      </c>
      <c r="B1132" s="359" t="s">
        <v>356</v>
      </c>
      <c r="C1132" s="89">
        <v>43526</v>
      </c>
      <c r="D1132" s="40">
        <v>730.16</v>
      </c>
    </row>
    <row r="1133" spans="1:4">
      <c r="A1133" s="359" t="s">
        <v>1244</v>
      </c>
      <c r="B1133" s="359" t="s">
        <v>1048</v>
      </c>
      <c r="C1133" s="89">
        <v>43527</v>
      </c>
      <c r="D1133" s="40">
        <v>944.39200000000005</v>
      </c>
    </row>
    <row r="1134" spans="1:4">
      <c r="A1134" s="359" t="s">
        <v>315</v>
      </c>
      <c r="B1134" s="359" t="s">
        <v>314</v>
      </c>
      <c r="C1134" s="89">
        <v>43528</v>
      </c>
      <c r="D1134" s="40">
        <v>3545.288</v>
      </c>
    </row>
    <row r="1135" spans="1:4">
      <c r="A1135" s="359" t="s">
        <v>343</v>
      </c>
      <c r="B1135" s="359" t="s">
        <v>344</v>
      </c>
      <c r="C1135" s="89">
        <v>43528</v>
      </c>
      <c r="D1135" s="40">
        <v>1222.4490000000001</v>
      </c>
    </row>
    <row r="1136" spans="1:4">
      <c r="A1136" s="359" t="s">
        <v>286</v>
      </c>
      <c r="B1136" s="359" t="s">
        <v>287</v>
      </c>
      <c r="C1136" s="89">
        <v>43528</v>
      </c>
      <c r="D1136" s="40">
        <v>2500</v>
      </c>
    </row>
    <row r="1137" spans="1:4">
      <c r="A1137" s="359" t="s">
        <v>291</v>
      </c>
      <c r="B1137" s="359" t="s">
        <v>292</v>
      </c>
      <c r="C1137" s="89">
        <v>43528</v>
      </c>
      <c r="D1137" s="40">
        <v>401.04300000000001</v>
      </c>
    </row>
    <row r="1138" spans="1:4">
      <c r="A1138" s="359" t="s">
        <v>1223</v>
      </c>
      <c r="B1138" s="359" t="s">
        <v>369</v>
      </c>
      <c r="C1138" s="89">
        <v>43529</v>
      </c>
      <c r="D1138" s="40">
        <v>1400</v>
      </c>
    </row>
    <row r="1139" spans="1:4">
      <c r="A1139" s="359" t="s">
        <v>986</v>
      </c>
      <c r="B1139" s="359" t="s">
        <v>571</v>
      </c>
      <c r="C1139" s="89">
        <v>43529</v>
      </c>
      <c r="D1139" s="40">
        <v>351.97699999999998</v>
      </c>
    </row>
    <row r="1140" spans="1:4">
      <c r="A1140" s="359" t="s">
        <v>678</v>
      </c>
      <c r="B1140" s="359" t="s">
        <v>309</v>
      </c>
      <c r="C1140" s="89">
        <v>43529</v>
      </c>
      <c r="D1140" s="40">
        <v>2725</v>
      </c>
    </row>
    <row r="1141" spans="1:4">
      <c r="A1141" s="359" t="s">
        <v>359</v>
      </c>
      <c r="B1141" s="359" t="s">
        <v>360</v>
      </c>
      <c r="C1141" s="89">
        <v>43529</v>
      </c>
      <c r="D1141" s="40">
        <v>1077.2750000000001</v>
      </c>
    </row>
    <row r="1142" spans="1:4">
      <c r="A1142" s="359" t="s">
        <v>773</v>
      </c>
      <c r="B1142" s="359" t="s">
        <v>696</v>
      </c>
      <c r="C1142" s="89">
        <v>43529</v>
      </c>
      <c r="D1142" s="40">
        <v>2713.5149999999999</v>
      </c>
    </row>
    <row r="1143" spans="1:4">
      <c r="A1143" s="359" t="s">
        <v>335</v>
      </c>
      <c r="B1143" s="359" t="s">
        <v>336</v>
      </c>
      <c r="C1143" s="89">
        <v>43529</v>
      </c>
      <c r="D1143" s="40">
        <v>1883</v>
      </c>
    </row>
    <row r="1144" spans="1:4">
      <c r="A1144" s="359" t="s">
        <v>611</v>
      </c>
      <c r="B1144" s="359" t="s">
        <v>612</v>
      </c>
      <c r="C1144" s="89">
        <v>43529</v>
      </c>
      <c r="D1144" s="40">
        <v>3292.788</v>
      </c>
    </row>
    <row r="1145" spans="1:4">
      <c r="A1145" s="359" t="s">
        <v>605</v>
      </c>
      <c r="B1145" s="359" t="s">
        <v>606</v>
      </c>
      <c r="C1145" s="89">
        <v>43529</v>
      </c>
      <c r="D1145" s="40">
        <v>1511.6690000000001</v>
      </c>
    </row>
    <row r="1146" spans="1:4">
      <c r="A1146" s="359" t="s">
        <v>1598</v>
      </c>
      <c r="B1146" s="359" t="s">
        <v>1597</v>
      </c>
      <c r="C1146" s="89">
        <v>43529</v>
      </c>
      <c r="D1146" s="40">
        <v>1600.752</v>
      </c>
    </row>
    <row r="1147" spans="1:4">
      <c r="A1147" s="359" t="s">
        <v>341</v>
      </c>
      <c r="B1147" s="359" t="s">
        <v>342</v>
      </c>
      <c r="C1147" s="89">
        <v>43529</v>
      </c>
      <c r="D1147" s="40">
        <v>2050.35</v>
      </c>
    </row>
    <row r="1148" spans="1:4">
      <c r="A1148" s="359" t="s">
        <v>583</v>
      </c>
      <c r="B1148" s="359" t="s">
        <v>584</v>
      </c>
      <c r="C1148" s="89">
        <v>43529</v>
      </c>
      <c r="D1148" s="40">
        <v>6000</v>
      </c>
    </row>
    <row r="1149" spans="1:4">
      <c r="A1149" s="359" t="s">
        <v>726</v>
      </c>
      <c r="B1149" s="359" t="s">
        <v>666</v>
      </c>
      <c r="C1149" s="89">
        <v>43530</v>
      </c>
      <c r="D1149" s="40">
        <v>965.64200000000005</v>
      </c>
    </row>
    <row r="1150" spans="1:4">
      <c r="A1150" s="359" t="s">
        <v>428</v>
      </c>
      <c r="B1150" s="359" t="s">
        <v>429</v>
      </c>
      <c r="C1150" s="89">
        <v>43530</v>
      </c>
      <c r="D1150" s="40">
        <v>1200</v>
      </c>
    </row>
    <row r="1151" spans="1:4">
      <c r="A1151" s="359" t="s">
        <v>416</v>
      </c>
      <c r="B1151" s="359" t="s">
        <v>417</v>
      </c>
      <c r="C1151" s="89">
        <v>43530</v>
      </c>
      <c r="D1151" s="40">
        <v>1100</v>
      </c>
    </row>
    <row r="1152" spans="1:4">
      <c r="A1152" s="359" t="s">
        <v>1244</v>
      </c>
      <c r="B1152" s="359" t="s">
        <v>1048</v>
      </c>
      <c r="C1152" s="89">
        <v>43531</v>
      </c>
      <c r="D1152" s="40">
        <v>945.4</v>
      </c>
    </row>
    <row r="1153" spans="1:4">
      <c r="A1153" s="359" t="s">
        <v>1345</v>
      </c>
      <c r="B1153" s="359" t="s">
        <v>320</v>
      </c>
      <c r="C1153" s="89">
        <v>43531</v>
      </c>
      <c r="D1153" s="40">
        <v>3560</v>
      </c>
    </row>
    <row r="1154" spans="1:4">
      <c r="A1154" s="359" t="s">
        <v>697</v>
      </c>
      <c r="B1154" s="359" t="s">
        <v>568</v>
      </c>
      <c r="C1154" s="89">
        <v>43531</v>
      </c>
      <c r="D1154" s="40">
        <v>1233.9349999999999</v>
      </c>
    </row>
    <row r="1155" spans="1:4">
      <c r="A1155" s="359" t="s">
        <v>770</v>
      </c>
      <c r="B1155" s="359" t="s">
        <v>771</v>
      </c>
      <c r="C1155" s="89">
        <v>43532</v>
      </c>
      <c r="D1155" s="40">
        <v>2500</v>
      </c>
    </row>
    <row r="1156" spans="1:4">
      <c r="A1156" s="359" t="s">
        <v>590</v>
      </c>
      <c r="B1156" s="359" t="s">
        <v>323</v>
      </c>
      <c r="C1156" s="89">
        <v>43532</v>
      </c>
      <c r="D1156" s="40">
        <v>2500</v>
      </c>
    </row>
    <row r="1157" spans="1:4">
      <c r="A1157" s="359" t="s">
        <v>392</v>
      </c>
      <c r="B1157" s="359" t="s">
        <v>393</v>
      </c>
      <c r="C1157" s="89">
        <v>43532</v>
      </c>
      <c r="D1157" s="40">
        <v>2000</v>
      </c>
    </row>
    <row r="1158" spans="1:4">
      <c r="A1158" s="359" t="s">
        <v>1100</v>
      </c>
      <c r="B1158" s="359" t="s">
        <v>402</v>
      </c>
      <c r="C1158" s="89">
        <v>43534</v>
      </c>
      <c r="D1158" s="40">
        <v>2542.6179999999999</v>
      </c>
    </row>
    <row r="1159" spans="1:4">
      <c r="A1159" s="359" t="s">
        <v>428</v>
      </c>
      <c r="B1159" s="359" t="s">
        <v>429</v>
      </c>
      <c r="C1159" s="89">
        <v>43534</v>
      </c>
      <c r="D1159" s="40">
        <v>1200</v>
      </c>
    </row>
    <row r="1160" spans="1:4">
      <c r="A1160" s="359" t="s">
        <v>1596</v>
      </c>
      <c r="B1160" s="359" t="s">
        <v>289</v>
      </c>
      <c r="C1160" s="89">
        <v>43534</v>
      </c>
      <c r="D1160" s="40">
        <v>2900.0610000000001</v>
      </c>
    </row>
    <row r="1161" spans="1:4">
      <c r="A1161" s="359" t="s">
        <v>1244</v>
      </c>
      <c r="B1161" s="359" t="s">
        <v>1048</v>
      </c>
      <c r="C1161" s="89">
        <v>43534</v>
      </c>
      <c r="D1161" s="40">
        <v>943.08500000000004</v>
      </c>
    </row>
    <row r="1162" spans="1:4">
      <c r="A1162" s="359" t="s">
        <v>359</v>
      </c>
      <c r="B1162" s="359" t="s">
        <v>360</v>
      </c>
      <c r="C1162" s="89">
        <v>43534</v>
      </c>
      <c r="D1162" s="40">
        <v>1077.2750000000001</v>
      </c>
    </row>
    <row r="1163" spans="1:4">
      <c r="A1163" s="359" t="s">
        <v>593</v>
      </c>
      <c r="B1163" s="359" t="s">
        <v>594</v>
      </c>
      <c r="C1163" s="89">
        <v>43534</v>
      </c>
      <c r="D1163" s="40">
        <v>778.67200000000003</v>
      </c>
    </row>
    <row r="1164" spans="1:4">
      <c r="A1164" s="359" t="s">
        <v>590</v>
      </c>
      <c r="B1164" s="359" t="s">
        <v>323</v>
      </c>
      <c r="C1164" s="89">
        <v>43534</v>
      </c>
      <c r="D1164" s="40">
        <v>1680.8</v>
      </c>
    </row>
    <row r="1165" spans="1:4">
      <c r="A1165" s="359" t="s">
        <v>769</v>
      </c>
      <c r="B1165" s="359" t="s">
        <v>378</v>
      </c>
      <c r="C1165" s="89">
        <v>43534</v>
      </c>
      <c r="D1165" s="40">
        <v>1660.825</v>
      </c>
    </row>
    <row r="1166" spans="1:4">
      <c r="A1166" s="359" t="s">
        <v>413</v>
      </c>
      <c r="B1166" s="359" t="s">
        <v>414</v>
      </c>
      <c r="C1166" s="89">
        <v>43534</v>
      </c>
      <c r="D1166" s="40">
        <v>9028.2929999999997</v>
      </c>
    </row>
    <row r="1167" spans="1:4">
      <c r="A1167" s="359" t="s">
        <v>380</v>
      </c>
      <c r="B1167" s="359" t="s">
        <v>381</v>
      </c>
      <c r="C1167" s="89">
        <v>43534</v>
      </c>
      <c r="D1167" s="40">
        <v>890</v>
      </c>
    </row>
    <row r="1168" spans="1:4">
      <c r="A1168" s="359" t="s">
        <v>675</v>
      </c>
      <c r="B1168" s="359" t="s">
        <v>676</v>
      </c>
      <c r="C1168" s="89">
        <v>43534</v>
      </c>
      <c r="D1168" s="40">
        <v>2957.047</v>
      </c>
    </row>
    <row r="1169" spans="1:4">
      <c r="A1169" s="359" t="s">
        <v>384</v>
      </c>
      <c r="B1169" s="359" t="s">
        <v>385</v>
      </c>
      <c r="C1169" s="89">
        <v>43534</v>
      </c>
      <c r="D1169" s="40">
        <v>800</v>
      </c>
    </row>
    <row r="1170" spans="1:4">
      <c r="A1170" s="359" t="s">
        <v>341</v>
      </c>
      <c r="B1170" s="359" t="s">
        <v>342</v>
      </c>
      <c r="C1170" s="89">
        <v>43534</v>
      </c>
      <c r="D1170" s="40">
        <v>2000</v>
      </c>
    </row>
    <row r="1171" spans="1:4">
      <c r="A1171" s="359" t="s">
        <v>386</v>
      </c>
      <c r="B1171" s="359" t="s">
        <v>387</v>
      </c>
      <c r="C1171" s="89">
        <v>43534</v>
      </c>
      <c r="D1171" s="40">
        <v>2425.0030000000002</v>
      </c>
    </row>
    <row r="1172" spans="1:4">
      <c r="A1172" s="359" t="s">
        <v>583</v>
      </c>
      <c r="B1172" s="359" t="s">
        <v>584</v>
      </c>
      <c r="C1172" s="89">
        <v>43534</v>
      </c>
      <c r="D1172" s="40">
        <v>6594.2979999999998</v>
      </c>
    </row>
    <row r="1173" spans="1:4">
      <c r="A1173" s="359" t="s">
        <v>657</v>
      </c>
      <c r="B1173" s="359" t="s">
        <v>658</v>
      </c>
      <c r="C1173" s="89">
        <v>43534</v>
      </c>
      <c r="D1173" s="40">
        <v>2990</v>
      </c>
    </row>
    <row r="1174" spans="1:4">
      <c r="A1174" s="359" t="s">
        <v>281</v>
      </c>
      <c r="B1174" s="359" t="s">
        <v>282</v>
      </c>
      <c r="C1174" s="89">
        <v>43535</v>
      </c>
      <c r="D1174" s="40">
        <v>1850</v>
      </c>
    </row>
    <row r="1175" spans="1:4">
      <c r="A1175" s="359" t="s">
        <v>595</v>
      </c>
      <c r="B1175" s="359" t="s">
        <v>290</v>
      </c>
      <c r="C1175" s="89">
        <v>43535</v>
      </c>
      <c r="D1175" s="40">
        <v>816.822</v>
      </c>
    </row>
    <row r="1176" spans="1:4">
      <c r="A1176" s="359" t="s">
        <v>343</v>
      </c>
      <c r="B1176" s="359" t="s">
        <v>344</v>
      </c>
      <c r="C1176" s="89">
        <v>43535</v>
      </c>
      <c r="D1176" s="40">
        <v>1370.7950000000001</v>
      </c>
    </row>
    <row r="1177" spans="1:4">
      <c r="A1177" s="359" t="s">
        <v>286</v>
      </c>
      <c r="B1177" s="359" t="s">
        <v>287</v>
      </c>
      <c r="C1177" s="89">
        <v>43535</v>
      </c>
      <c r="D1177" s="40">
        <v>2500</v>
      </c>
    </row>
    <row r="1178" spans="1:4">
      <c r="A1178" s="359" t="s">
        <v>291</v>
      </c>
      <c r="B1178" s="359" t="s">
        <v>292</v>
      </c>
      <c r="C1178" s="89">
        <v>43535</v>
      </c>
      <c r="D1178" s="40">
        <v>500</v>
      </c>
    </row>
    <row r="1179" spans="1:4">
      <c r="A1179" s="359" t="s">
        <v>701</v>
      </c>
      <c r="B1179" s="359" t="s">
        <v>564</v>
      </c>
      <c r="C1179" s="89">
        <v>43536</v>
      </c>
      <c r="D1179" s="40">
        <v>799.76700000000005</v>
      </c>
    </row>
    <row r="1180" spans="1:4">
      <c r="A1180" s="359" t="s">
        <v>403</v>
      </c>
      <c r="B1180" s="359" t="s">
        <v>404</v>
      </c>
      <c r="C1180" s="89">
        <v>43536</v>
      </c>
      <c r="D1180" s="40">
        <v>904</v>
      </c>
    </row>
    <row r="1181" spans="1:4">
      <c r="A1181" s="359" t="s">
        <v>403</v>
      </c>
      <c r="B1181" s="359" t="s">
        <v>404</v>
      </c>
      <c r="C1181" s="89">
        <v>43538</v>
      </c>
      <c r="D1181" s="40">
        <v>904.38800000000003</v>
      </c>
    </row>
    <row r="1182" spans="1:4">
      <c r="A1182" s="359" t="s">
        <v>697</v>
      </c>
      <c r="B1182" s="359" t="s">
        <v>568</v>
      </c>
      <c r="C1182" s="89">
        <v>43538</v>
      </c>
      <c r="D1182" s="40">
        <v>2500</v>
      </c>
    </row>
    <row r="1183" spans="1:4">
      <c r="A1183" s="359" t="s">
        <v>286</v>
      </c>
      <c r="B1183" s="359" t="s">
        <v>287</v>
      </c>
      <c r="C1183" s="89">
        <v>43538</v>
      </c>
      <c r="D1183" s="40">
        <v>2500</v>
      </c>
    </row>
    <row r="1184" spans="1:4">
      <c r="A1184" s="359" t="s">
        <v>368</v>
      </c>
      <c r="B1184" s="359" t="s">
        <v>369</v>
      </c>
      <c r="C1184" s="89">
        <v>43539</v>
      </c>
      <c r="D1184" s="40">
        <v>1250</v>
      </c>
    </row>
    <row r="1185" spans="1:4">
      <c r="A1185" s="359" t="s">
        <v>315</v>
      </c>
      <c r="B1185" s="359" t="s">
        <v>314</v>
      </c>
      <c r="C1185" s="89">
        <v>43539</v>
      </c>
      <c r="D1185" s="40">
        <v>4000</v>
      </c>
    </row>
    <row r="1186" spans="1:4">
      <c r="A1186" s="359" t="s">
        <v>421</v>
      </c>
      <c r="B1186" s="359" t="s">
        <v>422</v>
      </c>
      <c r="C1186" s="89">
        <v>43539</v>
      </c>
      <c r="D1186" s="40">
        <v>3000</v>
      </c>
    </row>
    <row r="1187" spans="1:4">
      <c r="A1187" s="359" t="s">
        <v>1345</v>
      </c>
      <c r="B1187" s="359" t="s">
        <v>320</v>
      </c>
      <c r="C1187" s="89">
        <v>43539</v>
      </c>
      <c r="D1187" s="40">
        <v>3560.5790000000002</v>
      </c>
    </row>
    <row r="1188" spans="1:4">
      <c r="A1188" s="359" t="s">
        <v>447</v>
      </c>
      <c r="B1188" s="359" t="s">
        <v>448</v>
      </c>
      <c r="C1188" s="89">
        <v>43539</v>
      </c>
      <c r="D1188" s="40">
        <v>6540.415</v>
      </c>
    </row>
    <row r="1189" spans="1:4">
      <c r="A1189" s="359" t="s">
        <v>324</v>
      </c>
      <c r="B1189" s="359" t="s">
        <v>325</v>
      </c>
      <c r="C1189" s="89">
        <v>43539</v>
      </c>
      <c r="D1189" s="40">
        <v>500</v>
      </c>
    </row>
    <row r="1190" spans="1:4">
      <c r="A1190" s="359" t="s">
        <v>324</v>
      </c>
      <c r="B1190" s="359" t="s">
        <v>325</v>
      </c>
      <c r="C1190" s="89">
        <v>43539</v>
      </c>
      <c r="D1190" s="40">
        <v>880.59900000000005</v>
      </c>
    </row>
    <row r="1191" spans="1:4">
      <c r="A1191" s="359" t="s">
        <v>554</v>
      </c>
      <c r="B1191" s="359" t="s">
        <v>555</v>
      </c>
      <c r="C1191" s="89">
        <v>43539</v>
      </c>
      <c r="D1191" s="40">
        <v>2239.9389999999999</v>
      </c>
    </row>
    <row r="1192" spans="1:4">
      <c r="A1192" s="359" t="s">
        <v>327</v>
      </c>
      <c r="B1192" s="359" t="s">
        <v>328</v>
      </c>
      <c r="C1192" s="89">
        <v>43539</v>
      </c>
      <c r="D1192" s="40">
        <v>1526.25</v>
      </c>
    </row>
    <row r="1193" spans="1:4">
      <c r="A1193" s="359" t="s">
        <v>380</v>
      </c>
      <c r="B1193" s="359" t="s">
        <v>381</v>
      </c>
      <c r="C1193" s="89">
        <v>43539</v>
      </c>
      <c r="D1193" s="40">
        <v>890</v>
      </c>
    </row>
    <row r="1194" spans="1:4">
      <c r="A1194" s="359" t="s">
        <v>601</v>
      </c>
      <c r="B1194" s="359" t="s">
        <v>602</v>
      </c>
      <c r="C1194" s="89">
        <v>43539</v>
      </c>
      <c r="D1194" s="40">
        <v>5388.3509999999997</v>
      </c>
    </row>
    <row r="1195" spans="1:4">
      <c r="A1195" s="359" t="s">
        <v>572</v>
      </c>
      <c r="B1195" s="359" t="s">
        <v>531</v>
      </c>
      <c r="C1195" s="89">
        <v>43539</v>
      </c>
      <c r="D1195" s="40">
        <v>4683.0389999999998</v>
      </c>
    </row>
    <row r="1196" spans="1:4">
      <c r="A1196" s="359" t="s">
        <v>411</v>
      </c>
      <c r="B1196" s="359" t="s">
        <v>412</v>
      </c>
      <c r="C1196" s="89">
        <v>43539</v>
      </c>
      <c r="D1196" s="40">
        <v>1897.5</v>
      </c>
    </row>
    <row r="1197" spans="1:4">
      <c r="A1197" s="359" t="s">
        <v>392</v>
      </c>
      <c r="B1197" s="359" t="s">
        <v>393</v>
      </c>
      <c r="C1197" s="89">
        <v>43539</v>
      </c>
      <c r="D1197" s="40">
        <v>1978.538</v>
      </c>
    </row>
    <row r="1198" spans="1:4">
      <c r="A1198" s="359" t="s">
        <v>341</v>
      </c>
      <c r="B1198" s="359" t="s">
        <v>342</v>
      </c>
      <c r="C1198" s="89">
        <v>43539</v>
      </c>
      <c r="D1198" s="40">
        <v>2000</v>
      </c>
    </row>
    <row r="1199" spans="1:4">
      <c r="A1199" s="359" t="s">
        <v>583</v>
      </c>
      <c r="B1199" s="359" t="s">
        <v>584</v>
      </c>
      <c r="C1199" s="89">
        <v>43539</v>
      </c>
      <c r="D1199" s="40">
        <v>5000</v>
      </c>
    </row>
    <row r="1200" spans="1:4">
      <c r="A1200" s="359" t="s">
        <v>308</v>
      </c>
      <c r="B1200" s="359" t="s">
        <v>309</v>
      </c>
      <c r="C1200" s="89">
        <v>43540</v>
      </c>
      <c r="D1200" s="40">
        <v>3043.9360000000001</v>
      </c>
    </row>
    <row r="1201" spans="1:4">
      <c r="A1201" s="359" t="s">
        <v>590</v>
      </c>
      <c r="B1201" s="359" t="s">
        <v>323</v>
      </c>
      <c r="C1201" s="89">
        <v>43540</v>
      </c>
      <c r="D1201" s="40">
        <v>2425.4430000000002</v>
      </c>
    </row>
    <row r="1202" spans="1:4">
      <c r="A1202" s="359" t="s">
        <v>281</v>
      </c>
      <c r="B1202" s="359" t="s">
        <v>282</v>
      </c>
      <c r="C1202" s="89">
        <v>43540</v>
      </c>
      <c r="D1202" s="40">
        <v>1850</v>
      </c>
    </row>
    <row r="1203" spans="1:4">
      <c r="A1203" s="359" t="s">
        <v>1133</v>
      </c>
      <c r="B1203" s="359" t="s">
        <v>768</v>
      </c>
      <c r="C1203" s="89">
        <v>43540</v>
      </c>
      <c r="D1203" s="40">
        <v>4595</v>
      </c>
    </row>
    <row r="1204" spans="1:4">
      <c r="A1204" s="359" t="s">
        <v>527</v>
      </c>
      <c r="B1204" s="359" t="s">
        <v>528</v>
      </c>
      <c r="C1204" s="89">
        <v>43541</v>
      </c>
      <c r="D1204" s="40">
        <v>1130</v>
      </c>
    </row>
    <row r="1205" spans="1:4">
      <c r="A1205" s="359" t="s">
        <v>416</v>
      </c>
      <c r="B1205" s="359" t="s">
        <v>417</v>
      </c>
      <c r="C1205" s="89">
        <v>43542</v>
      </c>
      <c r="D1205" s="40">
        <v>1100</v>
      </c>
    </row>
    <row r="1206" spans="1:4">
      <c r="A1206" s="359" t="s">
        <v>343</v>
      </c>
      <c r="B1206" s="359" t="s">
        <v>344</v>
      </c>
      <c r="C1206" s="89">
        <v>43542</v>
      </c>
      <c r="D1206" s="40">
        <v>1209.8589999999999</v>
      </c>
    </row>
    <row r="1207" spans="1:4">
      <c r="A1207" s="359" t="s">
        <v>286</v>
      </c>
      <c r="B1207" s="359" t="s">
        <v>287</v>
      </c>
      <c r="C1207" s="89">
        <v>43542</v>
      </c>
      <c r="D1207" s="40">
        <v>2500</v>
      </c>
    </row>
    <row r="1208" spans="1:4">
      <c r="A1208" s="359" t="s">
        <v>590</v>
      </c>
      <c r="B1208" s="359" t="s">
        <v>323</v>
      </c>
      <c r="C1208" s="89">
        <v>43544</v>
      </c>
      <c r="D1208" s="40">
        <v>1680.8</v>
      </c>
    </row>
    <row r="1209" spans="1:4">
      <c r="A1209" s="359" t="s">
        <v>380</v>
      </c>
      <c r="B1209" s="359" t="s">
        <v>381</v>
      </c>
      <c r="C1209" s="89">
        <v>43544</v>
      </c>
      <c r="D1209" s="40">
        <v>890</v>
      </c>
    </row>
    <row r="1210" spans="1:4">
      <c r="A1210" s="359" t="s">
        <v>411</v>
      </c>
      <c r="B1210" s="359" t="s">
        <v>412</v>
      </c>
      <c r="C1210" s="89">
        <v>43544</v>
      </c>
      <c r="D1210" s="40">
        <v>1897.5</v>
      </c>
    </row>
    <row r="1211" spans="1:4">
      <c r="A1211" s="359" t="s">
        <v>341</v>
      </c>
      <c r="B1211" s="359" t="s">
        <v>342</v>
      </c>
      <c r="C1211" s="89">
        <v>43544</v>
      </c>
      <c r="D1211" s="40">
        <v>2000</v>
      </c>
    </row>
    <row r="1212" spans="1:4">
      <c r="A1212" s="359" t="s">
        <v>388</v>
      </c>
      <c r="B1212" s="359" t="s">
        <v>389</v>
      </c>
      <c r="C1212" s="89">
        <v>43544</v>
      </c>
      <c r="D1212" s="40">
        <v>800</v>
      </c>
    </row>
    <row r="1213" spans="1:4">
      <c r="A1213" s="359" t="s">
        <v>403</v>
      </c>
      <c r="B1213" s="359" t="s">
        <v>404</v>
      </c>
      <c r="C1213" s="89">
        <v>43545</v>
      </c>
      <c r="D1213" s="40">
        <v>870</v>
      </c>
    </row>
    <row r="1214" spans="1:4">
      <c r="A1214" s="359" t="s">
        <v>286</v>
      </c>
      <c r="B1214" s="359" t="s">
        <v>287</v>
      </c>
      <c r="C1214" s="89">
        <v>43546</v>
      </c>
      <c r="D1214" s="40">
        <v>2500</v>
      </c>
    </row>
    <row r="1215" spans="1:4">
      <c r="A1215" s="359" t="s">
        <v>403</v>
      </c>
      <c r="B1215" s="359" t="s">
        <v>404</v>
      </c>
      <c r="C1215" s="89">
        <v>43547</v>
      </c>
      <c r="D1215" s="40">
        <v>860</v>
      </c>
    </row>
    <row r="1216" spans="1:4">
      <c r="A1216" s="359" t="s">
        <v>527</v>
      </c>
      <c r="B1216" s="359" t="s">
        <v>528</v>
      </c>
      <c r="C1216" s="89">
        <v>43547</v>
      </c>
      <c r="D1216" s="40">
        <v>1130</v>
      </c>
    </row>
    <row r="1217" spans="1:4">
      <c r="A1217" s="359" t="s">
        <v>384</v>
      </c>
      <c r="B1217" s="359" t="s">
        <v>385</v>
      </c>
      <c r="C1217" s="89">
        <v>43547</v>
      </c>
      <c r="D1217" s="40">
        <v>892.43799999999999</v>
      </c>
    </row>
    <row r="1218" spans="1:4">
      <c r="A1218" s="359" t="s">
        <v>767</v>
      </c>
      <c r="B1218" s="359" t="s">
        <v>768</v>
      </c>
      <c r="C1218" s="89">
        <v>43547</v>
      </c>
      <c r="D1218" s="40">
        <v>4595</v>
      </c>
    </row>
    <row r="1219" spans="1:4">
      <c r="A1219" s="359" t="s">
        <v>368</v>
      </c>
      <c r="B1219" s="359" t="s">
        <v>369</v>
      </c>
      <c r="C1219" s="89">
        <v>43548</v>
      </c>
      <c r="D1219" s="40">
        <v>1240</v>
      </c>
    </row>
    <row r="1220" spans="1:4">
      <c r="A1220" s="359" t="s">
        <v>281</v>
      </c>
      <c r="B1220" s="359" t="s">
        <v>282</v>
      </c>
      <c r="C1220" s="89">
        <v>43548</v>
      </c>
      <c r="D1220" s="40">
        <v>1951.2260000000001</v>
      </c>
    </row>
    <row r="1221" spans="1:4">
      <c r="A1221" s="359" t="s">
        <v>308</v>
      </c>
      <c r="B1221" s="359" t="s">
        <v>309</v>
      </c>
      <c r="C1221" s="89">
        <v>43549</v>
      </c>
      <c r="D1221" s="40">
        <v>3043.9360000000001</v>
      </c>
    </row>
    <row r="1222" spans="1:4">
      <c r="A1222" s="359" t="s">
        <v>403</v>
      </c>
      <c r="B1222" s="359" t="s">
        <v>404</v>
      </c>
      <c r="C1222" s="89">
        <v>43549</v>
      </c>
      <c r="D1222" s="40">
        <v>880</v>
      </c>
    </row>
    <row r="1223" spans="1:4">
      <c r="A1223" s="359" t="s">
        <v>324</v>
      </c>
      <c r="B1223" s="359" t="s">
        <v>325</v>
      </c>
      <c r="C1223" s="89">
        <v>43549</v>
      </c>
      <c r="D1223" s="40">
        <v>550</v>
      </c>
    </row>
    <row r="1224" spans="1:4">
      <c r="A1224" s="359" t="s">
        <v>406</v>
      </c>
      <c r="B1224" s="359" t="s">
        <v>407</v>
      </c>
      <c r="C1224" s="89">
        <v>43549</v>
      </c>
      <c r="D1224" s="40">
        <v>4000</v>
      </c>
    </row>
    <row r="1225" spans="1:4">
      <c r="A1225" s="359" t="s">
        <v>380</v>
      </c>
      <c r="B1225" s="359" t="s">
        <v>381</v>
      </c>
      <c r="C1225" s="89">
        <v>43549</v>
      </c>
      <c r="D1225" s="40">
        <v>890</v>
      </c>
    </row>
    <row r="1226" spans="1:4">
      <c r="A1226" s="359" t="s">
        <v>411</v>
      </c>
      <c r="B1226" s="359" t="s">
        <v>412</v>
      </c>
      <c r="C1226" s="89">
        <v>43549</v>
      </c>
      <c r="D1226" s="40">
        <v>1897.5</v>
      </c>
    </row>
    <row r="1227" spans="1:4">
      <c r="A1227" s="359" t="s">
        <v>341</v>
      </c>
      <c r="B1227" s="359" t="s">
        <v>342</v>
      </c>
      <c r="C1227" s="89">
        <v>43549</v>
      </c>
      <c r="D1227" s="40">
        <v>2000</v>
      </c>
    </row>
    <row r="1228" spans="1:4">
      <c r="A1228" s="359" t="s">
        <v>343</v>
      </c>
      <c r="B1228" s="359" t="s">
        <v>344</v>
      </c>
      <c r="C1228" s="89">
        <v>43549</v>
      </c>
      <c r="D1228" s="40">
        <v>867.13400000000001</v>
      </c>
    </row>
    <row r="1229" spans="1:4">
      <c r="A1229" s="359" t="s">
        <v>416</v>
      </c>
      <c r="B1229" s="359" t="s">
        <v>417</v>
      </c>
      <c r="C1229" s="89">
        <v>43550</v>
      </c>
      <c r="D1229" s="40">
        <v>1100</v>
      </c>
    </row>
    <row r="1230" spans="1:4">
      <c r="A1230" s="359" t="s">
        <v>403</v>
      </c>
      <c r="B1230" s="359" t="s">
        <v>404</v>
      </c>
      <c r="C1230" s="89">
        <v>43551</v>
      </c>
      <c r="D1230" s="40">
        <v>865</v>
      </c>
    </row>
    <row r="1231" spans="1:4">
      <c r="A1231" s="359" t="s">
        <v>418</v>
      </c>
      <c r="B1231" s="359" t="s">
        <v>419</v>
      </c>
      <c r="C1231" s="89">
        <v>43551</v>
      </c>
      <c r="D1231" s="40">
        <v>12840.326999999999</v>
      </c>
    </row>
    <row r="1232" spans="1:4">
      <c r="A1232" s="359" t="s">
        <v>286</v>
      </c>
      <c r="B1232" s="359" t="s">
        <v>287</v>
      </c>
      <c r="C1232" s="89">
        <v>43551</v>
      </c>
      <c r="D1232" s="40">
        <v>2500</v>
      </c>
    </row>
    <row r="1233" spans="1:4">
      <c r="A1233" s="359" t="s">
        <v>403</v>
      </c>
      <c r="B1233" s="359" t="s">
        <v>404</v>
      </c>
      <c r="C1233" s="89">
        <v>43553</v>
      </c>
      <c r="D1233" s="40">
        <v>890</v>
      </c>
    </row>
    <row r="1234" spans="1:4">
      <c r="A1234" s="359" t="s">
        <v>1464</v>
      </c>
      <c r="B1234" s="359" t="s">
        <v>680</v>
      </c>
      <c r="C1234" s="89">
        <v>43554</v>
      </c>
      <c r="D1234" s="40">
        <v>4319.0209999999997</v>
      </c>
    </row>
    <row r="1235" spans="1:4">
      <c r="A1235" s="359" t="s">
        <v>421</v>
      </c>
      <c r="B1235" s="359" t="s">
        <v>422</v>
      </c>
      <c r="C1235" s="89">
        <v>43554</v>
      </c>
      <c r="D1235" s="40">
        <v>4068.252</v>
      </c>
    </row>
    <row r="1236" spans="1:4">
      <c r="A1236" s="359" t="s">
        <v>590</v>
      </c>
      <c r="B1236" s="359" t="s">
        <v>323</v>
      </c>
      <c r="C1236" s="89">
        <v>43554</v>
      </c>
      <c r="D1236" s="40">
        <v>1680.8</v>
      </c>
    </row>
    <row r="1237" spans="1:4">
      <c r="A1237" s="359" t="s">
        <v>281</v>
      </c>
      <c r="B1237" s="359" t="s">
        <v>282</v>
      </c>
      <c r="C1237" s="89">
        <v>43554</v>
      </c>
      <c r="D1237" s="40">
        <v>2000</v>
      </c>
    </row>
    <row r="1238" spans="1:4">
      <c r="A1238" s="359" t="s">
        <v>1367</v>
      </c>
      <c r="B1238" s="359" t="s">
        <v>1458</v>
      </c>
      <c r="C1238" s="89">
        <v>43554</v>
      </c>
      <c r="D1238" s="40">
        <v>700</v>
      </c>
    </row>
    <row r="1239" spans="1:4">
      <c r="A1239" s="359" t="s">
        <v>411</v>
      </c>
      <c r="B1239" s="359" t="s">
        <v>412</v>
      </c>
      <c r="C1239" s="89">
        <v>43554</v>
      </c>
      <c r="D1239" s="40">
        <v>1898.5540000000001</v>
      </c>
    </row>
    <row r="1240" spans="1:4">
      <c r="A1240" s="359" t="s">
        <v>341</v>
      </c>
      <c r="B1240" s="359" t="s">
        <v>342</v>
      </c>
      <c r="C1240" s="89">
        <v>43554</v>
      </c>
      <c r="D1240" s="40">
        <v>2000</v>
      </c>
    </row>
    <row r="1241" spans="1:4">
      <c r="A1241" s="359" t="s">
        <v>403</v>
      </c>
      <c r="B1241" s="359" t="s">
        <v>404</v>
      </c>
      <c r="C1241" s="89">
        <v>43555</v>
      </c>
      <c r="D1241" s="40">
        <v>845.38900000000001</v>
      </c>
    </row>
    <row r="1242" spans="1:4">
      <c r="A1242" s="359" t="s">
        <v>616</v>
      </c>
      <c r="B1242" s="359" t="s">
        <v>399</v>
      </c>
      <c r="C1242" s="89">
        <v>43555</v>
      </c>
      <c r="D1242" s="40">
        <v>11280.484</v>
      </c>
    </row>
    <row r="1243" spans="1:4">
      <c r="A1243" s="359" t="s">
        <v>406</v>
      </c>
      <c r="B1243" s="359" t="s">
        <v>407</v>
      </c>
      <c r="C1243" s="89">
        <v>43555</v>
      </c>
      <c r="D1243" s="40">
        <v>4131.6790000000001</v>
      </c>
    </row>
    <row r="1244" spans="1:4">
      <c r="A1244" s="359" t="s">
        <v>527</v>
      </c>
      <c r="B1244" s="359" t="s">
        <v>528</v>
      </c>
      <c r="C1244" s="89">
        <v>43555</v>
      </c>
      <c r="D1244" s="40">
        <v>1150.816</v>
      </c>
    </row>
    <row r="1245" spans="1:4">
      <c r="A1245" s="359" t="s">
        <v>327</v>
      </c>
      <c r="B1245" s="359" t="s">
        <v>328</v>
      </c>
      <c r="C1245" s="89">
        <v>43555</v>
      </c>
      <c r="D1245" s="40">
        <v>1703.204</v>
      </c>
    </row>
    <row r="1246" spans="1:4">
      <c r="A1246" s="359" t="s">
        <v>380</v>
      </c>
      <c r="B1246" s="359" t="s">
        <v>381</v>
      </c>
      <c r="C1246" s="89">
        <v>43555</v>
      </c>
      <c r="D1246" s="40">
        <v>889.577</v>
      </c>
    </row>
    <row r="1247" spans="1:4">
      <c r="A1247" s="359" t="s">
        <v>416</v>
      </c>
      <c r="B1247" s="359" t="s">
        <v>417</v>
      </c>
      <c r="C1247" s="89">
        <v>43555</v>
      </c>
      <c r="D1247" s="40">
        <v>1100</v>
      </c>
    </row>
    <row r="1248" spans="1:4">
      <c r="A1248" s="359" t="s">
        <v>973</v>
      </c>
      <c r="B1248" s="359" t="s">
        <v>1053</v>
      </c>
      <c r="C1248" s="89">
        <v>43555</v>
      </c>
      <c r="D1248" s="40">
        <v>13455.162</v>
      </c>
    </row>
    <row r="1249" spans="1:4" ht="15.75" thickBot="1">
      <c r="A1249" s="359" t="s">
        <v>767</v>
      </c>
      <c r="B1249" s="359" t="s">
        <v>768</v>
      </c>
      <c r="C1249" s="89">
        <v>43555</v>
      </c>
      <c r="D1249" s="40">
        <v>4597.5839999999998</v>
      </c>
    </row>
    <row r="1250" spans="1:4" ht="15.75" thickBot="1">
      <c r="A1250" s="857" t="s">
        <v>1140</v>
      </c>
      <c r="B1250" s="858"/>
      <c r="C1250" s="858"/>
      <c r="D1250" s="620">
        <f>SUM(D1127:D1249)</f>
        <v>287778.48999999993</v>
      </c>
    </row>
    <row r="1251" spans="1:4">
      <c r="A1251" s="359" t="s">
        <v>343</v>
      </c>
      <c r="B1251" s="359" t="s">
        <v>344</v>
      </c>
      <c r="C1251" s="89">
        <v>43556</v>
      </c>
      <c r="D1251" s="40">
        <v>999.05799999999999</v>
      </c>
    </row>
    <row r="1252" spans="1:4">
      <c r="A1252" s="359" t="s">
        <v>286</v>
      </c>
      <c r="B1252" s="359" t="s">
        <v>287</v>
      </c>
      <c r="C1252" s="89">
        <v>43557</v>
      </c>
      <c r="D1252" s="40">
        <v>2000</v>
      </c>
    </row>
    <row r="1253" spans="1:4">
      <c r="A1253" s="359" t="s">
        <v>368</v>
      </c>
      <c r="B1253" s="359" t="s">
        <v>369</v>
      </c>
      <c r="C1253" s="89">
        <v>43559</v>
      </c>
      <c r="D1253" s="40">
        <v>1223.5309999999999</v>
      </c>
    </row>
    <row r="1254" spans="1:4">
      <c r="A1254" s="359" t="s">
        <v>1019</v>
      </c>
      <c r="B1254" s="359" t="s">
        <v>1048</v>
      </c>
      <c r="C1254" s="89">
        <v>43560</v>
      </c>
      <c r="D1254" s="40">
        <v>566.27099999999996</v>
      </c>
    </row>
    <row r="1255" spans="1:4">
      <c r="A1255" s="359" t="s">
        <v>286</v>
      </c>
      <c r="B1255" s="359" t="s">
        <v>287</v>
      </c>
      <c r="C1255" s="89">
        <v>43562</v>
      </c>
      <c r="D1255" s="40">
        <v>1988.489</v>
      </c>
    </row>
    <row r="1256" spans="1:4">
      <c r="A1256" s="359" t="s">
        <v>343</v>
      </c>
      <c r="B1256" s="359" t="s">
        <v>344</v>
      </c>
      <c r="C1256" s="89">
        <v>43563</v>
      </c>
      <c r="D1256" s="40">
        <v>986.22799999999995</v>
      </c>
    </row>
    <row r="1257" spans="1:4">
      <c r="A1257" s="359" t="s">
        <v>1019</v>
      </c>
      <c r="B1257" s="359" t="s">
        <v>1048</v>
      </c>
      <c r="C1257" s="89">
        <v>43565</v>
      </c>
      <c r="D1257" s="40">
        <v>950</v>
      </c>
    </row>
    <row r="1258" spans="1:4">
      <c r="A1258" s="359" t="s">
        <v>688</v>
      </c>
      <c r="B1258" s="359" t="s">
        <v>594</v>
      </c>
      <c r="C1258" s="89">
        <v>43565</v>
      </c>
      <c r="D1258" s="40">
        <v>929.23400000000004</v>
      </c>
    </row>
    <row r="1259" spans="1:4">
      <c r="A1259" s="359" t="s">
        <v>590</v>
      </c>
      <c r="B1259" s="359" t="s">
        <v>323</v>
      </c>
      <c r="C1259" s="89">
        <v>43565</v>
      </c>
      <c r="D1259" s="40">
        <v>1680.8</v>
      </c>
    </row>
    <row r="1260" spans="1:4">
      <c r="A1260" s="359" t="s">
        <v>368</v>
      </c>
      <c r="B1260" s="359" t="s">
        <v>369</v>
      </c>
      <c r="C1260" s="89">
        <v>43566</v>
      </c>
      <c r="D1260" s="40">
        <v>1260</v>
      </c>
    </row>
    <row r="1261" spans="1:4">
      <c r="A1261" s="359" t="s">
        <v>281</v>
      </c>
      <c r="B1261" s="359" t="s">
        <v>282</v>
      </c>
      <c r="C1261" s="89">
        <v>43566</v>
      </c>
      <c r="D1261" s="40">
        <v>2000</v>
      </c>
    </row>
    <row r="1262" spans="1:4">
      <c r="A1262" s="359" t="s">
        <v>327</v>
      </c>
      <c r="B1262" s="359" t="s">
        <v>328</v>
      </c>
      <c r="C1262" s="89">
        <v>43570</v>
      </c>
      <c r="D1262" s="40">
        <v>1218.806</v>
      </c>
    </row>
    <row r="1263" spans="1:4">
      <c r="A1263" s="359" t="s">
        <v>281</v>
      </c>
      <c r="B1263" s="359" t="s">
        <v>282</v>
      </c>
      <c r="C1263" s="89">
        <v>43571</v>
      </c>
      <c r="D1263" s="40">
        <v>2000</v>
      </c>
    </row>
    <row r="1264" spans="1:4">
      <c r="A1264" s="359" t="s">
        <v>418</v>
      </c>
      <c r="B1264" s="359" t="s">
        <v>419</v>
      </c>
      <c r="C1264" s="89">
        <v>43582</v>
      </c>
      <c r="D1264" s="40">
        <v>13250.204</v>
      </c>
    </row>
    <row r="1265" spans="1:4" ht="15.75" thickBot="1">
      <c r="A1265" s="359" t="s">
        <v>973</v>
      </c>
      <c r="B1265" s="359" t="s">
        <v>1053</v>
      </c>
      <c r="C1265" s="89">
        <v>43585</v>
      </c>
      <c r="D1265" s="40">
        <v>14895.222</v>
      </c>
    </row>
    <row r="1266" spans="1:4" ht="15.75" thickBot="1">
      <c r="A1266" s="857" t="s">
        <v>1386</v>
      </c>
      <c r="B1266" s="858"/>
      <c r="C1266" s="858"/>
      <c r="D1266" s="620" t="e">
        <f>SUM(#REF!)</f>
        <v>#REF!</v>
      </c>
    </row>
    <row r="1267" spans="1:4" ht="15.75" thickBot="1">
      <c r="A1267" s="670"/>
      <c r="B1267" s="670"/>
      <c r="C1267" s="670"/>
      <c r="D1267" s="671"/>
    </row>
    <row r="1268" spans="1:4" ht="15.75" thickBot="1">
      <c r="A1268" s="857" t="s">
        <v>913</v>
      </c>
      <c r="B1268" s="858"/>
      <c r="C1268" s="858"/>
      <c r="D1268" s="620" t="e">
        <f>D1126+D852+D431+D1250+D1266</f>
        <v>#REF!</v>
      </c>
    </row>
  </sheetData>
  <autoFilter ref="A1:A1268">
    <filterColumn colId="0"/>
  </autoFilter>
  <mergeCells count="6">
    <mergeCell ref="A1268:C1268"/>
    <mergeCell ref="A431:C431"/>
    <mergeCell ref="A852:C852"/>
    <mergeCell ref="A1126:C1126"/>
    <mergeCell ref="A1250:C1250"/>
    <mergeCell ref="A1266:C1266"/>
  </mergeCells>
  <pageMargins left="0.7" right="0.7" top="0.75" bottom="0.75" header="0.3" footer="0.3"/>
  <pageSetup paperSize="9" orientation="portrait" horizontalDpi="180" verticalDpi="18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D32"/>
  <sheetViews>
    <sheetView workbookViewId="0">
      <selection activeCell="G30" sqref="G30"/>
    </sheetView>
  </sheetViews>
  <sheetFormatPr baseColWidth="10" defaultRowHeight="15"/>
  <cols>
    <col min="1" max="1" width="8.28515625" style="359" bestFit="1" customWidth="1"/>
    <col min="2" max="2" width="31.28515625" style="359" bestFit="1" customWidth="1"/>
    <col min="3" max="3" width="10.7109375" style="359" bestFit="1" customWidth="1"/>
    <col min="4" max="4" width="11.5703125" style="40" bestFit="1" customWidth="1"/>
    <col min="5" max="16384" width="11.42578125" style="359"/>
  </cols>
  <sheetData>
    <row r="1" spans="1:4" s="91" customFormat="1" ht="15.75" thickBot="1">
      <c r="A1" s="625" t="s">
        <v>279</v>
      </c>
      <c r="B1" s="626" t="s">
        <v>280</v>
      </c>
      <c r="C1" s="626" t="s">
        <v>705</v>
      </c>
      <c r="D1" s="627" t="s">
        <v>11</v>
      </c>
    </row>
    <row r="2" spans="1:4">
      <c r="C2" s="89"/>
    </row>
    <row r="3" spans="1:4" ht="15.75" thickBot="1">
      <c r="C3" s="89"/>
    </row>
    <row r="4" spans="1:4" ht="15.75" thickBot="1">
      <c r="A4" s="857" t="s">
        <v>914</v>
      </c>
      <c r="B4" s="858"/>
      <c r="C4" s="858"/>
      <c r="D4" s="620">
        <f>SUM(D2:D3)</f>
        <v>0</v>
      </c>
    </row>
    <row r="5" spans="1:4">
      <c r="A5" s="359" t="s">
        <v>714</v>
      </c>
      <c r="B5" s="359" t="s">
        <v>715</v>
      </c>
      <c r="C5" s="89">
        <v>43560</v>
      </c>
      <c r="D5" s="40">
        <v>14958.050999999999</v>
      </c>
    </row>
    <row r="6" spans="1:4">
      <c r="A6" s="359" t="s">
        <v>714</v>
      </c>
      <c r="B6" s="359" t="s">
        <v>715</v>
      </c>
      <c r="C6" s="89">
        <v>43560</v>
      </c>
      <c r="D6" s="40">
        <v>20793.488000000001</v>
      </c>
    </row>
    <row r="7" spans="1:4">
      <c r="A7" s="359" t="s">
        <v>1639</v>
      </c>
      <c r="B7" s="359" t="s">
        <v>1640</v>
      </c>
      <c r="C7" s="89">
        <v>43560</v>
      </c>
      <c r="D7" s="40">
        <v>10765.675999999999</v>
      </c>
    </row>
    <row r="8" spans="1:4">
      <c r="A8" s="359" t="s">
        <v>1641</v>
      </c>
      <c r="B8" s="359" t="s">
        <v>1642</v>
      </c>
      <c r="C8" s="89">
        <v>43560</v>
      </c>
      <c r="D8" s="40">
        <v>1609.3119999999999</v>
      </c>
    </row>
    <row r="9" spans="1:4">
      <c r="A9" s="359" t="s">
        <v>1641</v>
      </c>
      <c r="B9" s="359" t="s">
        <v>1642</v>
      </c>
      <c r="C9" s="89">
        <v>43560</v>
      </c>
      <c r="D9" s="40">
        <v>1609.3119999999999</v>
      </c>
    </row>
    <row r="10" spans="1:4">
      <c r="A10" s="359" t="s">
        <v>708</v>
      </c>
      <c r="B10" s="359" t="s">
        <v>709</v>
      </c>
      <c r="C10" s="89">
        <v>43561</v>
      </c>
      <c r="D10" s="40">
        <v>16660.437000000002</v>
      </c>
    </row>
    <row r="11" spans="1:4">
      <c r="A11" s="359" t="s">
        <v>706</v>
      </c>
      <c r="B11" s="359" t="s">
        <v>707</v>
      </c>
      <c r="C11" s="89">
        <v>43562</v>
      </c>
      <c r="D11" s="40">
        <v>1369</v>
      </c>
    </row>
    <row r="12" spans="1:4">
      <c r="A12" s="359" t="s">
        <v>971</v>
      </c>
      <c r="B12" s="359" t="s">
        <v>396</v>
      </c>
      <c r="C12" s="89">
        <v>43563</v>
      </c>
      <c r="D12" s="40">
        <v>2171.3310000000001</v>
      </c>
    </row>
    <row r="13" spans="1:4">
      <c r="A13" s="359" t="s">
        <v>716</v>
      </c>
      <c r="B13" s="359" t="s">
        <v>717</v>
      </c>
      <c r="C13" s="89">
        <v>43565</v>
      </c>
      <c r="D13" s="40">
        <v>5998.9210000000003</v>
      </c>
    </row>
    <row r="14" spans="1:4">
      <c r="A14" s="359" t="s">
        <v>1139</v>
      </c>
      <c r="B14" s="359" t="s">
        <v>1138</v>
      </c>
      <c r="C14" s="89">
        <v>43565</v>
      </c>
      <c r="D14" s="40">
        <v>2431.9969999999998</v>
      </c>
    </row>
    <row r="15" spans="1:4">
      <c r="A15" s="359" t="s">
        <v>712</v>
      </c>
      <c r="B15" s="359" t="s">
        <v>713</v>
      </c>
      <c r="C15" s="89">
        <v>43565</v>
      </c>
      <c r="D15" s="40">
        <v>2000</v>
      </c>
    </row>
    <row r="16" spans="1:4">
      <c r="A16" s="359" t="s">
        <v>706</v>
      </c>
      <c r="B16" s="359" t="s">
        <v>707</v>
      </c>
      <c r="C16" s="89">
        <v>43565</v>
      </c>
      <c r="D16" s="40">
        <v>1370</v>
      </c>
    </row>
    <row r="17" spans="1:4">
      <c r="A17" s="359" t="s">
        <v>1643</v>
      </c>
      <c r="B17" s="359" t="s">
        <v>1644</v>
      </c>
      <c r="C17" s="89">
        <v>43568</v>
      </c>
      <c r="D17" s="40">
        <v>2918.6309999999999</v>
      </c>
    </row>
    <row r="18" spans="1:4">
      <c r="A18" s="359" t="s">
        <v>706</v>
      </c>
      <c r="B18" s="359" t="s">
        <v>707</v>
      </c>
      <c r="C18" s="89">
        <v>43568</v>
      </c>
      <c r="D18" s="40">
        <v>1371</v>
      </c>
    </row>
    <row r="19" spans="1:4">
      <c r="A19" s="359" t="s">
        <v>708</v>
      </c>
      <c r="B19" s="359" t="s">
        <v>709</v>
      </c>
      <c r="C19" s="89">
        <v>43569</v>
      </c>
      <c r="D19" s="40">
        <v>20000</v>
      </c>
    </row>
    <row r="20" spans="1:4">
      <c r="A20" s="359" t="s">
        <v>706</v>
      </c>
      <c r="B20" s="359" t="s">
        <v>707</v>
      </c>
      <c r="C20" s="89">
        <v>43571</v>
      </c>
      <c r="D20" s="40">
        <v>1372</v>
      </c>
    </row>
    <row r="21" spans="1:4" s="558" customFormat="1">
      <c r="A21" s="359" t="s">
        <v>706</v>
      </c>
      <c r="B21" s="359" t="s">
        <v>707</v>
      </c>
      <c r="C21" s="89">
        <v>43574</v>
      </c>
      <c r="D21" s="40">
        <v>1373</v>
      </c>
    </row>
    <row r="22" spans="1:4">
      <c r="A22" s="359" t="s">
        <v>1139</v>
      </c>
      <c r="B22" s="359" t="s">
        <v>1138</v>
      </c>
      <c r="C22" s="89">
        <v>43575</v>
      </c>
      <c r="D22" s="40">
        <v>2431.9960000000001</v>
      </c>
    </row>
    <row r="23" spans="1:4">
      <c r="A23" s="359" t="s">
        <v>1385</v>
      </c>
      <c r="B23" s="359" t="s">
        <v>1384</v>
      </c>
      <c r="C23" s="89">
        <v>43575</v>
      </c>
      <c r="D23" s="40">
        <v>4974.0709999999999</v>
      </c>
    </row>
    <row r="24" spans="1:4">
      <c r="A24" s="359" t="s">
        <v>706</v>
      </c>
      <c r="B24" s="359" t="s">
        <v>707</v>
      </c>
      <c r="C24" s="89">
        <v>43577</v>
      </c>
      <c r="D24" s="40">
        <v>1374</v>
      </c>
    </row>
    <row r="25" spans="1:4">
      <c r="A25" s="359" t="s">
        <v>710</v>
      </c>
      <c r="B25" s="359" t="s">
        <v>711</v>
      </c>
      <c r="C25" s="89">
        <v>43580</v>
      </c>
      <c r="D25" s="40">
        <v>9909.598</v>
      </c>
    </row>
    <row r="26" spans="1:4">
      <c r="A26" s="359" t="s">
        <v>708</v>
      </c>
      <c r="B26" s="359" t="s">
        <v>709</v>
      </c>
      <c r="C26" s="89">
        <v>43581</v>
      </c>
      <c r="D26" s="40">
        <v>20000</v>
      </c>
    </row>
    <row r="27" spans="1:4">
      <c r="A27" s="359" t="s">
        <v>706</v>
      </c>
      <c r="B27" s="359" t="s">
        <v>707</v>
      </c>
      <c r="C27" s="89">
        <v>43581</v>
      </c>
      <c r="D27" s="40">
        <v>1375</v>
      </c>
    </row>
    <row r="28" spans="1:4">
      <c r="A28" s="359" t="s">
        <v>706</v>
      </c>
      <c r="B28" s="359" t="s">
        <v>707</v>
      </c>
      <c r="C28" s="89">
        <v>43585</v>
      </c>
      <c r="D28" s="40">
        <v>1338.3969999999999</v>
      </c>
    </row>
    <row r="29" spans="1:4" ht="15.75" thickBot="1">
      <c r="A29" s="359" t="s">
        <v>708</v>
      </c>
      <c r="B29" s="359" t="s">
        <v>709</v>
      </c>
      <c r="C29" s="89">
        <v>43590</v>
      </c>
      <c r="D29" s="40">
        <v>23777.741000000002</v>
      </c>
    </row>
    <row r="30" spans="1:4" ht="15.75" thickBot="1">
      <c r="A30" s="857" t="s">
        <v>915</v>
      </c>
      <c r="B30" s="858"/>
      <c r="C30" s="858"/>
      <c r="D30" s="620">
        <f>SUM(D5:D29)</f>
        <v>173952.959</v>
      </c>
    </row>
    <row r="31" spans="1:4" ht="15.75" thickBot="1"/>
    <row r="32" spans="1:4" ht="15.75" thickBot="1">
      <c r="A32" s="857" t="s">
        <v>913</v>
      </c>
      <c r="B32" s="858"/>
      <c r="C32" s="858"/>
      <c r="D32" s="620">
        <f>+D30+D4</f>
        <v>173952.959</v>
      </c>
    </row>
  </sheetData>
  <mergeCells count="3">
    <mergeCell ref="A4:C4"/>
    <mergeCell ref="A30:C30"/>
    <mergeCell ref="A32:C3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432"/>
  <sheetViews>
    <sheetView topLeftCell="A64" zoomScaleNormal="100" workbookViewId="0">
      <selection activeCell="A89" sqref="A89:XFD90"/>
    </sheetView>
  </sheetViews>
  <sheetFormatPr baseColWidth="10" defaultRowHeight="15"/>
  <cols>
    <col min="1" max="1" width="5.7109375" style="568" bestFit="1" customWidth="1"/>
    <col min="2" max="2" width="33.28515625" style="568" bestFit="1" customWidth="1"/>
    <col min="3" max="3" width="9" style="568" bestFit="1" customWidth="1"/>
    <col min="4" max="4" width="10.7109375" style="570" bestFit="1" customWidth="1"/>
    <col min="5" max="5" width="11.42578125" style="570" bestFit="1" customWidth="1"/>
    <col min="6" max="6" width="11.140625" style="573" bestFit="1" customWidth="1"/>
    <col min="7" max="8" width="2" style="568" bestFit="1" customWidth="1"/>
    <col min="9" max="9" width="11" style="568" bestFit="1" customWidth="1"/>
    <col min="10" max="10" width="10.7109375" style="570" bestFit="1" customWidth="1"/>
    <col min="11" max="11" width="8.5703125" style="568" bestFit="1" customWidth="1"/>
    <col min="12" max="12" width="13.85546875" style="568" bestFit="1" customWidth="1"/>
    <col min="13" max="16384" width="11.42578125" style="568"/>
  </cols>
  <sheetData>
    <row r="1" spans="1:12" s="567" customFormat="1" ht="12.75">
      <c r="A1" s="561" t="s">
        <v>781</v>
      </c>
      <c r="B1" s="561" t="s">
        <v>782</v>
      </c>
      <c r="C1" s="562" t="s">
        <v>783</v>
      </c>
      <c r="D1" s="563" t="s">
        <v>784</v>
      </c>
      <c r="E1" s="563" t="s">
        <v>785</v>
      </c>
      <c r="F1" s="564" t="s">
        <v>786</v>
      </c>
      <c r="G1" s="859" t="s">
        <v>787</v>
      </c>
      <c r="H1" s="859"/>
      <c r="I1" s="565" t="s">
        <v>788</v>
      </c>
      <c r="J1" s="563" t="s">
        <v>10</v>
      </c>
      <c r="K1" s="566" t="s">
        <v>789</v>
      </c>
      <c r="L1" s="566" t="s">
        <v>790</v>
      </c>
    </row>
    <row r="2" spans="1:12">
      <c r="A2" s="568" t="s">
        <v>791</v>
      </c>
      <c r="B2" s="568" t="s">
        <v>795</v>
      </c>
      <c r="C2" s="569" t="s">
        <v>796</v>
      </c>
      <c r="D2" s="570">
        <v>42990</v>
      </c>
      <c r="F2" s="571">
        <f t="shared" ref="F2:F65" si="0">SUM(I2*G2)</f>
        <v>183.9</v>
      </c>
      <c r="G2" s="561">
        <v>1</v>
      </c>
      <c r="H2" s="572">
        <f t="shared" ref="H2:H65" si="1">IF(E2="",1,0)</f>
        <v>1</v>
      </c>
      <c r="I2" s="573">
        <v>183.9</v>
      </c>
      <c r="J2" s="570">
        <f t="shared" ref="J2:J9" si="2">+D2</f>
        <v>42990</v>
      </c>
      <c r="K2" s="569" t="s">
        <v>797</v>
      </c>
      <c r="L2" s="574" t="s">
        <v>897</v>
      </c>
    </row>
    <row r="3" spans="1:12">
      <c r="A3" s="568" t="s">
        <v>791</v>
      </c>
      <c r="B3" s="568" t="s">
        <v>798</v>
      </c>
      <c r="C3" s="569" t="s">
        <v>799</v>
      </c>
      <c r="D3" s="570">
        <v>43066</v>
      </c>
      <c r="F3" s="571">
        <f t="shared" si="0"/>
        <v>143.51599999999999</v>
      </c>
      <c r="G3" s="561">
        <v>1</v>
      </c>
      <c r="H3" s="572">
        <f t="shared" si="1"/>
        <v>1</v>
      </c>
      <c r="I3" s="573">
        <v>143.51599999999999</v>
      </c>
      <c r="J3" s="570">
        <f t="shared" si="2"/>
        <v>43066</v>
      </c>
      <c r="K3" s="569" t="s">
        <v>800</v>
      </c>
      <c r="L3" s="574" t="s">
        <v>897</v>
      </c>
    </row>
    <row r="4" spans="1:12">
      <c r="A4" s="568" t="s">
        <v>791</v>
      </c>
      <c r="B4" s="568" t="s">
        <v>801</v>
      </c>
      <c r="C4" s="569" t="s">
        <v>802</v>
      </c>
      <c r="D4" s="570">
        <v>43203</v>
      </c>
      <c r="F4" s="571">
        <f t="shared" si="0"/>
        <v>201.91</v>
      </c>
      <c r="G4" s="561">
        <v>1</v>
      </c>
      <c r="H4" s="572">
        <f t="shared" si="1"/>
        <v>1</v>
      </c>
      <c r="I4" s="573">
        <v>201.91</v>
      </c>
      <c r="J4" s="570">
        <f t="shared" si="2"/>
        <v>43203</v>
      </c>
      <c r="K4" s="569" t="s">
        <v>803</v>
      </c>
      <c r="L4" s="574" t="s">
        <v>897</v>
      </c>
    </row>
    <row r="5" spans="1:12">
      <c r="A5" s="568" t="s">
        <v>791</v>
      </c>
      <c r="B5" s="568" t="s">
        <v>804</v>
      </c>
      <c r="C5" s="569" t="s">
        <v>805</v>
      </c>
      <c r="D5" s="570">
        <v>43243</v>
      </c>
      <c r="F5" s="571">
        <f t="shared" si="0"/>
        <v>997.73699999999997</v>
      </c>
      <c r="G5" s="561">
        <v>1</v>
      </c>
      <c r="H5" s="572">
        <f t="shared" si="1"/>
        <v>1</v>
      </c>
      <c r="I5" s="573">
        <v>997.73699999999997</v>
      </c>
      <c r="J5" s="570">
        <f t="shared" si="2"/>
        <v>43243</v>
      </c>
      <c r="K5" s="569" t="s">
        <v>806</v>
      </c>
      <c r="L5" s="574" t="s">
        <v>897</v>
      </c>
    </row>
    <row r="6" spans="1:12">
      <c r="A6" s="568" t="s">
        <v>791</v>
      </c>
      <c r="B6" s="568" t="s">
        <v>807</v>
      </c>
      <c r="C6" s="569" t="s">
        <v>808</v>
      </c>
      <c r="D6" s="570">
        <v>43250</v>
      </c>
      <c r="F6" s="571">
        <f t="shared" si="0"/>
        <v>988.3</v>
      </c>
      <c r="G6" s="561">
        <v>1</v>
      </c>
      <c r="H6" s="572">
        <f t="shared" si="1"/>
        <v>1</v>
      </c>
      <c r="I6" s="573">
        <v>988.3</v>
      </c>
      <c r="J6" s="570">
        <f t="shared" si="2"/>
        <v>43250</v>
      </c>
      <c r="K6" s="569" t="s">
        <v>809</v>
      </c>
      <c r="L6" s="574" t="s">
        <v>897</v>
      </c>
    </row>
    <row r="7" spans="1:12">
      <c r="A7" s="568" t="s">
        <v>791</v>
      </c>
      <c r="B7" s="568" t="s">
        <v>811</v>
      </c>
      <c r="C7" s="569" t="s">
        <v>813</v>
      </c>
      <c r="D7" s="570">
        <v>43284</v>
      </c>
      <c r="F7" s="571">
        <f t="shared" si="0"/>
        <v>222.97800000000001</v>
      </c>
      <c r="G7" s="561">
        <v>1</v>
      </c>
      <c r="H7" s="572">
        <f t="shared" si="1"/>
        <v>1</v>
      </c>
      <c r="I7" s="573">
        <v>222.97800000000001</v>
      </c>
      <c r="J7" s="570">
        <f t="shared" si="2"/>
        <v>43284</v>
      </c>
      <c r="K7" s="569" t="s">
        <v>814</v>
      </c>
      <c r="L7" s="574" t="s">
        <v>897</v>
      </c>
    </row>
    <row r="8" spans="1:12">
      <c r="A8" s="568" t="s">
        <v>791</v>
      </c>
      <c r="B8" s="568" t="s">
        <v>807</v>
      </c>
      <c r="C8" s="569" t="s">
        <v>816</v>
      </c>
      <c r="D8" s="570">
        <v>43305</v>
      </c>
      <c r="F8" s="571">
        <f t="shared" si="0"/>
        <v>720.55</v>
      </c>
      <c r="G8" s="561">
        <v>1</v>
      </c>
      <c r="H8" s="572">
        <f t="shared" si="1"/>
        <v>1</v>
      </c>
      <c r="I8" s="573">
        <v>720.55</v>
      </c>
      <c r="J8" s="570">
        <f t="shared" si="2"/>
        <v>43305</v>
      </c>
      <c r="K8" s="569" t="s">
        <v>817</v>
      </c>
      <c r="L8" s="574" t="s">
        <v>897</v>
      </c>
    </row>
    <row r="9" spans="1:12">
      <c r="A9" s="359" t="s">
        <v>791</v>
      </c>
      <c r="B9" s="359" t="s">
        <v>823</v>
      </c>
      <c r="C9" s="559" t="s">
        <v>824</v>
      </c>
      <c r="D9" s="89">
        <v>43328</v>
      </c>
      <c r="F9" s="571">
        <f t="shared" si="0"/>
        <v>401.85</v>
      </c>
      <c r="G9" s="561">
        <v>1</v>
      </c>
      <c r="H9" s="572">
        <f t="shared" si="1"/>
        <v>1</v>
      </c>
      <c r="I9" s="40">
        <v>401.85</v>
      </c>
      <c r="J9" s="570">
        <f t="shared" si="2"/>
        <v>43328</v>
      </c>
      <c r="K9" s="559" t="s">
        <v>825</v>
      </c>
      <c r="L9" s="575" t="s">
        <v>897</v>
      </c>
    </row>
    <row r="10" spans="1:12">
      <c r="A10" s="568" t="s">
        <v>818</v>
      </c>
      <c r="B10" s="568" t="s">
        <v>826</v>
      </c>
      <c r="C10" s="569" t="s">
        <v>827</v>
      </c>
      <c r="D10" s="570">
        <v>43287</v>
      </c>
      <c r="F10" s="571">
        <f t="shared" si="0"/>
        <v>1839.1590000000001</v>
      </c>
      <c r="G10" s="561">
        <v>1</v>
      </c>
      <c r="H10" s="572">
        <f t="shared" si="1"/>
        <v>1</v>
      </c>
      <c r="I10" s="573">
        <v>1839.1590000000001</v>
      </c>
      <c r="J10" s="570">
        <v>43337</v>
      </c>
      <c r="K10" s="569" t="s">
        <v>828</v>
      </c>
      <c r="L10" s="574" t="s">
        <v>897</v>
      </c>
    </row>
    <row r="11" spans="1:12">
      <c r="A11" s="568" t="s">
        <v>791</v>
      </c>
      <c r="B11" s="568" t="s">
        <v>792</v>
      </c>
      <c r="C11" s="569" t="s">
        <v>793</v>
      </c>
      <c r="D11" s="570">
        <v>43293</v>
      </c>
      <c r="F11" s="571">
        <f t="shared" si="0"/>
        <v>2559.4050000000002</v>
      </c>
      <c r="G11" s="561">
        <v>1</v>
      </c>
      <c r="H11" s="572">
        <f t="shared" si="1"/>
        <v>1</v>
      </c>
      <c r="I11" s="573">
        <v>2559.4050000000002</v>
      </c>
      <c r="J11" s="570">
        <v>43360</v>
      </c>
      <c r="K11" s="569" t="s">
        <v>794</v>
      </c>
      <c r="L11" s="574" t="s">
        <v>897</v>
      </c>
    </row>
    <row r="12" spans="1:12">
      <c r="A12" s="359" t="s">
        <v>791</v>
      </c>
      <c r="B12" s="359" t="s">
        <v>931</v>
      </c>
      <c r="C12" s="559" t="s">
        <v>922</v>
      </c>
      <c r="D12" s="89">
        <v>43353</v>
      </c>
      <c r="F12" s="571">
        <f t="shared" si="0"/>
        <v>1665.0440000000001</v>
      </c>
      <c r="G12" s="561">
        <v>1</v>
      </c>
      <c r="H12" s="572">
        <f t="shared" si="1"/>
        <v>1</v>
      </c>
      <c r="I12" s="40">
        <v>1665.0440000000001</v>
      </c>
      <c r="J12" s="570">
        <v>43360</v>
      </c>
      <c r="K12" s="559" t="s">
        <v>927</v>
      </c>
      <c r="L12" s="574" t="s">
        <v>897</v>
      </c>
    </row>
    <row r="13" spans="1:12">
      <c r="A13" s="359" t="s">
        <v>791</v>
      </c>
      <c r="B13" s="359" t="s">
        <v>811</v>
      </c>
      <c r="C13" s="559" t="s">
        <v>918</v>
      </c>
      <c r="D13" s="89">
        <v>43360</v>
      </c>
      <c r="F13" s="571">
        <f t="shared" si="0"/>
        <v>224.78700000000001</v>
      </c>
      <c r="G13" s="561">
        <v>1</v>
      </c>
      <c r="H13" s="572">
        <f t="shared" si="1"/>
        <v>1</v>
      </c>
      <c r="I13" s="40">
        <v>224.78700000000001</v>
      </c>
      <c r="J13" s="570">
        <v>43360</v>
      </c>
      <c r="K13" s="559" t="s">
        <v>923</v>
      </c>
      <c r="L13" s="574" t="s">
        <v>897</v>
      </c>
    </row>
    <row r="14" spans="1:12">
      <c r="A14" s="568" t="s">
        <v>818</v>
      </c>
      <c r="B14" s="568" t="s">
        <v>804</v>
      </c>
      <c r="C14" s="569" t="s">
        <v>831</v>
      </c>
      <c r="D14" s="570">
        <v>43276</v>
      </c>
      <c r="F14" s="571">
        <f t="shared" si="0"/>
        <v>1320.5139999999999</v>
      </c>
      <c r="G14" s="561">
        <v>1</v>
      </c>
      <c r="H14" s="572">
        <f t="shared" si="1"/>
        <v>1</v>
      </c>
      <c r="I14" s="573">
        <v>1320.5139999999999</v>
      </c>
      <c r="J14" s="570">
        <v>43363</v>
      </c>
      <c r="K14" s="569" t="s">
        <v>832</v>
      </c>
      <c r="L14" s="575" t="s">
        <v>897</v>
      </c>
    </row>
    <row r="15" spans="1:12">
      <c r="A15" s="359" t="s">
        <v>791</v>
      </c>
      <c r="B15" s="359" t="s">
        <v>810</v>
      </c>
      <c r="C15" s="559" t="s">
        <v>999</v>
      </c>
      <c r="D15" s="89">
        <v>43367</v>
      </c>
      <c r="F15" s="571">
        <f t="shared" si="0"/>
        <v>107.7</v>
      </c>
      <c r="G15" s="561">
        <v>1</v>
      </c>
      <c r="H15" s="572">
        <f t="shared" si="1"/>
        <v>1</v>
      </c>
      <c r="I15" s="40">
        <v>107.7</v>
      </c>
      <c r="J15" s="570">
        <f t="shared" ref="J15:J22" si="3">+D15</f>
        <v>43367</v>
      </c>
      <c r="K15" s="559" t="s">
        <v>1006</v>
      </c>
      <c r="L15" s="574" t="s">
        <v>897</v>
      </c>
    </row>
    <row r="16" spans="1:12">
      <c r="A16" s="359" t="s">
        <v>791</v>
      </c>
      <c r="B16" s="359" t="s">
        <v>862</v>
      </c>
      <c r="C16" s="559" t="s">
        <v>997</v>
      </c>
      <c r="D16" s="89">
        <v>43367</v>
      </c>
      <c r="F16" s="571">
        <f t="shared" si="0"/>
        <v>758.69</v>
      </c>
      <c r="G16" s="561">
        <v>1</v>
      </c>
      <c r="H16" s="572">
        <f t="shared" si="1"/>
        <v>1</v>
      </c>
      <c r="I16" s="40">
        <v>758.69</v>
      </c>
      <c r="J16" s="570">
        <f t="shared" si="3"/>
        <v>43367</v>
      </c>
      <c r="K16" s="559" t="s">
        <v>1004</v>
      </c>
      <c r="L16" s="575" t="s">
        <v>897</v>
      </c>
    </row>
    <row r="17" spans="1:12">
      <c r="A17" s="359" t="s">
        <v>791</v>
      </c>
      <c r="B17" s="359" t="s">
        <v>812</v>
      </c>
      <c r="C17" s="559" t="s">
        <v>995</v>
      </c>
      <c r="D17" s="89">
        <v>43367</v>
      </c>
      <c r="F17" s="571">
        <f t="shared" si="0"/>
        <v>260.55700000000002</v>
      </c>
      <c r="G17" s="561">
        <v>1</v>
      </c>
      <c r="H17" s="572">
        <f t="shared" si="1"/>
        <v>1</v>
      </c>
      <c r="I17" s="40">
        <v>260.55700000000002</v>
      </c>
      <c r="J17" s="570">
        <f t="shared" si="3"/>
        <v>43367</v>
      </c>
      <c r="K17" s="559" t="s">
        <v>1002</v>
      </c>
      <c r="L17" s="575" t="s">
        <v>897</v>
      </c>
    </row>
    <row r="18" spans="1:12">
      <c r="A18" s="359" t="s">
        <v>791</v>
      </c>
      <c r="B18" s="359" t="s">
        <v>1007</v>
      </c>
      <c r="C18" s="559" t="s">
        <v>994</v>
      </c>
      <c r="D18" s="89">
        <v>43367</v>
      </c>
      <c r="F18" s="571">
        <f t="shared" si="0"/>
        <v>180.88499999999999</v>
      </c>
      <c r="G18" s="561">
        <v>1</v>
      </c>
      <c r="H18" s="572">
        <f t="shared" si="1"/>
        <v>1</v>
      </c>
      <c r="I18" s="40">
        <v>180.88499999999999</v>
      </c>
      <c r="J18" s="570">
        <f t="shared" si="3"/>
        <v>43367</v>
      </c>
      <c r="K18" s="559" t="s">
        <v>1001</v>
      </c>
      <c r="L18" s="574" t="s">
        <v>897</v>
      </c>
    </row>
    <row r="19" spans="1:12">
      <c r="A19" s="359" t="s">
        <v>791</v>
      </c>
      <c r="B19" s="359" t="s">
        <v>812</v>
      </c>
      <c r="C19" s="559" t="s">
        <v>1045</v>
      </c>
      <c r="D19" s="89">
        <v>43376</v>
      </c>
      <c r="F19" s="571">
        <f t="shared" si="0"/>
        <v>903.57399999999996</v>
      </c>
      <c r="G19" s="561">
        <v>1</v>
      </c>
      <c r="H19" s="572">
        <f t="shared" si="1"/>
        <v>1</v>
      </c>
      <c r="I19" s="40">
        <v>903.57399999999996</v>
      </c>
      <c r="J19" s="570">
        <f t="shared" si="3"/>
        <v>43376</v>
      </c>
      <c r="K19" s="559" t="s">
        <v>1047</v>
      </c>
      <c r="L19" s="574" t="s">
        <v>897</v>
      </c>
    </row>
    <row r="20" spans="1:12">
      <c r="A20" s="359" t="s">
        <v>791</v>
      </c>
      <c r="B20" s="359" t="s">
        <v>1297</v>
      </c>
      <c r="C20" s="559" t="s">
        <v>1074</v>
      </c>
      <c r="D20" s="89">
        <v>43385</v>
      </c>
      <c r="F20" s="571">
        <f t="shared" si="0"/>
        <v>361.363</v>
      </c>
      <c r="G20" s="561">
        <v>1</v>
      </c>
      <c r="H20" s="572">
        <f t="shared" si="1"/>
        <v>1</v>
      </c>
      <c r="I20" s="40">
        <v>361.363</v>
      </c>
      <c r="J20" s="570">
        <f t="shared" si="3"/>
        <v>43385</v>
      </c>
      <c r="K20" s="559" t="s">
        <v>1080</v>
      </c>
      <c r="L20" s="574" t="s">
        <v>897</v>
      </c>
    </row>
    <row r="21" spans="1:12">
      <c r="A21" s="359" t="s">
        <v>791</v>
      </c>
      <c r="B21" s="359" t="s">
        <v>807</v>
      </c>
      <c r="C21" s="559" t="s">
        <v>1073</v>
      </c>
      <c r="D21" s="89">
        <v>43385</v>
      </c>
      <c r="F21" s="571">
        <f t="shared" si="0"/>
        <v>351.65</v>
      </c>
      <c r="G21" s="697">
        <v>1</v>
      </c>
      <c r="H21" s="572">
        <f t="shared" si="1"/>
        <v>1</v>
      </c>
      <c r="I21" s="40">
        <v>351.65</v>
      </c>
      <c r="J21" s="570">
        <f t="shared" si="3"/>
        <v>43385</v>
      </c>
      <c r="K21" s="559" t="s">
        <v>1079</v>
      </c>
      <c r="L21" s="574" t="s">
        <v>897</v>
      </c>
    </row>
    <row r="22" spans="1:12">
      <c r="A22" s="359" t="s">
        <v>791</v>
      </c>
      <c r="B22" s="359" t="s">
        <v>930</v>
      </c>
      <c r="C22" s="559" t="s">
        <v>1071</v>
      </c>
      <c r="D22" s="89">
        <v>43385</v>
      </c>
      <c r="F22" s="571">
        <f t="shared" si="0"/>
        <v>479.267</v>
      </c>
      <c r="G22" s="561">
        <v>1</v>
      </c>
      <c r="H22" s="572">
        <f t="shared" si="1"/>
        <v>1</v>
      </c>
      <c r="I22" s="40">
        <v>479.267</v>
      </c>
      <c r="J22" s="570">
        <f t="shared" si="3"/>
        <v>43385</v>
      </c>
      <c r="K22" s="559" t="s">
        <v>1077</v>
      </c>
      <c r="L22" s="574" t="s">
        <v>897</v>
      </c>
    </row>
    <row r="23" spans="1:12">
      <c r="A23" s="359" t="s">
        <v>791</v>
      </c>
      <c r="B23" s="359" t="s">
        <v>1296</v>
      </c>
      <c r="C23" s="559" t="s">
        <v>1148</v>
      </c>
      <c r="D23" s="89">
        <v>43391</v>
      </c>
      <c r="F23" s="571">
        <f t="shared" si="0"/>
        <v>35.703000000000003</v>
      </c>
      <c r="G23" s="561">
        <v>1</v>
      </c>
      <c r="H23" s="572">
        <f t="shared" si="1"/>
        <v>1</v>
      </c>
      <c r="I23" s="40">
        <v>35.703000000000003</v>
      </c>
      <c r="J23" s="570">
        <v>43391</v>
      </c>
      <c r="K23" s="559" t="s">
        <v>1154</v>
      </c>
      <c r="L23" s="568" t="s">
        <v>897</v>
      </c>
    </row>
    <row r="24" spans="1:12">
      <c r="A24" s="359" t="s">
        <v>791</v>
      </c>
      <c r="B24" s="359" t="s">
        <v>807</v>
      </c>
      <c r="C24" s="559" t="s">
        <v>1147</v>
      </c>
      <c r="D24" s="89">
        <v>43395</v>
      </c>
      <c r="F24" s="571">
        <f t="shared" si="0"/>
        <v>220.75</v>
      </c>
      <c r="G24" s="561">
        <v>1</v>
      </c>
      <c r="H24" s="572">
        <f t="shared" si="1"/>
        <v>1</v>
      </c>
      <c r="I24" s="40">
        <v>220.75</v>
      </c>
      <c r="J24" s="570">
        <v>43395</v>
      </c>
      <c r="K24" s="559" t="s">
        <v>1153</v>
      </c>
      <c r="L24" s="568" t="s">
        <v>897</v>
      </c>
    </row>
    <row r="25" spans="1:12">
      <c r="A25" s="359" t="s">
        <v>791</v>
      </c>
      <c r="B25" s="359" t="s">
        <v>812</v>
      </c>
      <c r="C25" s="559" t="s">
        <v>1162</v>
      </c>
      <c r="D25" s="89">
        <v>43400</v>
      </c>
      <c r="F25" s="571">
        <f t="shared" si="0"/>
        <v>336.04300000000001</v>
      </c>
      <c r="G25" s="655">
        <v>1</v>
      </c>
      <c r="H25" s="572">
        <f t="shared" si="1"/>
        <v>1</v>
      </c>
      <c r="I25" s="40">
        <v>336.04300000000001</v>
      </c>
      <c r="J25" s="570">
        <f t="shared" ref="J25:J36" si="4">+D25</f>
        <v>43400</v>
      </c>
      <c r="K25" s="559" t="s">
        <v>1167</v>
      </c>
      <c r="L25" s="576" t="s">
        <v>897</v>
      </c>
    </row>
    <row r="26" spans="1:12">
      <c r="A26" s="359" t="s">
        <v>791</v>
      </c>
      <c r="B26" s="359" t="s">
        <v>1170</v>
      </c>
      <c r="C26" s="559" t="s">
        <v>1160</v>
      </c>
      <c r="D26" s="89">
        <v>43400</v>
      </c>
      <c r="F26" s="571">
        <f t="shared" si="0"/>
        <v>3625.6419999999998</v>
      </c>
      <c r="G26" s="561">
        <v>1</v>
      </c>
      <c r="H26" s="572">
        <f t="shared" si="1"/>
        <v>1</v>
      </c>
      <c r="I26" s="40">
        <v>3625.6419999999998</v>
      </c>
      <c r="J26" s="570">
        <f t="shared" si="4"/>
        <v>43400</v>
      </c>
      <c r="K26" s="559" t="s">
        <v>1165</v>
      </c>
      <c r="L26" s="568" t="s">
        <v>897</v>
      </c>
    </row>
    <row r="27" spans="1:12">
      <c r="A27" s="359" t="s">
        <v>791</v>
      </c>
      <c r="B27" s="359" t="s">
        <v>1169</v>
      </c>
      <c r="C27" s="559" t="s">
        <v>1159</v>
      </c>
      <c r="D27" s="89">
        <v>43400</v>
      </c>
      <c r="F27" s="571">
        <f t="shared" si="0"/>
        <v>3612.355</v>
      </c>
      <c r="G27" s="561">
        <v>1</v>
      </c>
      <c r="H27" s="572">
        <f t="shared" si="1"/>
        <v>1</v>
      </c>
      <c r="I27" s="40">
        <v>3612.355</v>
      </c>
      <c r="J27" s="570">
        <f t="shared" si="4"/>
        <v>43400</v>
      </c>
      <c r="K27" s="559" t="s">
        <v>1164</v>
      </c>
      <c r="L27" s="568" t="s">
        <v>897</v>
      </c>
    </row>
    <row r="28" spans="1:12">
      <c r="A28" s="359" t="s">
        <v>791</v>
      </c>
      <c r="B28" s="359" t="s">
        <v>1278</v>
      </c>
      <c r="C28" s="559" t="s">
        <v>1262</v>
      </c>
      <c r="D28" s="89">
        <v>43409</v>
      </c>
      <c r="F28" s="571">
        <f t="shared" si="0"/>
        <v>108.771</v>
      </c>
      <c r="G28" s="561">
        <v>1</v>
      </c>
      <c r="H28" s="572">
        <f t="shared" si="1"/>
        <v>1</v>
      </c>
      <c r="I28" s="40">
        <v>108.771</v>
      </c>
      <c r="J28" s="570">
        <f t="shared" si="4"/>
        <v>43409</v>
      </c>
      <c r="K28" s="559" t="s">
        <v>1273</v>
      </c>
      <c r="L28" s="568" t="s">
        <v>897</v>
      </c>
    </row>
    <row r="29" spans="1:12">
      <c r="A29" s="359" t="s">
        <v>791</v>
      </c>
      <c r="B29" s="359" t="s">
        <v>792</v>
      </c>
      <c r="C29" s="559" t="s">
        <v>1260</v>
      </c>
      <c r="D29" s="89">
        <v>43409</v>
      </c>
      <c r="F29" s="571">
        <f t="shared" si="0"/>
        <v>588.37599999999998</v>
      </c>
      <c r="G29" s="561">
        <v>1</v>
      </c>
      <c r="H29" s="572">
        <f t="shared" si="1"/>
        <v>1</v>
      </c>
      <c r="I29" s="40">
        <v>588.37599999999998</v>
      </c>
      <c r="J29" s="570">
        <f t="shared" si="4"/>
        <v>43409</v>
      </c>
      <c r="K29" s="559" t="s">
        <v>1271</v>
      </c>
      <c r="L29" s="568" t="s">
        <v>897</v>
      </c>
    </row>
    <row r="30" spans="1:12">
      <c r="A30" s="359" t="s">
        <v>791</v>
      </c>
      <c r="B30" s="359" t="s">
        <v>1282</v>
      </c>
      <c r="C30" s="559" t="s">
        <v>1283</v>
      </c>
      <c r="D30" s="89">
        <v>43410</v>
      </c>
      <c r="F30" s="571">
        <f t="shared" si="0"/>
        <v>273.452</v>
      </c>
      <c r="G30" s="561">
        <v>1</v>
      </c>
      <c r="H30" s="572">
        <f t="shared" si="1"/>
        <v>1</v>
      </c>
      <c r="I30" s="40">
        <v>273.452</v>
      </c>
      <c r="J30" s="570">
        <f t="shared" si="4"/>
        <v>43410</v>
      </c>
      <c r="K30" s="559" t="s">
        <v>1284</v>
      </c>
      <c r="L30" s="568" t="s">
        <v>897</v>
      </c>
    </row>
    <row r="31" spans="1:12">
      <c r="A31" s="359" t="s">
        <v>791</v>
      </c>
      <c r="B31" s="359" t="s">
        <v>834</v>
      </c>
      <c r="C31" s="559" t="s">
        <v>1307</v>
      </c>
      <c r="D31" s="89">
        <v>43416</v>
      </c>
      <c r="F31" s="571">
        <f t="shared" si="0"/>
        <v>658.68</v>
      </c>
      <c r="G31" s="561">
        <v>1</v>
      </c>
      <c r="H31" s="572">
        <f t="shared" si="1"/>
        <v>1</v>
      </c>
      <c r="I31" s="40">
        <v>658.68</v>
      </c>
      <c r="J31" s="570">
        <f t="shared" si="4"/>
        <v>43416</v>
      </c>
      <c r="K31" s="559" t="s">
        <v>1317</v>
      </c>
      <c r="L31" s="568" t="s">
        <v>897</v>
      </c>
    </row>
    <row r="32" spans="1:12">
      <c r="A32" s="359" t="s">
        <v>791</v>
      </c>
      <c r="B32" s="359" t="s">
        <v>1320</v>
      </c>
      <c r="C32" s="559" t="s">
        <v>1304</v>
      </c>
      <c r="D32" s="89">
        <v>43416</v>
      </c>
      <c r="F32" s="571">
        <f t="shared" si="0"/>
        <v>1116.7449999999999</v>
      </c>
      <c r="G32" s="561">
        <v>1</v>
      </c>
      <c r="H32" s="572">
        <f t="shared" si="1"/>
        <v>1</v>
      </c>
      <c r="I32" s="40">
        <v>1116.7449999999999</v>
      </c>
      <c r="J32" s="570">
        <f t="shared" si="4"/>
        <v>43416</v>
      </c>
      <c r="K32" s="559" t="s">
        <v>1314</v>
      </c>
      <c r="L32" s="568" t="s">
        <v>897</v>
      </c>
    </row>
    <row r="33" spans="1:19">
      <c r="A33" s="359" t="s">
        <v>791</v>
      </c>
      <c r="B33" s="359" t="s">
        <v>930</v>
      </c>
      <c r="C33" s="559" t="s">
        <v>1301</v>
      </c>
      <c r="D33" s="89">
        <v>43416</v>
      </c>
      <c r="F33" s="571">
        <f t="shared" si="0"/>
        <v>245.96299999999999</v>
      </c>
      <c r="G33" s="561">
        <v>1</v>
      </c>
      <c r="H33" s="572">
        <f t="shared" si="1"/>
        <v>1</v>
      </c>
      <c r="I33" s="40">
        <v>245.96299999999999</v>
      </c>
      <c r="J33" s="570">
        <f t="shared" si="4"/>
        <v>43416</v>
      </c>
      <c r="K33" s="559" t="s">
        <v>1311</v>
      </c>
      <c r="L33" s="568" t="s">
        <v>897</v>
      </c>
    </row>
    <row r="34" spans="1:19">
      <c r="A34" s="359" t="s">
        <v>791</v>
      </c>
      <c r="B34" s="359" t="s">
        <v>1325</v>
      </c>
      <c r="C34" s="559" t="s">
        <v>860</v>
      </c>
      <c r="D34" s="89">
        <v>43417</v>
      </c>
      <c r="F34" s="571">
        <f t="shared" si="0"/>
        <v>1576</v>
      </c>
      <c r="G34" s="561">
        <v>1</v>
      </c>
      <c r="H34" s="572">
        <f t="shared" si="1"/>
        <v>1</v>
      </c>
      <c r="I34" s="40">
        <v>1576</v>
      </c>
      <c r="J34" s="570">
        <f t="shared" si="4"/>
        <v>43417</v>
      </c>
      <c r="K34" s="559" t="s">
        <v>1326</v>
      </c>
      <c r="L34" s="568" t="s">
        <v>897</v>
      </c>
    </row>
    <row r="35" spans="1:19">
      <c r="A35" s="359" t="s">
        <v>791</v>
      </c>
      <c r="B35" s="359" t="s">
        <v>1156</v>
      </c>
      <c r="C35" s="559" t="s">
        <v>1394</v>
      </c>
      <c r="D35" s="89">
        <v>43421</v>
      </c>
      <c r="F35" s="571">
        <f t="shared" si="0"/>
        <v>502.721</v>
      </c>
      <c r="G35" s="561">
        <v>1</v>
      </c>
      <c r="H35" s="572">
        <f t="shared" si="1"/>
        <v>1</v>
      </c>
      <c r="I35" s="40">
        <v>502.721</v>
      </c>
      <c r="J35" s="570">
        <f t="shared" si="4"/>
        <v>43421</v>
      </c>
      <c r="K35" s="559" t="s">
        <v>1398</v>
      </c>
      <c r="L35" s="576" t="s">
        <v>897</v>
      </c>
    </row>
    <row r="36" spans="1:19">
      <c r="A36" s="359" t="s">
        <v>791</v>
      </c>
      <c r="B36" s="359" t="s">
        <v>815</v>
      </c>
      <c r="C36" s="559" t="s">
        <v>1393</v>
      </c>
      <c r="D36" s="89">
        <v>43421</v>
      </c>
      <c r="F36" s="571">
        <f t="shared" si="0"/>
        <v>2768.3539999999998</v>
      </c>
      <c r="G36" s="561">
        <v>1</v>
      </c>
      <c r="H36" s="572">
        <f t="shared" si="1"/>
        <v>1</v>
      </c>
      <c r="I36" s="40">
        <v>2768.3539999999998</v>
      </c>
      <c r="J36" s="570">
        <f t="shared" si="4"/>
        <v>43421</v>
      </c>
      <c r="K36" s="559" t="s">
        <v>1397</v>
      </c>
      <c r="L36" s="576" t="s">
        <v>897</v>
      </c>
    </row>
    <row r="37" spans="1:19">
      <c r="A37" s="359" t="s">
        <v>791</v>
      </c>
      <c r="B37" s="359" t="s">
        <v>1429</v>
      </c>
      <c r="C37" s="559" t="s">
        <v>1414</v>
      </c>
      <c r="D37" s="89">
        <v>43426</v>
      </c>
      <c r="F37" s="571">
        <f t="shared" si="0"/>
        <v>264.41800000000001</v>
      </c>
      <c r="G37" s="561">
        <v>1</v>
      </c>
      <c r="H37" s="572">
        <f t="shared" si="1"/>
        <v>1</v>
      </c>
      <c r="I37" s="40">
        <v>264.41800000000001</v>
      </c>
      <c r="J37" s="570">
        <f t="shared" ref="J37:J44" si="5">D37</f>
        <v>43426</v>
      </c>
      <c r="K37" s="559" t="s">
        <v>1425</v>
      </c>
      <c r="L37" s="568" t="s">
        <v>897</v>
      </c>
      <c r="S37" s="698"/>
    </row>
    <row r="38" spans="1:19">
      <c r="A38" s="359" t="s">
        <v>791</v>
      </c>
      <c r="B38" s="359" t="s">
        <v>849</v>
      </c>
      <c r="C38" s="559" t="s">
        <v>1413</v>
      </c>
      <c r="D38" s="89">
        <v>43426</v>
      </c>
      <c r="F38" s="571">
        <f t="shared" si="0"/>
        <v>810.12900000000002</v>
      </c>
      <c r="G38" s="561">
        <v>1</v>
      </c>
      <c r="H38" s="572">
        <f t="shared" si="1"/>
        <v>1</v>
      </c>
      <c r="I38" s="40">
        <v>810.12900000000002</v>
      </c>
      <c r="J38" s="570">
        <f t="shared" si="5"/>
        <v>43426</v>
      </c>
      <c r="K38" s="559" t="s">
        <v>1424</v>
      </c>
      <c r="L38" s="568" t="s">
        <v>897</v>
      </c>
    </row>
    <row r="39" spans="1:19">
      <c r="A39" s="359" t="s">
        <v>791</v>
      </c>
      <c r="B39" s="359" t="s">
        <v>822</v>
      </c>
      <c r="C39" s="559" t="s">
        <v>1411</v>
      </c>
      <c r="D39" s="89">
        <v>43428</v>
      </c>
      <c r="F39" s="571">
        <f t="shared" si="0"/>
        <v>969.18499999999995</v>
      </c>
      <c r="G39" s="561">
        <v>1</v>
      </c>
      <c r="H39" s="572">
        <f t="shared" si="1"/>
        <v>1</v>
      </c>
      <c r="I39" s="40">
        <v>969.18499999999995</v>
      </c>
      <c r="J39" s="570">
        <f t="shared" si="5"/>
        <v>43428</v>
      </c>
      <c r="K39" s="559" t="s">
        <v>1422</v>
      </c>
      <c r="L39" s="568" t="s">
        <v>897</v>
      </c>
    </row>
    <row r="40" spans="1:19">
      <c r="A40" s="359" t="s">
        <v>791</v>
      </c>
      <c r="B40" s="359" t="s">
        <v>928</v>
      </c>
      <c r="C40" s="559" t="s">
        <v>1410</v>
      </c>
      <c r="D40" s="89">
        <v>43428</v>
      </c>
      <c r="F40" s="571">
        <f t="shared" si="0"/>
        <v>705.67499999999995</v>
      </c>
      <c r="G40" s="655">
        <v>1</v>
      </c>
      <c r="H40" s="572">
        <f t="shared" si="1"/>
        <v>1</v>
      </c>
      <c r="I40" s="40">
        <v>705.67499999999995</v>
      </c>
      <c r="J40" s="570">
        <f t="shared" si="5"/>
        <v>43428</v>
      </c>
      <c r="K40" s="559" t="s">
        <v>1421</v>
      </c>
      <c r="L40" s="568" t="s">
        <v>897</v>
      </c>
    </row>
    <row r="41" spans="1:19">
      <c r="A41" s="359" t="s">
        <v>791</v>
      </c>
      <c r="B41" s="359" t="s">
        <v>1428</v>
      </c>
      <c r="C41" s="559" t="s">
        <v>1409</v>
      </c>
      <c r="D41" s="89">
        <v>43428</v>
      </c>
      <c r="F41" s="571">
        <f t="shared" si="0"/>
        <v>1062.5</v>
      </c>
      <c r="G41" s="561">
        <v>1</v>
      </c>
      <c r="H41" s="572">
        <f t="shared" si="1"/>
        <v>1</v>
      </c>
      <c r="I41" s="40">
        <v>1062.5</v>
      </c>
      <c r="J41" s="570">
        <f t="shared" si="5"/>
        <v>43428</v>
      </c>
      <c r="K41" s="559" t="s">
        <v>1420</v>
      </c>
      <c r="L41" s="568" t="s">
        <v>897</v>
      </c>
    </row>
    <row r="42" spans="1:19">
      <c r="A42" s="359" t="s">
        <v>791</v>
      </c>
      <c r="B42" s="359" t="s">
        <v>1426</v>
      </c>
      <c r="C42" s="559" t="s">
        <v>1408</v>
      </c>
      <c r="D42" s="89">
        <v>43428</v>
      </c>
      <c r="F42" s="571">
        <f t="shared" si="0"/>
        <v>2251.1190000000001</v>
      </c>
      <c r="G42" s="561">
        <v>1</v>
      </c>
      <c r="H42" s="572">
        <f t="shared" si="1"/>
        <v>1</v>
      </c>
      <c r="I42" s="40">
        <v>2251.1190000000001</v>
      </c>
      <c r="J42" s="570">
        <f t="shared" si="5"/>
        <v>43428</v>
      </c>
      <c r="K42" s="559" t="s">
        <v>1419</v>
      </c>
      <c r="L42" s="568" t="s">
        <v>897</v>
      </c>
    </row>
    <row r="43" spans="1:19">
      <c r="A43" s="359" t="s">
        <v>791</v>
      </c>
      <c r="B43" s="359" t="s">
        <v>1323</v>
      </c>
      <c r="C43" s="559" t="s">
        <v>1407</v>
      </c>
      <c r="D43" s="89">
        <v>43430</v>
      </c>
      <c r="F43" s="571">
        <f t="shared" si="0"/>
        <v>1216</v>
      </c>
      <c r="G43" s="561">
        <v>1</v>
      </c>
      <c r="H43" s="572">
        <f t="shared" si="1"/>
        <v>1</v>
      </c>
      <c r="I43" s="40">
        <v>1216</v>
      </c>
      <c r="J43" s="570">
        <f t="shared" si="5"/>
        <v>43430</v>
      </c>
      <c r="K43" s="559" t="s">
        <v>1418</v>
      </c>
      <c r="L43" s="568" t="s">
        <v>897</v>
      </c>
    </row>
    <row r="44" spans="1:19">
      <c r="A44" s="359" t="s">
        <v>791</v>
      </c>
      <c r="B44" s="359" t="s">
        <v>810</v>
      </c>
      <c r="C44" s="559" t="s">
        <v>1406</v>
      </c>
      <c r="D44" s="89">
        <v>43430</v>
      </c>
      <c r="F44" s="571">
        <f t="shared" si="0"/>
        <v>768.15</v>
      </c>
      <c r="G44" s="561">
        <v>1</v>
      </c>
      <c r="H44" s="572">
        <f t="shared" si="1"/>
        <v>1</v>
      </c>
      <c r="I44" s="40">
        <v>768.15</v>
      </c>
      <c r="J44" s="570">
        <f t="shared" si="5"/>
        <v>43430</v>
      </c>
      <c r="K44" s="559" t="s">
        <v>1417</v>
      </c>
      <c r="L44" s="568" t="s">
        <v>897</v>
      </c>
    </row>
    <row r="45" spans="1:19">
      <c r="A45" s="359" t="s">
        <v>791</v>
      </c>
      <c r="B45" s="359" t="s">
        <v>844</v>
      </c>
      <c r="C45" s="559" t="s">
        <v>1502</v>
      </c>
      <c r="D45" s="89">
        <v>43433</v>
      </c>
      <c r="F45" s="571">
        <f t="shared" si="0"/>
        <v>992.274</v>
      </c>
      <c r="G45" s="561">
        <v>1</v>
      </c>
      <c r="H45" s="572">
        <f t="shared" si="1"/>
        <v>1</v>
      </c>
      <c r="I45" s="40">
        <v>992.274</v>
      </c>
      <c r="J45" s="570">
        <f t="shared" ref="J45:J63" si="6">+D45</f>
        <v>43433</v>
      </c>
      <c r="K45" s="559" t="s">
        <v>1531</v>
      </c>
      <c r="L45" s="568" t="s">
        <v>897</v>
      </c>
    </row>
    <row r="46" spans="1:19">
      <c r="A46" s="359" t="s">
        <v>791</v>
      </c>
      <c r="B46" s="359" t="s">
        <v>844</v>
      </c>
      <c r="C46" s="559" t="s">
        <v>1501</v>
      </c>
      <c r="D46" s="89">
        <v>43433</v>
      </c>
      <c r="F46" s="571">
        <f t="shared" si="0"/>
        <v>120.727</v>
      </c>
      <c r="G46" s="561">
        <v>1</v>
      </c>
      <c r="H46" s="572">
        <f t="shared" si="1"/>
        <v>1</v>
      </c>
      <c r="I46" s="40">
        <v>120.727</v>
      </c>
      <c r="J46" s="570">
        <f t="shared" si="6"/>
        <v>43433</v>
      </c>
      <c r="K46" s="559" t="s">
        <v>1530</v>
      </c>
      <c r="L46" s="568" t="s">
        <v>897</v>
      </c>
    </row>
    <row r="47" spans="1:19">
      <c r="A47" s="359" t="s">
        <v>791</v>
      </c>
      <c r="B47" s="359" t="s">
        <v>1540</v>
      </c>
      <c r="C47" s="559" t="s">
        <v>1498</v>
      </c>
      <c r="D47" s="89">
        <v>43438</v>
      </c>
      <c r="F47" s="571">
        <f t="shared" si="0"/>
        <v>236.48500000000001</v>
      </c>
      <c r="G47" s="561">
        <v>1</v>
      </c>
      <c r="H47" s="572">
        <f t="shared" si="1"/>
        <v>1</v>
      </c>
      <c r="I47" s="40">
        <v>236.48500000000001</v>
      </c>
      <c r="J47" s="570">
        <f t="shared" si="6"/>
        <v>43438</v>
      </c>
      <c r="K47" s="559" t="s">
        <v>1527</v>
      </c>
      <c r="L47" s="568" t="s">
        <v>897</v>
      </c>
    </row>
    <row r="48" spans="1:19">
      <c r="A48" s="359" t="s">
        <v>791</v>
      </c>
      <c r="B48" s="359" t="s">
        <v>1427</v>
      </c>
      <c r="C48" s="559" t="s">
        <v>1497</v>
      </c>
      <c r="D48" s="89">
        <v>43438</v>
      </c>
      <c r="F48" s="571">
        <f t="shared" si="0"/>
        <v>1426.2</v>
      </c>
      <c r="G48" s="561">
        <v>1</v>
      </c>
      <c r="H48" s="572">
        <f t="shared" si="1"/>
        <v>1</v>
      </c>
      <c r="I48" s="40">
        <v>1426.2</v>
      </c>
      <c r="J48" s="570">
        <f t="shared" si="6"/>
        <v>43438</v>
      </c>
      <c r="K48" s="559" t="s">
        <v>1526</v>
      </c>
      <c r="L48" s="568" t="s">
        <v>897</v>
      </c>
    </row>
    <row r="49" spans="1:12">
      <c r="A49" s="359" t="s">
        <v>791</v>
      </c>
      <c r="B49" s="359" t="s">
        <v>1542</v>
      </c>
      <c r="C49" s="559" t="s">
        <v>1496</v>
      </c>
      <c r="D49" s="89">
        <v>43438</v>
      </c>
      <c r="F49" s="571">
        <f t="shared" si="0"/>
        <v>849.55399999999997</v>
      </c>
      <c r="G49" s="561">
        <v>1</v>
      </c>
      <c r="H49" s="572">
        <f t="shared" si="1"/>
        <v>1</v>
      </c>
      <c r="I49" s="40">
        <v>849.55399999999997</v>
      </c>
      <c r="J49" s="570">
        <f t="shared" si="6"/>
        <v>43438</v>
      </c>
      <c r="K49" s="559" t="s">
        <v>1525</v>
      </c>
      <c r="L49" s="568" t="s">
        <v>897</v>
      </c>
    </row>
    <row r="50" spans="1:12">
      <c r="A50" s="359" t="s">
        <v>791</v>
      </c>
      <c r="B50" s="359" t="s">
        <v>1170</v>
      </c>
      <c r="C50" s="559" t="s">
        <v>1495</v>
      </c>
      <c r="D50" s="89">
        <v>43438</v>
      </c>
      <c r="F50" s="571">
        <f t="shared" si="0"/>
        <v>214.8</v>
      </c>
      <c r="G50" s="561">
        <v>1</v>
      </c>
      <c r="H50" s="572">
        <f t="shared" si="1"/>
        <v>1</v>
      </c>
      <c r="I50" s="40">
        <v>214.8</v>
      </c>
      <c r="J50" s="570">
        <f t="shared" si="6"/>
        <v>43438</v>
      </c>
      <c r="K50" s="559" t="s">
        <v>1524</v>
      </c>
      <c r="L50" s="568" t="s">
        <v>897</v>
      </c>
    </row>
    <row r="51" spans="1:12">
      <c r="A51" s="359" t="s">
        <v>791</v>
      </c>
      <c r="B51" s="359" t="s">
        <v>1142</v>
      </c>
      <c r="C51" s="559" t="s">
        <v>1493</v>
      </c>
      <c r="D51" s="89">
        <v>43438</v>
      </c>
      <c r="F51" s="571">
        <f t="shared" si="0"/>
        <v>694</v>
      </c>
      <c r="G51" s="561">
        <v>1</v>
      </c>
      <c r="H51" s="572">
        <f t="shared" si="1"/>
        <v>1</v>
      </c>
      <c r="I51" s="40">
        <v>694</v>
      </c>
      <c r="J51" s="570">
        <f t="shared" si="6"/>
        <v>43438</v>
      </c>
      <c r="K51" s="559" t="s">
        <v>1522</v>
      </c>
      <c r="L51" s="568" t="s">
        <v>897</v>
      </c>
    </row>
    <row r="52" spans="1:12">
      <c r="A52" s="359" t="s">
        <v>791</v>
      </c>
      <c r="B52" s="359" t="s">
        <v>1017</v>
      </c>
      <c r="C52" s="559" t="s">
        <v>1492</v>
      </c>
      <c r="D52" s="89">
        <v>43438</v>
      </c>
      <c r="F52" s="571">
        <f t="shared" si="0"/>
        <v>379.57</v>
      </c>
      <c r="G52" s="561">
        <v>1</v>
      </c>
      <c r="H52" s="572">
        <f t="shared" si="1"/>
        <v>1</v>
      </c>
      <c r="I52" s="40">
        <v>379.57</v>
      </c>
      <c r="J52" s="570">
        <f t="shared" si="6"/>
        <v>43438</v>
      </c>
      <c r="K52" s="559" t="s">
        <v>1521</v>
      </c>
      <c r="L52" s="568" t="s">
        <v>897</v>
      </c>
    </row>
    <row r="53" spans="1:12">
      <c r="A53" s="359" t="s">
        <v>791</v>
      </c>
      <c r="B53" s="359" t="s">
        <v>1539</v>
      </c>
      <c r="C53" s="559" t="s">
        <v>1491</v>
      </c>
      <c r="D53" s="89">
        <v>43438</v>
      </c>
      <c r="F53" s="571">
        <f t="shared" si="0"/>
        <v>320</v>
      </c>
      <c r="G53" s="561">
        <v>1</v>
      </c>
      <c r="H53" s="572">
        <f t="shared" si="1"/>
        <v>1</v>
      </c>
      <c r="I53" s="40">
        <v>320</v>
      </c>
      <c r="J53" s="570">
        <f t="shared" si="6"/>
        <v>43438</v>
      </c>
      <c r="K53" s="559" t="s">
        <v>1520</v>
      </c>
      <c r="L53" s="568" t="s">
        <v>897</v>
      </c>
    </row>
    <row r="54" spans="1:12">
      <c r="A54" s="359" t="s">
        <v>791</v>
      </c>
      <c r="B54" s="359" t="s">
        <v>1082</v>
      </c>
      <c r="C54" s="559" t="s">
        <v>1490</v>
      </c>
      <c r="D54" s="89">
        <v>43438</v>
      </c>
      <c r="F54" s="571">
        <f t="shared" si="0"/>
        <v>328.3</v>
      </c>
      <c r="G54" s="561">
        <v>1</v>
      </c>
      <c r="H54" s="572">
        <f t="shared" si="1"/>
        <v>1</v>
      </c>
      <c r="I54" s="40">
        <v>328.3</v>
      </c>
      <c r="J54" s="570">
        <f t="shared" si="6"/>
        <v>43438</v>
      </c>
      <c r="K54" s="559" t="s">
        <v>1519</v>
      </c>
      <c r="L54" s="568" t="s">
        <v>897</v>
      </c>
    </row>
    <row r="55" spans="1:12">
      <c r="A55" s="359" t="s">
        <v>791</v>
      </c>
      <c r="B55" s="359" t="s">
        <v>1538</v>
      </c>
      <c r="C55" s="559" t="s">
        <v>1489</v>
      </c>
      <c r="D55" s="89">
        <v>43438</v>
      </c>
      <c r="F55" s="571">
        <f t="shared" si="0"/>
        <v>314.76</v>
      </c>
      <c r="G55" s="561">
        <v>1</v>
      </c>
      <c r="H55" s="572">
        <f t="shared" si="1"/>
        <v>1</v>
      </c>
      <c r="I55" s="40">
        <v>314.76</v>
      </c>
      <c r="J55" s="570">
        <f t="shared" si="6"/>
        <v>43438</v>
      </c>
      <c r="K55" s="559" t="s">
        <v>1518</v>
      </c>
      <c r="L55" s="568" t="s">
        <v>897</v>
      </c>
    </row>
    <row r="56" spans="1:12">
      <c r="A56" s="359" t="s">
        <v>791</v>
      </c>
      <c r="B56" s="359" t="s">
        <v>1537</v>
      </c>
      <c r="C56" s="559" t="s">
        <v>1487</v>
      </c>
      <c r="D56" s="89">
        <v>43438</v>
      </c>
      <c r="F56" s="571">
        <f t="shared" si="0"/>
        <v>4103.116</v>
      </c>
      <c r="G56" s="561">
        <v>1</v>
      </c>
      <c r="H56" s="572">
        <f t="shared" si="1"/>
        <v>1</v>
      </c>
      <c r="I56" s="40">
        <v>4103.116</v>
      </c>
      <c r="J56" s="570">
        <f t="shared" si="6"/>
        <v>43438</v>
      </c>
      <c r="K56" s="559" t="s">
        <v>1516</v>
      </c>
      <c r="L56" s="568" t="s">
        <v>897</v>
      </c>
    </row>
    <row r="57" spans="1:12">
      <c r="A57" s="359" t="s">
        <v>791</v>
      </c>
      <c r="B57" s="359" t="s">
        <v>822</v>
      </c>
      <c r="C57" s="559" t="s">
        <v>1486</v>
      </c>
      <c r="D57" s="89">
        <v>43438</v>
      </c>
      <c r="F57" s="571">
        <f t="shared" si="0"/>
        <v>3538.0839999999998</v>
      </c>
      <c r="G57" s="561">
        <v>1</v>
      </c>
      <c r="H57" s="572">
        <f t="shared" si="1"/>
        <v>1</v>
      </c>
      <c r="I57" s="40">
        <v>3538.0839999999998</v>
      </c>
      <c r="J57" s="570">
        <f t="shared" si="6"/>
        <v>43438</v>
      </c>
      <c r="K57" s="559" t="s">
        <v>1515</v>
      </c>
      <c r="L57" s="568" t="s">
        <v>897</v>
      </c>
    </row>
    <row r="58" spans="1:12">
      <c r="A58" s="359" t="s">
        <v>791</v>
      </c>
      <c r="B58" s="359" t="s">
        <v>1321</v>
      </c>
      <c r="C58" s="559" t="s">
        <v>1481</v>
      </c>
      <c r="D58" s="89">
        <v>43438</v>
      </c>
      <c r="F58" s="571">
        <f t="shared" si="0"/>
        <v>14266.075000000001</v>
      </c>
      <c r="G58" s="702">
        <v>1</v>
      </c>
      <c r="H58" s="572">
        <f t="shared" si="1"/>
        <v>1</v>
      </c>
      <c r="I58" s="40">
        <v>14266.075000000001</v>
      </c>
      <c r="J58" s="570">
        <f t="shared" si="6"/>
        <v>43438</v>
      </c>
      <c r="K58" s="559" t="s">
        <v>1510</v>
      </c>
      <c r="L58" s="568" t="s">
        <v>897</v>
      </c>
    </row>
    <row r="59" spans="1:12">
      <c r="A59" s="359" t="s">
        <v>791</v>
      </c>
      <c r="B59" s="359" t="s">
        <v>1535</v>
      </c>
      <c r="C59" s="559" t="s">
        <v>1480</v>
      </c>
      <c r="D59" s="89">
        <v>43438</v>
      </c>
      <c r="F59" s="571">
        <f t="shared" si="0"/>
        <v>3587.37</v>
      </c>
      <c r="G59" s="561">
        <v>1</v>
      </c>
      <c r="H59" s="572">
        <f t="shared" si="1"/>
        <v>1</v>
      </c>
      <c r="I59" s="40">
        <v>3587.37</v>
      </c>
      <c r="J59" s="570">
        <f t="shared" si="6"/>
        <v>43438</v>
      </c>
      <c r="K59" s="559" t="s">
        <v>1509</v>
      </c>
      <c r="L59" s="568" t="s">
        <v>897</v>
      </c>
    </row>
    <row r="60" spans="1:12">
      <c r="A60" s="359" t="s">
        <v>791</v>
      </c>
      <c r="B60" s="359" t="s">
        <v>829</v>
      </c>
      <c r="C60" s="559" t="s">
        <v>1479</v>
      </c>
      <c r="D60" s="89">
        <v>43438</v>
      </c>
      <c r="F60" s="571">
        <f t="shared" si="0"/>
        <v>9746.4060000000009</v>
      </c>
      <c r="G60" s="561">
        <v>1</v>
      </c>
      <c r="H60" s="572">
        <f t="shared" si="1"/>
        <v>1</v>
      </c>
      <c r="I60" s="40">
        <v>9746.4060000000009</v>
      </c>
      <c r="J60" s="570">
        <f t="shared" si="6"/>
        <v>43438</v>
      </c>
      <c r="K60" s="559" t="s">
        <v>1508</v>
      </c>
      <c r="L60" s="568" t="s">
        <v>897</v>
      </c>
    </row>
    <row r="61" spans="1:12">
      <c r="A61" s="359" t="s">
        <v>791</v>
      </c>
      <c r="B61" s="359" t="s">
        <v>1534</v>
      </c>
      <c r="C61" s="559" t="s">
        <v>1478</v>
      </c>
      <c r="D61" s="89">
        <v>43438</v>
      </c>
      <c r="F61" s="571">
        <f t="shared" si="0"/>
        <v>0</v>
      </c>
      <c r="G61" s="561">
        <v>1</v>
      </c>
      <c r="H61" s="572">
        <f t="shared" si="1"/>
        <v>1</v>
      </c>
      <c r="I61" s="40">
        <v>0</v>
      </c>
      <c r="J61" s="570">
        <f t="shared" si="6"/>
        <v>43438</v>
      </c>
      <c r="K61" s="559" t="s">
        <v>1507</v>
      </c>
      <c r="L61" s="568" t="s">
        <v>897</v>
      </c>
    </row>
    <row r="62" spans="1:12">
      <c r="A62" s="717" t="s">
        <v>791</v>
      </c>
      <c r="B62" s="717" t="s">
        <v>1533</v>
      </c>
      <c r="C62" s="718" t="s">
        <v>1477</v>
      </c>
      <c r="D62" s="719">
        <v>43438</v>
      </c>
      <c r="E62" s="577"/>
      <c r="F62" s="578">
        <f t="shared" si="0"/>
        <v>0</v>
      </c>
      <c r="G62" s="561">
        <v>1</v>
      </c>
      <c r="H62" s="572">
        <f t="shared" si="1"/>
        <v>1</v>
      </c>
      <c r="I62" s="720">
        <v>0</v>
      </c>
      <c r="J62" s="577">
        <f t="shared" si="6"/>
        <v>43438</v>
      </c>
      <c r="K62" s="718" t="s">
        <v>1506</v>
      </c>
      <c r="L62" s="663" t="s">
        <v>897</v>
      </c>
    </row>
    <row r="63" spans="1:12">
      <c r="A63" s="717" t="s">
        <v>791</v>
      </c>
      <c r="B63" s="717" t="s">
        <v>840</v>
      </c>
      <c r="C63" s="718" t="s">
        <v>863</v>
      </c>
      <c r="D63" s="719">
        <v>43438</v>
      </c>
      <c r="E63" s="577"/>
      <c r="F63" s="578">
        <f t="shared" si="0"/>
        <v>11144.696</v>
      </c>
      <c r="G63" s="561">
        <v>1</v>
      </c>
      <c r="H63" s="572">
        <f t="shared" si="1"/>
        <v>1</v>
      </c>
      <c r="I63" s="720">
        <v>11144.696</v>
      </c>
      <c r="J63" s="577">
        <f t="shared" si="6"/>
        <v>43438</v>
      </c>
      <c r="K63" s="718" t="s">
        <v>1505</v>
      </c>
      <c r="L63" s="663" t="s">
        <v>897</v>
      </c>
    </row>
    <row r="64" spans="1:12">
      <c r="A64" s="359" t="s">
        <v>818</v>
      </c>
      <c r="B64" s="359" t="s">
        <v>1084</v>
      </c>
      <c r="C64" s="559" t="s">
        <v>1302</v>
      </c>
      <c r="D64" s="89">
        <v>43416</v>
      </c>
      <c r="F64" s="571">
        <f t="shared" si="0"/>
        <v>2062.248</v>
      </c>
      <c r="G64" s="561">
        <v>1</v>
      </c>
      <c r="H64" s="572">
        <f t="shared" si="1"/>
        <v>1</v>
      </c>
      <c r="I64" s="40">
        <v>2062.248</v>
      </c>
      <c r="J64" s="570">
        <v>43454</v>
      </c>
      <c r="K64" s="559" t="s">
        <v>1312</v>
      </c>
      <c r="L64" s="568" t="s">
        <v>897</v>
      </c>
    </row>
    <row r="65" spans="1:12">
      <c r="A65" s="359" t="s">
        <v>818</v>
      </c>
      <c r="B65" s="359" t="s">
        <v>1081</v>
      </c>
      <c r="C65" s="559" t="s">
        <v>1483</v>
      </c>
      <c r="D65" s="89">
        <v>43438</v>
      </c>
      <c r="F65" s="571">
        <f t="shared" si="0"/>
        <v>1744.1869999999999</v>
      </c>
      <c r="G65" s="675">
        <v>1</v>
      </c>
      <c r="H65" s="572">
        <f t="shared" si="1"/>
        <v>1</v>
      </c>
      <c r="I65" s="40">
        <v>1744.1869999999999</v>
      </c>
      <c r="J65" s="570">
        <v>43480</v>
      </c>
      <c r="K65" s="559" t="s">
        <v>1512</v>
      </c>
      <c r="L65" s="568" t="s">
        <v>897</v>
      </c>
    </row>
    <row r="66" spans="1:12">
      <c r="A66" s="359" t="s">
        <v>818</v>
      </c>
      <c r="B66" s="359" t="s">
        <v>839</v>
      </c>
      <c r="C66" s="559" t="s">
        <v>1256</v>
      </c>
      <c r="D66" s="89">
        <v>43409</v>
      </c>
      <c r="F66" s="571">
        <f t="shared" ref="F66:F129" si="7">SUM(I66*G66)</f>
        <v>1653.89</v>
      </c>
      <c r="G66" s="675">
        <v>1</v>
      </c>
      <c r="H66" s="572">
        <f t="shared" ref="H66:H129" si="8">IF(E66="",1,0)</f>
        <v>1</v>
      </c>
      <c r="I66" s="40">
        <v>1653.89</v>
      </c>
      <c r="J66" s="570">
        <v>43480</v>
      </c>
      <c r="K66" s="559" t="s">
        <v>1267</v>
      </c>
      <c r="L66" s="575" t="s">
        <v>897</v>
      </c>
    </row>
    <row r="67" spans="1:12">
      <c r="A67" s="359" t="s">
        <v>791</v>
      </c>
      <c r="B67" s="359" t="s">
        <v>898</v>
      </c>
      <c r="C67" s="559" t="s">
        <v>1476</v>
      </c>
      <c r="D67" s="89">
        <v>43439</v>
      </c>
      <c r="E67" s="570">
        <v>43439</v>
      </c>
      <c r="F67" s="571">
        <f t="shared" si="7"/>
        <v>71838.240000000005</v>
      </c>
      <c r="G67" s="675">
        <v>1</v>
      </c>
      <c r="H67" s="572">
        <f t="shared" si="8"/>
        <v>0</v>
      </c>
      <c r="I67" s="40">
        <v>71838.240000000005</v>
      </c>
      <c r="J67" s="570">
        <v>43483</v>
      </c>
      <c r="K67" s="559" t="s">
        <v>1504</v>
      </c>
    </row>
    <row r="68" spans="1:12">
      <c r="A68" s="359" t="s">
        <v>818</v>
      </c>
      <c r="B68" s="568" t="s">
        <v>830</v>
      </c>
      <c r="C68" s="559" t="s">
        <v>1029</v>
      </c>
      <c r="D68" s="89">
        <v>43374</v>
      </c>
      <c r="F68" s="571">
        <f t="shared" si="7"/>
        <v>3507.1010000000001</v>
      </c>
      <c r="G68" s="675">
        <v>1</v>
      </c>
      <c r="H68" s="572">
        <f t="shared" si="8"/>
        <v>1</v>
      </c>
      <c r="I68" s="40">
        <v>3507.1010000000001</v>
      </c>
      <c r="J68" s="570">
        <v>43490</v>
      </c>
      <c r="K68" s="559" t="s">
        <v>1033</v>
      </c>
      <c r="L68" s="575" t="s">
        <v>897</v>
      </c>
    </row>
    <row r="69" spans="1:12">
      <c r="A69" s="359" t="s">
        <v>818</v>
      </c>
      <c r="B69" s="359" t="s">
        <v>839</v>
      </c>
      <c r="C69" s="559" t="s">
        <v>1392</v>
      </c>
      <c r="D69" s="89">
        <v>43421</v>
      </c>
      <c r="F69" s="571">
        <f t="shared" si="7"/>
        <v>1491.3330000000001</v>
      </c>
      <c r="G69" s="675">
        <v>1</v>
      </c>
      <c r="H69" s="572">
        <f t="shared" si="8"/>
        <v>1</v>
      </c>
      <c r="I69" s="40">
        <v>1491.3330000000001</v>
      </c>
      <c r="J69" s="570">
        <v>43506</v>
      </c>
      <c r="K69" s="559" t="s">
        <v>1396</v>
      </c>
      <c r="L69" s="576" t="s">
        <v>897</v>
      </c>
    </row>
    <row r="70" spans="1:12">
      <c r="A70" s="359" t="s">
        <v>818</v>
      </c>
      <c r="B70" s="359" t="s">
        <v>819</v>
      </c>
      <c r="C70" s="559" t="s">
        <v>1488</v>
      </c>
      <c r="D70" s="89">
        <v>43438</v>
      </c>
      <c r="F70" s="571">
        <f t="shared" si="7"/>
        <v>274.05399999999997</v>
      </c>
      <c r="G70" s="675">
        <v>1</v>
      </c>
      <c r="H70" s="572">
        <f t="shared" si="8"/>
        <v>1</v>
      </c>
      <c r="I70" s="40">
        <v>274.05399999999997</v>
      </c>
      <c r="J70" s="570">
        <v>43511</v>
      </c>
      <c r="K70" s="559" t="s">
        <v>1517</v>
      </c>
      <c r="L70" s="568" t="s">
        <v>897</v>
      </c>
    </row>
    <row r="71" spans="1:12">
      <c r="A71" s="359" t="s">
        <v>818</v>
      </c>
      <c r="B71" s="359" t="s">
        <v>850</v>
      </c>
      <c r="C71" s="559" t="s">
        <v>1485</v>
      </c>
      <c r="D71" s="89">
        <v>43438</v>
      </c>
      <c r="F71" s="571">
        <f t="shared" si="7"/>
        <v>5854.3789999999999</v>
      </c>
      <c r="G71" s="675">
        <v>1</v>
      </c>
      <c r="H71" s="572">
        <f t="shared" si="8"/>
        <v>1</v>
      </c>
      <c r="I71" s="40">
        <v>5854.3789999999999</v>
      </c>
      <c r="J71" s="570">
        <v>43511</v>
      </c>
      <c r="K71" s="559" t="s">
        <v>1514</v>
      </c>
      <c r="L71" s="568" t="s">
        <v>897</v>
      </c>
    </row>
    <row r="72" spans="1:12">
      <c r="A72" s="359" t="s">
        <v>818</v>
      </c>
      <c r="B72" s="359" t="s">
        <v>830</v>
      </c>
      <c r="C72" s="559" t="s">
        <v>1308</v>
      </c>
      <c r="D72" s="89">
        <v>43416</v>
      </c>
      <c r="F72" s="571">
        <f t="shared" si="7"/>
        <v>3312.2939999999999</v>
      </c>
      <c r="G72" s="675">
        <v>1</v>
      </c>
      <c r="H72" s="572">
        <f t="shared" si="8"/>
        <v>1</v>
      </c>
      <c r="I72" s="40">
        <v>3312.2939999999999</v>
      </c>
      <c r="J72" s="570">
        <v>43511</v>
      </c>
      <c r="K72" s="559" t="s">
        <v>1318</v>
      </c>
      <c r="L72" s="568" t="s">
        <v>897</v>
      </c>
    </row>
    <row r="73" spans="1:12">
      <c r="A73" s="359" t="s">
        <v>818</v>
      </c>
      <c r="B73" s="359" t="s">
        <v>838</v>
      </c>
      <c r="C73" s="559" t="s">
        <v>1305</v>
      </c>
      <c r="D73" s="89">
        <v>43416</v>
      </c>
      <c r="F73" s="571">
        <f t="shared" si="7"/>
        <v>1202.2909999999999</v>
      </c>
      <c r="G73" s="675">
        <v>1</v>
      </c>
      <c r="H73" s="572">
        <f t="shared" si="8"/>
        <v>1</v>
      </c>
      <c r="I73" s="40">
        <v>1202.2909999999999</v>
      </c>
      <c r="J73" s="570">
        <v>43511</v>
      </c>
      <c r="K73" s="559" t="s">
        <v>1315</v>
      </c>
      <c r="L73" s="568" t="s">
        <v>897</v>
      </c>
    </row>
    <row r="74" spans="1:12">
      <c r="A74" s="359" t="s">
        <v>818</v>
      </c>
      <c r="B74" s="359" t="s">
        <v>837</v>
      </c>
      <c r="C74" s="559" t="s">
        <v>1404</v>
      </c>
      <c r="D74" s="89">
        <v>43430</v>
      </c>
      <c r="F74" s="571">
        <f t="shared" si="7"/>
        <v>343.33</v>
      </c>
      <c r="G74" s="675">
        <v>1</v>
      </c>
      <c r="H74" s="572">
        <f t="shared" si="8"/>
        <v>1</v>
      </c>
      <c r="I74" s="40">
        <v>343.33</v>
      </c>
      <c r="J74" s="570">
        <v>43511</v>
      </c>
      <c r="K74" s="559" t="s">
        <v>1415</v>
      </c>
      <c r="L74" s="568" t="s">
        <v>897</v>
      </c>
    </row>
    <row r="75" spans="1:12">
      <c r="A75" s="359" t="s">
        <v>818</v>
      </c>
      <c r="B75" s="359" t="s">
        <v>839</v>
      </c>
      <c r="C75" s="559" t="s">
        <v>1494</v>
      </c>
      <c r="D75" s="89">
        <v>43438</v>
      </c>
      <c r="F75" s="571">
        <f t="shared" si="7"/>
        <v>824.84199999999998</v>
      </c>
      <c r="G75" s="675">
        <v>1</v>
      </c>
      <c r="H75" s="572">
        <f t="shared" si="8"/>
        <v>1</v>
      </c>
      <c r="I75" s="40">
        <v>824.84199999999998</v>
      </c>
      <c r="J75" s="570">
        <v>43521</v>
      </c>
      <c r="K75" s="559" t="s">
        <v>1523</v>
      </c>
      <c r="L75" s="568" t="s">
        <v>897</v>
      </c>
    </row>
    <row r="76" spans="1:12">
      <c r="A76" s="359" t="s">
        <v>818</v>
      </c>
      <c r="B76" s="359" t="s">
        <v>852</v>
      </c>
      <c r="C76" s="559" t="s">
        <v>1484</v>
      </c>
      <c r="D76" s="89">
        <v>43438</v>
      </c>
      <c r="F76" s="571">
        <f t="shared" si="7"/>
        <v>13098.234</v>
      </c>
      <c r="G76" s="675">
        <v>1</v>
      </c>
      <c r="H76" s="572">
        <f t="shared" si="8"/>
        <v>1</v>
      </c>
      <c r="I76" s="40">
        <v>13098.234</v>
      </c>
      <c r="J76" s="570">
        <v>43539</v>
      </c>
      <c r="K76" s="559" t="s">
        <v>1513</v>
      </c>
      <c r="L76" s="568" t="s">
        <v>897</v>
      </c>
    </row>
    <row r="77" spans="1:12">
      <c r="A77" s="359" t="s">
        <v>818</v>
      </c>
      <c r="B77" s="359" t="s">
        <v>1536</v>
      </c>
      <c r="C77" s="559" t="s">
        <v>1482</v>
      </c>
      <c r="D77" s="89">
        <v>43438</v>
      </c>
      <c r="F77" s="571">
        <f t="shared" si="7"/>
        <v>2727.8760000000002</v>
      </c>
      <c r="G77" s="675">
        <v>1</v>
      </c>
      <c r="H77" s="572">
        <f t="shared" si="8"/>
        <v>1</v>
      </c>
      <c r="I77" s="40">
        <v>2727.8760000000002</v>
      </c>
      <c r="J77" s="570">
        <v>43539</v>
      </c>
      <c r="K77" s="559" t="s">
        <v>1511</v>
      </c>
      <c r="L77" s="568" t="s">
        <v>897</v>
      </c>
    </row>
    <row r="78" spans="1:12">
      <c r="A78" s="359" t="s">
        <v>818</v>
      </c>
      <c r="B78" s="359" t="s">
        <v>833</v>
      </c>
      <c r="C78" s="559" t="s">
        <v>1405</v>
      </c>
      <c r="D78" s="89">
        <v>43430</v>
      </c>
      <c r="F78" s="571">
        <f t="shared" si="7"/>
        <v>408.46800000000002</v>
      </c>
      <c r="G78" s="675">
        <v>1</v>
      </c>
      <c r="H78" s="572">
        <f t="shared" si="8"/>
        <v>1</v>
      </c>
      <c r="I78" s="40">
        <v>408.46800000000002</v>
      </c>
      <c r="J78" s="570">
        <v>43539</v>
      </c>
      <c r="K78" s="559" t="s">
        <v>1416</v>
      </c>
      <c r="L78" s="568" t="s">
        <v>897</v>
      </c>
    </row>
    <row r="79" spans="1:12">
      <c r="A79" s="568" t="s">
        <v>791</v>
      </c>
      <c r="B79" s="568" t="s">
        <v>844</v>
      </c>
      <c r="C79" s="559" t="s">
        <v>952</v>
      </c>
      <c r="D79" s="570">
        <v>43287</v>
      </c>
      <c r="E79" s="570">
        <v>43410</v>
      </c>
      <c r="F79" s="571">
        <f t="shared" si="7"/>
        <v>44.767000000000003</v>
      </c>
      <c r="G79" s="675">
        <v>1</v>
      </c>
      <c r="H79" s="572">
        <f t="shared" si="8"/>
        <v>0</v>
      </c>
      <c r="I79" s="573">
        <v>44.767000000000003</v>
      </c>
      <c r="J79" s="570">
        <f>+D79</f>
        <v>43287</v>
      </c>
      <c r="K79" s="559" t="s">
        <v>953</v>
      </c>
      <c r="L79" s="575"/>
    </row>
    <row r="80" spans="1:12">
      <c r="A80" s="359" t="s">
        <v>791</v>
      </c>
      <c r="B80" s="359" t="s">
        <v>844</v>
      </c>
      <c r="C80" s="559" t="s">
        <v>845</v>
      </c>
      <c r="D80" s="89">
        <v>43320</v>
      </c>
      <c r="E80" s="570">
        <v>43322</v>
      </c>
      <c r="F80" s="571">
        <f t="shared" si="7"/>
        <v>46.744</v>
      </c>
      <c r="G80" s="675">
        <v>1</v>
      </c>
      <c r="H80" s="572">
        <f t="shared" si="8"/>
        <v>0</v>
      </c>
      <c r="I80" s="40">
        <v>46.744</v>
      </c>
      <c r="J80" s="570">
        <f>D80</f>
        <v>43320</v>
      </c>
      <c r="K80" s="559" t="s">
        <v>846</v>
      </c>
      <c r="L80" s="574"/>
    </row>
    <row r="81" spans="1:16">
      <c r="A81" s="359" t="s">
        <v>791</v>
      </c>
      <c r="B81" s="359" t="s">
        <v>844</v>
      </c>
      <c r="C81" s="559" t="s">
        <v>847</v>
      </c>
      <c r="D81" s="89">
        <v>43320</v>
      </c>
      <c r="E81" s="570">
        <v>43322</v>
      </c>
      <c r="F81" s="571">
        <f t="shared" si="7"/>
        <v>48.457999999999998</v>
      </c>
      <c r="G81" s="675">
        <v>1</v>
      </c>
      <c r="H81" s="572">
        <f t="shared" si="8"/>
        <v>0</v>
      </c>
      <c r="I81" s="40">
        <v>48.457999999999998</v>
      </c>
      <c r="J81" s="570">
        <f>D81</f>
        <v>43320</v>
      </c>
      <c r="K81" s="559" t="s">
        <v>848</v>
      </c>
      <c r="L81" s="575"/>
    </row>
    <row r="82" spans="1:16">
      <c r="A82" s="663" t="s">
        <v>841</v>
      </c>
      <c r="B82" s="663" t="s">
        <v>840</v>
      </c>
      <c r="C82" s="662" t="s">
        <v>842</v>
      </c>
      <c r="D82" s="577">
        <v>43193</v>
      </c>
      <c r="E82" s="577">
        <v>43200</v>
      </c>
      <c r="F82" s="578">
        <f t="shared" si="7"/>
        <v>64243.669000000002</v>
      </c>
      <c r="G82" s="675">
        <v>1</v>
      </c>
      <c r="H82" s="572">
        <f t="shared" si="8"/>
        <v>0</v>
      </c>
      <c r="I82" s="660">
        <v>64243.669000000002</v>
      </c>
      <c r="J82" s="661">
        <v>43326</v>
      </c>
      <c r="K82" s="662" t="s">
        <v>843</v>
      </c>
      <c r="L82" s="576"/>
      <c r="P82" s="576"/>
    </row>
    <row r="83" spans="1:16">
      <c r="A83" s="359" t="s">
        <v>791</v>
      </c>
      <c r="B83" s="359" t="s">
        <v>844</v>
      </c>
      <c r="C83" s="559" t="s">
        <v>944</v>
      </c>
      <c r="D83" s="89">
        <v>43361</v>
      </c>
      <c r="E83" s="570">
        <v>43410</v>
      </c>
      <c r="F83" s="571">
        <f t="shared" si="7"/>
        <v>46.759</v>
      </c>
      <c r="G83" s="675">
        <v>1</v>
      </c>
      <c r="H83" s="572">
        <f t="shared" si="8"/>
        <v>0</v>
      </c>
      <c r="I83" s="40">
        <v>46.759</v>
      </c>
      <c r="J83" s="570">
        <f t="shared" ref="J83:J89" si="9">+D83</f>
        <v>43361</v>
      </c>
      <c r="K83" s="559" t="s">
        <v>946</v>
      </c>
      <c r="L83" s="574"/>
    </row>
    <row r="84" spans="1:16">
      <c r="A84" s="359" t="s">
        <v>791</v>
      </c>
      <c r="B84" s="359" t="s">
        <v>1066</v>
      </c>
      <c r="C84" s="559" t="s">
        <v>1044</v>
      </c>
      <c r="D84" s="89">
        <v>43377</v>
      </c>
      <c r="E84" s="570">
        <v>43382</v>
      </c>
      <c r="F84" s="571">
        <f t="shared" si="7"/>
        <v>141.41999999999999</v>
      </c>
      <c r="G84" s="675">
        <v>1</v>
      </c>
      <c r="H84" s="572">
        <f t="shared" si="8"/>
        <v>0</v>
      </c>
      <c r="I84" s="40">
        <v>141.41999999999999</v>
      </c>
      <c r="J84" s="570">
        <f t="shared" si="9"/>
        <v>43377</v>
      </c>
      <c r="K84" s="559" t="s">
        <v>1046</v>
      </c>
      <c r="L84" s="574"/>
    </row>
    <row r="85" spans="1:16">
      <c r="A85" s="359" t="s">
        <v>791</v>
      </c>
      <c r="B85" s="359" t="s">
        <v>1066</v>
      </c>
      <c r="C85" s="559" t="s">
        <v>1072</v>
      </c>
      <c r="D85" s="89">
        <v>43385</v>
      </c>
      <c r="E85" s="570">
        <v>43439</v>
      </c>
      <c r="F85" s="571">
        <f t="shared" si="7"/>
        <v>329.98</v>
      </c>
      <c r="G85" s="675">
        <v>1</v>
      </c>
      <c r="H85" s="572">
        <f t="shared" si="8"/>
        <v>0</v>
      </c>
      <c r="I85" s="40">
        <v>329.98</v>
      </c>
      <c r="J85" s="570">
        <f t="shared" si="9"/>
        <v>43385</v>
      </c>
      <c r="K85" s="559" t="s">
        <v>1078</v>
      </c>
      <c r="L85" s="574"/>
    </row>
    <row r="86" spans="1:16">
      <c r="A86" s="359" t="s">
        <v>791</v>
      </c>
      <c r="B86" s="359" t="s">
        <v>1171</v>
      </c>
      <c r="C86" s="559" t="s">
        <v>1163</v>
      </c>
      <c r="D86" s="89">
        <v>43396</v>
      </c>
      <c r="E86" s="570">
        <v>43397</v>
      </c>
      <c r="F86" s="571">
        <f t="shared" si="7"/>
        <v>225.60599999999999</v>
      </c>
      <c r="G86" s="675">
        <v>1</v>
      </c>
      <c r="H86" s="572">
        <f t="shared" si="8"/>
        <v>0</v>
      </c>
      <c r="I86" s="40">
        <v>225.60599999999999</v>
      </c>
      <c r="J86" s="570">
        <f t="shared" si="9"/>
        <v>43396</v>
      </c>
      <c r="K86" s="559" t="s">
        <v>1168</v>
      </c>
    </row>
    <row r="87" spans="1:16">
      <c r="A87" s="359" t="s">
        <v>791</v>
      </c>
      <c r="B87" s="359" t="s">
        <v>844</v>
      </c>
      <c r="C87" s="559" t="s">
        <v>1266</v>
      </c>
      <c r="D87" s="89">
        <v>43404</v>
      </c>
      <c r="E87" s="570">
        <v>43410</v>
      </c>
      <c r="F87" s="571">
        <f t="shared" si="7"/>
        <v>252.934</v>
      </c>
      <c r="G87" s="675">
        <v>1</v>
      </c>
      <c r="H87" s="572">
        <f t="shared" si="8"/>
        <v>0</v>
      </c>
      <c r="I87" s="40">
        <v>252.934</v>
      </c>
      <c r="J87" s="570">
        <f t="shared" si="9"/>
        <v>43404</v>
      </c>
      <c r="K87" s="559" t="s">
        <v>1277</v>
      </c>
    </row>
    <row r="88" spans="1:16">
      <c r="A88" s="359" t="s">
        <v>791</v>
      </c>
      <c r="B88" s="359" t="s">
        <v>844</v>
      </c>
      <c r="C88" s="559" t="s">
        <v>1265</v>
      </c>
      <c r="D88" s="89">
        <v>43404</v>
      </c>
      <c r="E88" s="570">
        <v>43410</v>
      </c>
      <c r="F88" s="571">
        <f t="shared" si="7"/>
        <v>45.415999999999997</v>
      </c>
      <c r="G88" s="675">
        <v>1</v>
      </c>
      <c r="H88" s="572">
        <f t="shared" si="8"/>
        <v>0</v>
      </c>
      <c r="I88" s="40">
        <v>45.415999999999997</v>
      </c>
      <c r="J88" s="570">
        <f t="shared" si="9"/>
        <v>43404</v>
      </c>
      <c r="K88" s="559" t="s">
        <v>1276</v>
      </c>
    </row>
    <row r="89" spans="1:16">
      <c r="A89" s="359" t="s">
        <v>791</v>
      </c>
      <c r="B89" s="359" t="s">
        <v>1322</v>
      </c>
      <c r="C89" s="559" t="s">
        <v>1309</v>
      </c>
      <c r="D89" s="89">
        <v>43416</v>
      </c>
      <c r="E89" s="570">
        <v>43417</v>
      </c>
      <c r="F89" s="571">
        <f t="shared" si="7"/>
        <v>714</v>
      </c>
      <c r="G89" s="675">
        <v>1</v>
      </c>
      <c r="H89" s="572">
        <f t="shared" si="8"/>
        <v>0</v>
      </c>
      <c r="I89" s="40">
        <v>714</v>
      </c>
      <c r="J89" s="570">
        <f t="shared" si="9"/>
        <v>43416</v>
      </c>
      <c r="K89" s="559" t="s">
        <v>1319</v>
      </c>
    </row>
    <row r="90" spans="1:16">
      <c r="A90" s="359" t="s">
        <v>791</v>
      </c>
      <c r="B90" s="359" t="s">
        <v>1322</v>
      </c>
      <c r="C90" s="559" t="s">
        <v>1412</v>
      </c>
      <c r="D90" s="89">
        <v>43426</v>
      </c>
      <c r="E90" s="570">
        <v>43439</v>
      </c>
      <c r="F90" s="571">
        <f t="shared" si="7"/>
        <v>1547.6</v>
      </c>
      <c r="G90" s="675">
        <v>1</v>
      </c>
      <c r="H90" s="572">
        <f t="shared" si="8"/>
        <v>0</v>
      </c>
      <c r="I90" s="40">
        <v>1547.6</v>
      </c>
      <c r="J90" s="570">
        <f>D90</f>
        <v>43426</v>
      </c>
      <c r="K90" s="559" t="s">
        <v>1423</v>
      </c>
      <c r="L90" s="576"/>
    </row>
    <row r="91" spans="1:16">
      <c r="A91" s="359" t="s">
        <v>791</v>
      </c>
      <c r="B91" s="359" t="s">
        <v>1323</v>
      </c>
      <c r="C91" s="559" t="s">
        <v>1500</v>
      </c>
      <c r="D91" s="89">
        <v>43433</v>
      </c>
      <c r="E91" s="570">
        <v>43433</v>
      </c>
      <c r="F91" s="571">
        <f t="shared" si="7"/>
        <v>47140.324999999997</v>
      </c>
      <c r="G91" s="675">
        <v>1</v>
      </c>
      <c r="H91" s="572">
        <f t="shared" si="8"/>
        <v>0</v>
      </c>
      <c r="I91" s="40">
        <v>47140.324999999997</v>
      </c>
      <c r="J91" s="570">
        <f>+D91</f>
        <v>43433</v>
      </c>
      <c r="K91" s="559" t="s">
        <v>1529</v>
      </c>
    </row>
    <row r="92" spans="1:16">
      <c r="A92" s="359" t="s">
        <v>791</v>
      </c>
      <c r="B92" s="359" t="s">
        <v>1323</v>
      </c>
      <c r="C92" s="559" t="s">
        <v>1499</v>
      </c>
      <c r="D92" s="89">
        <v>43433</v>
      </c>
      <c r="E92" s="570">
        <v>43433</v>
      </c>
      <c r="F92" s="571">
        <f t="shared" si="7"/>
        <v>73248.433999999994</v>
      </c>
      <c r="G92" s="675">
        <v>1</v>
      </c>
      <c r="H92" s="572">
        <f t="shared" si="8"/>
        <v>0</v>
      </c>
      <c r="I92" s="40">
        <v>73248.433999999994</v>
      </c>
      <c r="J92" s="570">
        <f>+D92</f>
        <v>43433</v>
      </c>
      <c r="K92" s="559" t="s">
        <v>1528</v>
      </c>
    </row>
    <row r="93" spans="1:16">
      <c r="A93" s="359" t="s">
        <v>791</v>
      </c>
      <c r="B93" s="359" t="s">
        <v>1592</v>
      </c>
      <c r="C93" s="559" t="s">
        <v>1582</v>
      </c>
      <c r="D93" s="89">
        <v>43439</v>
      </c>
      <c r="E93" s="570">
        <v>43439</v>
      </c>
      <c r="F93" s="571">
        <f t="shared" si="7"/>
        <v>98500</v>
      </c>
      <c r="G93" s="675">
        <v>1</v>
      </c>
      <c r="H93" s="572">
        <f t="shared" si="8"/>
        <v>0</v>
      </c>
      <c r="I93" s="40">
        <v>98500</v>
      </c>
      <c r="J93" s="570">
        <f>+D93</f>
        <v>43439</v>
      </c>
      <c r="K93" s="559" t="s">
        <v>1590</v>
      </c>
    </row>
    <row r="94" spans="1:16">
      <c r="A94" s="359" t="s">
        <v>791</v>
      </c>
      <c r="B94" s="359" t="s">
        <v>1591</v>
      </c>
      <c r="C94" s="559" t="s">
        <v>1575</v>
      </c>
      <c r="D94" s="89">
        <v>43439</v>
      </c>
      <c r="E94" s="570">
        <v>43439</v>
      </c>
      <c r="F94" s="571">
        <f t="shared" si="7"/>
        <v>73327.070000000007</v>
      </c>
      <c r="G94" s="675">
        <v>1</v>
      </c>
      <c r="H94" s="572">
        <f t="shared" si="8"/>
        <v>0</v>
      </c>
      <c r="I94" s="40">
        <v>73327.070000000007</v>
      </c>
      <c r="J94" s="570">
        <f>+D94</f>
        <v>43439</v>
      </c>
      <c r="K94" s="559" t="s">
        <v>1583</v>
      </c>
    </row>
    <row r="95" spans="1:16">
      <c r="A95" s="359" t="s">
        <v>818</v>
      </c>
      <c r="B95" s="359" t="s">
        <v>1591</v>
      </c>
      <c r="C95" s="559" t="s">
        <v>1581</v>
      </c>
      <c r="D95" s="89">
        <v>43439</v>
      </c>
      <c r="E95" s="570">
        <v>43439</v>
      </c>
      <c r="F95" s="571">
        <f t="shared" si="7"/>
        <v>73816.509000000005</v>
      </c>
      <c r="G95" s="675">
        <v>1</v>
      </c>
      <c r="H95" s="572">
        <f t="shared" si="8"/>
        <v>0</v>
      </c>
      <c r="I95" s="40">
        <v>73816.509000000005</v>
      </c>
      <c r="J95" s="570">
        <v>43440</v>
      </c>
      <c r="K95" s="559" t="s">
        <v>1589</v>
      </c>
    </row>
    <row r="96" spans="1:16">
      <c r="A96" s="359" t="s">
        <v>818</v>
      </c>
      <c r="B96" s="359" t="s">
        <v>1591</v>
      </c>
      <c r="C96" s="559" t="s">
        <v>1580</v>
      </c>
      <c r="D96" s="89">
        <v>43439</v>
      </c>
      <c r="E96" s="570">
        <v>43439</v>
      </c>
      <c r="F96" s="571">
        <f t="shared" si="7"/>
        <v>75362.804000000004</v>
      </c>
      <c r="G96" s="675">
        <v>1</v>
      </c>
      <c r="H96" s="572">
        <f t="shared" si="8"/>
        <v>0</v>
      </c>
      <c r="I96" s="40">
        <v>75362.804000000004</v>
      </c>
      <c r="J96" s="570">
        <v>43441</v>
      </c>
      <c r="K96" s="559" t="s">
        <v>1588</v>
      </c>
    </row>
    <row r="97" spans="1:12">
      <c r="A97" s="359" t="s">
        <v>818</v>
      </c>
      <c r="B97" s="359" t="s">
        <v>850</v>
      </c>
      <c r="C97" s="559" t="s">
        <v>1060</v>
      </c>
      <c r="D97" s="89">
        <v>43379</v>
      </c>
      <c r="E97" s="570">
        <v>43385</v>
      </c>
      <c r="F97" s="571">
        <f t="shared" si="7"/>
        <v>6664.8270000000002</v>
      </c>
      <c r="G97" s="675">
        <v>1</v>
      </c>
      <c r="H97" s="572">
        <f t="shared" si="8"/>
        <v>0</v>
      </c>
      <c r="I97" s="40">
        <v>6664.8270000000002</v>
      </c>
      <c r="J97" s="570">
        <v>43444</v>
      </c>
      <c r="K97" s="559" t="s">
        <v>1064</v>
      </c>
      <c r="L97" s="576"/>
    </row>
    <row r="98" spans="1:12">
      <c r="A98" s="359" t="s">
        <v>818</v>
      </c>
      <c r="B98" s="359" t="s">
        <v>819</v>
      </c>
      <c r="C98" s="559" t="s">
        <v>1032</v>
      </c>
      <c r="D98" s="89">
        <v>43374</v>
      </c>
      <c r="E98" s="570">
        <v>43383</v>
      </c>
      <c r="F98" s="571">
        <f t="shared" si="7"/>
        <v>425.93</v>
      </c>
      <c r="G98" s="675">
        <v>1</v>
      </c>
      <c r="H98" s="572">
        <f t="shared" si="8"/>
        <v>0</v>
      </c>
      <c r="I98" s="40">
        <v>425.93</v>
      </c>
      <c r="J98" s="570">
        <v>43444</v>
      </c>
      <c r="K98" s="559" t="s">
        <v>1036</v>
      </c>
      <c r="L98" s="575"/>
    </row>
    <row r="99" spans="1:12">
      <c r="A99" s="359" t="s">
        <v>818</v>
      </c>
      <c r="B99" s="359" t="s">
        <v>1591</v>
      </c>
      <c r="C99" s="559" t="s">
        <v>1579</v>
      </c>
      <c r="D99" s="89">
        <v>43439</v>
      </c>
      <c r="E99" s="570">
        <v>43439</v>
      </c>
      <c r="F99" s="571">
        <f t="shared" si="7"/>
        <v>75641.778999999995</v>
      </c>
      <c r="G99" s="675">
        <v>1</v>
      </c>
      <c r="H99" s="572">
        <f t="shared" si="8"/>
        <v>0</v>
      </c>
      <c r="I99" s="40">
        <v>75641.778999999995</v>
      </c>
      <c r="J99" s="570">
        <v>43444</v>
      </c>
      <c r="K99" s="559" t="s">
        <v>1587</v>
      </c>
    </row>
    <row r="100" spans="1:12">
      <c r="A100" s="359" t="s">
        <v>818</v>
      </c>
      <c r="B100" s="359" t="s">
        <v>1591</v>
      </c>
      <c r="C100" s="559" t="s">
        <v>1578</v>
      </c>
      <c r="D100" s="89">
        <v>43439</v>
      </c>
      <c r="E100" s="570">
        <v>43439</v>
      </c>
      <c r="F100" s="571">
        <f t="shared" si="7"/>
        <v>38794.512999999999</v>
      </c>
      <c r="G100" s="675">
        <v>1</v>
      </c>
      <c r="H100" s="572">
        <f t="shared" si="8"/>
        <v>0</v>
      </c>
      <c r="I100" s="40">
        <v>38794.512999999999</v>
      </c>
      <c r="J100" s="570">
        <v>43445</v>
      </c>
      <c r="K100" s="559" t="s">
        <v>1586</v>
      </c>
    </row>
    <row r="101" spans="1:12">
      <c r="A101" s="359" t="s">
        <v>818</v>
      </c>
      <c r="B101" s="359" t="s">
        <v>1591</v>
      </c>
      <c r="C101" s="559" t="s">
        <v>1577</v>
      </c>
      <c r="D101" s="89">
        <v>43439</v>
      </c>
      <c r="E101" s="570">
        <v>43439</v>
      </c>
      <c r="F101" s="571">
        <f t="shared" si="7"/>
        <v>71230.676999999996</v>
      </c>
      <c r="G101" s="675">
        <v>1</v>
      </c>
      <c r="H101" s="572">
        <f t="shared" si="8"/>
        <v>0</v>
      </c>
      <c r="I101" s="40">
        <v>71230.676999999996</v>
      </c>
      <c r="J101" s="570">
        <v>43446</v>
      </c>
      <c r="K101" s="559" t="s">
        <v>1585</v>
      </c>
    </row>
    <row r="102" spans="1:12">
      <c r="A102" s="359" t="s">
        <v>818</v>
      </c>
      <c r="B102" s="359" t="s">
        <v>1591</v>
      </c>
      <c r="C102" s="559" t="s">
        <v>1576</v>
      </c>
      <c r="D102" s="89">
        <v>43439</v>
      </c>
      <c r="E102" s="570">
        <v>43439</v>
      </c>
      <c r="F102" s="571">
        <f t="shared" si="7"/>
        <v>64404.078000000001</v>
      </c>
      <c r="G102" s="675">
        <v>1</v>
      </c>
      <c r="H102" s="572">
        <f t="shared" si="8"/>
        <v>0</v>
      </c>
      <c r="I102" s="40">
        <v>64404.078000000001</v>
      </c>
      <c r="J102" s="570">
        <v>43447</v>
      </c>
      <c r="K102" s="559" t="s">
        <v>1584</v>
      </c>
    </row>
    <row r="103" spans="1:12">
      <c r="A103" s="359" t="s">
        <v>818</v>
      </c>
      <c r="B103" s="359" t="s">
        <v>1081</v>
      </c>
      <c r="C103" s="559" t="s">
        <v>1303</v>
      </c>
      <c r="D103" s="89">
        <v>43416</v>
      </c>
      <c r="E103" s="570">
        <v>43430</v>
      </c>
      <c r="F103" s="571">
        <f t="shared" si="7"/>
        <v>1859.1</v>
      </c>
      <c r="G103" s="675">
        <v>1</v>
      </c>
      <c r="H103" s="572">
        <f t="shared" si="8"/>
        <v>0</v>
      </c>
      <c r="I103" s="40">
        <v>1859.1</v>
      </c>
      <c r="J103" s="570">
        <v>43449</v>
      </c>
      <c r="K103" s="559" t="s">
        <v>1313</v>
      </c>
    </row>
    <row r="104" spans="1:12">
      <c r="A104" s="359" t="s">
        <v>818</v>
      </c>
      <c r="B104" s="359" t="s">
        <v>839</v>
      </c>
      <c r="C104" s="559" t="s">
        <v>920</v>
      </c>
      <c r="D104" s="89">
        <v>43357</v>
      </c>
      <c r="E104" s="570">
        <v>43392</v>
      </c>
      <c r="F104" s="571">
        <f t="shared" si="7"/>
        <v>3971.54</v>
      </c>
      <c r="G104" s="675">
        <v>1</v>
      </c>
      <c r="H104" s="572">
        <f t="shared" si="8"/>
        <v>0</v>
      </c>
      <c r="I104" s="40">
        <v>3971.54</v>
      </c>
      <c r="J104" s="570">
        <v>43449</v>
      </c>
      <c r="K104" s="559" t="s">
        <v>925</v>
      </c>
      <c r="L104" s="575"/>
    </row>
    <row r="105" spans="1:12">
      <c r="A105" s="359" t="s">
        <v>818</v>
      </c>
      <c r="B105" s="359" t="s">
        <v>853</v>
      </c>
      <c r="C105" s="559" t="s">
        <v>1145</v>
      </c>
      <c r="D105" s="89">
        <v>43395</v>
      </c>
      <c r="E105" s="570">
        <v>43417</v>
      </c>
      <c r="F105" s="571">
        <f t="shared" si="7"/>
        <v>466.36099999999999</v>
      </c>
      <c r="G105" s="675">
        <v>1</v>
      </c>
      <c r="H105" s="572">
        <f t="shared" si="8"/>
        <v>0</v>
      </c>
      <c r="I105" s="40">
        <v>466.36099999999999</v>
      </c>
      <c r="J105" s="570">
        <v>43449</v>
      </c>
      <c r="K105" s="559" t="s">
        <v>1151</v>
      </c>
      <c r="L105" s="574"/>
    </row>
    <row r="106" spans="1:12">
      <c r="A106" s="359" t="s">
        <v>818</v>
      </c>
      <c r="B106" s="359" t="s">
        <v>837</v>
      </c>
      <c r="C106" s="559" t="s">
        <v>919</v>
      </c>
      <c r="D106" s="89">
        <v>43357</v>
      </c>
      <c r="E106" s="570">
        <v>43411</v>
      </c>
      <c r="F106" s="571">
        <f t="shared" si="7"/>
        <v>1655.673</v>
      </c>
      <c r="G106" s="675">
        <v>1</v>
      </c>
      <c r="H106" s="572">
        <f t="shared" si="8"/>
        <v>0</v>
      </c>
      <c r="I106" s="40">
        <v>1655.673</v>
      </c>
      <c r="J106" s="570">
        <v>43449</v>
      </c>
      <c r="K106" s="559" t="s">
        <v>924</v>
      </c>
      <c r="L106" s="575"/>
    </row>
    <row r="107" spans="1:12">
      <c r="A107" s="359" t="s">
        <v>818</v>
      </c>
      <c r="B107" s="359" t="s">
        <v>837</v>
      </c>
      <c r="C107" s="559" t="s">
        <v>945</v>
      </c>
      <c r="D107" s="89">
        <v>43361</v>
      </c>
      <c r="E107" s="570">
        <v>43411</v>
      </c>
      <c r="F107" s="571">
        <f t="shared" si="7"/>
        <v>3146.056</v>
      </c>
      <c r="G107" s="675">
        <v>1</v>
      </c>
      <c r="H107" s="572">
        <f t="shared" si="8"/>
        <v>0</v>
      </c>
      <c r="I107" s="40">
        <v>3146.056</v>
      </c>
      <c r="J107" s="570">
        <v>43449</v>
      </c>
      <c r="K107" s="559" t="s">
        <v>947</v>
      </c>
      <c r="L107" s="575"/>
    </row>
    <row r="108" spans="1:12">
      <c r="A108" s="359" t="s">
        <v>818</v>
      </c>
      <c r="B108" s="359" t="s">
        <v>838</v>
      </c>
      <c r="C108" s="559" t="s">
        <v>998</v>
      </c>
      <c r="D108" s="89">
        <v>43367</v>
      </c>
      <c r="E108" s="570">
        <v>43406</v>
      </c>
      <c r="F108" s="571">
        <f t="shared" si="7"/>
        <v>1044.691</v>
      </c>
      <c r="G108" s="675">
        <v>1</v>
      </c>
      <c r="H108" s="572">
        <f t="shared" si="8"/>
        <v>0</v>
      </c>
      <c r="I108" s="40">
        <v>1044.691</v>
      </c>
      <c r="J108" s="570">
        <v>43449</v>
      </c>
      <c r="K108" s="559" t="s">
        <v>1005</v>
      </c>
      <c r="L108" s="575"/>
    </row>
    <row r="109" spans="1:12">
      <c r="A109" s="359" t="s">
        <v>818</v>
      </c>
      <c r="B109" s="359" t="s">
        <v>839</v>
      </c>
      <c r="C109" s="559" t="s">
        <v>1069</v>
      </c>
      <c r="D109" s="89">
        <v>43385</v>
      </c>
      <c r="E109" s="570">
        <v>43397</v>
      </c>
      <c r="F109" s="571">
        <f t="shared" si="7"/>
        <v>813.33600000000001</v>
      </c>
      <c r="G109" s="675">
        <v>1</v>
      </c>
      <c r="H109" s="572">
        <f t="shared" si="8"/>
        <v>0</v>
      </c>
      <c r="I109" s="40">
        <v>813.33600000000001</v>
      </c>
      <c r="J109" s="570">
        <v>43449</v>
      </c>
      <c r="K109" s="559" t="s">
        <v>1075</v>
      </c>
    </row>
    <row r="110" spans="1:12">
      <c r="A110" s="359" t="s">
        <v>818</v>
      </c>
      <c r="B110" s="359" t="s">
        <v>851</v>
      </c>
      <c r="C110" s="559" t="s">
        <v>1061</v>
      </c>
      <c r="D110" s="89">
        <v>43379</v>
      </c>
      <c r="E110" s="570">
        <v>43382</v>
      </c>
      <c r="F110" s="571">
        <f t="shared" si="7"/>
        <v>5202.0069999999996</v>
      </c>
      <c r="G110" s="675">
        <v>1</v>
      </c>
      <c r="H110" s="572">
        <f t="shared" si="8"/>
        <v>0</v>
      </c>
      <c r="I110" s="40">
        <v>5202.0069999999996</v>
      </c>
      <c r="J110" s="570">
        <v>43449</v>
      </c>
      <c r="K110" s="559" t="s">
        <v>1065</v>
      </c>
      <c r="L110" s="576"/>
    </row>
    <row r="111" spans="1:12">
      <c r="A111" s="359" t="s">
        <v>818</v>
      </c>
      <c r="B111" s="359" t="s">
        <v>852</v>
      </c>
      <c r="C111" s="559" t="s">
        <v>996</v>
      </c>
      <c r="D111" s="89">
        <v>43367</v>
      </c>
      <c r="E111" s="570">
        <v>43383</v>
      </c>
      <c r="F111" s="571">
        <f t="shared" si="7"/>
        <v>325.113</v>
      </c>
      <c r="G111" s="675">
        <v>1</v>
      </c>
      <c r="H111" s="572">
        <f t="shared" si="8"/>
        <v>0</v>
      </c>
      <c r="I111" s="40">
        <v>325.113</v>
      </c>
      <c r="J111" s="570">
        <v>43454</v>
      </c>
      <c r="K111" s="559" t="s">
        <v>1003</v>
      </c>
    </row>
    <row r="112" spans="1:12">
      <c r="A112" s="359" t="s">
        <v>818</v>
      </c>
      <c r="B112" s="359" t="s">
        <v>837</v>
      </c>
      <c r="C112" s="559" t="s">
        <v>1146</v>
      </c>
      <c r="D112" s="89">
        <v>43395</v>
      </c>
      <c r="E112" s="570">
        <v>43411</v>
      </c>
      <c r="F112" s="571">
        <f t="shared" si="7"/>
        <v>442.447</v>
      </c>
      <c r="G112" s="675">
        <v>1</v>
      </c>
      <c r="H112" s="572">
        <f t="shared" si="8"/>
        <v>0</v>
      </c>
      <c r="I112" s="40">
        <v>442.447</v>
      </c>
      <c r="J112" s="570">
        <v>43459</v>
      </c>
      <c r="K112" s="559" t="s">
        <v>1152</v>
      </c>
      <c r="L112" s="574"/>
    </row>
    <row r="113" spans="1:12">
      <c r="A113" s="359" t="s">
        <v>818</v>
      </c>
      <c r="B113" s="359" t="s">
        <v>838</v>
      </c>
      <c r="C113" s="559" t="s">
        <v>1030</v>
      </c>
      <c r="D113" s="89">
        <v>43374</v>
      </c>
      <c r="E113" s="570">
        <v>43406</v>
      </c>
      <c r="F113" s="571">
        <f t="shared" si="7"/>
        <v>1044.691</v>
      </c>
      <c r="G113" s="675">
        <v>1</v>
      </c>
      <c r="H113" s="572">
        <f t="shared" si="8"/>
        <v>0</v>
      </c>
      <c r="I113" s="40">
        <v>1044.691</v>
      </c>
      <c r="J113" s="570">
        <v>43459</v>
      </c>
      <c r="K113" s="559" t="s">
        <v>1034</v>
      </c>
      <c r="L113" s="575"/>
    </row>
    <row r="114" spans="1:12">
      <c r="A114" s="359" t="s">
        <v>818</v>
      </c>
      <c r="B114" s="359" t="s">
        <v>852</v>
      </c>
      <c r="C114" s="559" t="s">
        <v>993</v>
      </c>
      <c r="D114" s="89">
        <v>43369</v>
      </c>
      <c r="E114" s="570">
        <v>43383</v>
      </c>
      <c r="F114" s="571">
        <f t="shared" si="7"/>
        <v>16678.347000000002</v>
      </c>
      <c r="G114" s="675">
        <v>1</v>
      </c>
      <c r="H114" s="572">
        <f t="shared" si="8"/>
        <v>0</v>
      </c>
      <c r="I114" s="40">
        <v>16678.347000000002</v>
      </c>
      <c r="J114" s="570">
        <v>43459</v>
      </c>
      <c r="K114" s="559" t="s">
        <v>1000</v>
      </c>
      <c r="L114" s="576"/>
    </row>
    <row r="115" spans="1:12">
      <c r="A115" s="359" t="s">
        <v>818</v>
      </c>
      <c r="B115" s="359" t="s">
        <v>852</v>
      </c>
      <c r="C115" s="559" t="s">
        <v>1031</v>
      </c>
      <c r="D115" s="89">
        <v>43374</v>
      </c>
      <c r="E115" s="570">
        <v>43383</v>
      </c>
      <c r="F115" s="571">
        <f t="shared" si="7"/>
        <v>5896.0360000000001</v>
      </c>
      <c r="G115" s="675">
        <v>1</v>
      </c>
      <c r="H115" s="572">
        <f t="shared" si="8"/>
        <v>0</v>
      </c>
      <c r="I115" s="40">
        <v>5896.0360000000001</v>
      </c>
      <c r="J115" s="570">
        <v>43459</v>
      </c>
      <c r="K115" s="559" t="s">
        <v>1035</v>
      </c>
    </row>
    <row r="116" spans="1:12">
      <c r="A116" s="359" t="s">
        <v>818</v>
      </c>
      <c r="B116" s="568" t="s">
        <v>830</v>
      </c>
      <c r="C116" s="559" t="s">
        <v>921</v>
      </c>
      <c r="D116" s="89">
        <v>43353</v>
      </c>
      <c r="E116" s="570">
        <v>43362</v>
      </c>
      <c r="F116" s="571">
        <f t="shared" si="7"/>
        <v>3507.1010000000001</v>
      </c>
      <c r="G116" s="675">
        <v>1</v>
      </c>
      <c r="H116" s="572">
        <f t="shared" si="8"/>
        <v>0</v>
      </c>
      <c r="I116" s="40">
        <v>3507.1010000000001</v>
      </c>
      <c r="J116" s="570">
        <v>43464</v>
      </c>
      <c r="K116" s="559" t="s">
        <v>926</v>
      </c>
    </row>
    <row r="117" spans="1:12">
      <c r="A117" s="359" t="s">
        <v>818</v>
      </c>
      <c r="B117" s="359" t="s">
        <v>851</v>
      </c>
      <c r="C117" s="559" t="s">
        <v>1058</v>
      </c>
      <c r="D117" s="89">
        <v>43379</v>
      </c>
      <c r="E117" s="570">
        <v>43382</v>
      </c>
      <c r="F117" s="571">
        <f t="shared" si="7"/>
        <v>14381</v>
      </c>
      <c r="G117" s="675">
        <v>1</v>
      </c>
      <c r="H117" s="572">
        <f t="shared" si="8"/>
        <v>0</v>
      </c>
      <c r="I117" s="40">
        <v>14381</v>
      </c>
      <c r="J117" s="570">
        <v>43470</v>
      </c>
      <c r="K117" s="559" t="s">
        <v>1062</v>
      </c>
    </row>
    <row r="118" spans="1:12">
      <c r="A118" s="359" t="s">
        <v>818</v>
      </c>
      <c r="B118" s="359" t="s">
        <v>1279</v>
      </c>
      <c r="C118" s="559" t="s">
        <v>1264</v>
      </c>
      <c r="D118" s="89">
        <v>43404</v>
      </c>
      <c r="E118" s="570">
        <v>43409</v>
      </c>
      <c r="F118" s="571">
        <f t="shared" si="7"/>
        <v>66060.62</v>
      </c>
      <c r="G118" s="675">
        <v>1</v>
      </c>
      <c r="H118" s="572">
        <f t="shared" si="8"/>
        <v>0</v>
      </c>
      <c r="I118" s="40">
        <v>66060.62</v>
      </c>
      <c r="J118" s="570">
        <v>43470</v>
      </c>
      <c r="K118" s="559" t="s">
        <v>1275</v>
      </c>
    </row>
    <row r="119" spans="1:12">
      <c r="A119" s="359" t="s">
        <v>818</v>
      </c>
      <c r="B119" s="359" t="s">
        <v>836</v>
      </c>
      <c r="C119" s="559" t="s">
        <v>1263</v>
      </c>
      <c r="D119" s="89">
        <v>43409</v>
      </c>
      <c r="E119" s="570">
        <v>43434</v>
      </c>
      <c r="F119" s="571">
        <f t="shared" si="7"/>
        <v>876.73800000000006</v>
      </c>
      <c r="G119" s="675">
        <v>1</v>
      </c>
      <c r="H119" s="572">
        <f t="shared" si="8"/>
        <v>0</v>
      </c>
      <c r="I119" s="40">
        <v>876.73800000000006</v>
      </c>
      <c r="J119" s="570">
        <v>43480</v>
      </c>
      <c r="K119" s="559" t="s">
        <v>1274</v>
      </c>
      <c r="L119" s="575"/>
    </row>
    <row r="120" spans="1:12">
      <c r="A120" s="359" t="s">
        <v>818</v>
      </c>
      <c r="B120" s="359" t="s">
        <v>850</v>
      </c>
      <c r="C120" s="559" t="s">
        <v>1306</v>
      </c>
      <c r="D120" s="89">
        <v>43416</v>
      </c>
      <c r="E120" s="570">
        <v>43427</v>
      </c>
      <c r="F120" s="571">
        <f t="shared" si="7"/>
        <v>4832.018</v>
      </c>
      <c r="G120" s="675">
        <v>1</v>
      </c>
      <c r="H120" s="572">
        <f t="shared" si="8"/>
        <v>0</v>
      </c>
      <c r="I120" s="40">
        <v>4832.018</v>
      </c>
      <c r="J120" s="570">
        <v>43480</v>
      </c>
      <c r="K120" s="559" t="s">
        <v>1316</v>
      </c>
    </row>
    <row r="121" spans="1:12">
      <c r="A121" s="359" t="s">
        <v>818</v>
      </c>
      <c r="B121" s="359" t="s">
        <v>835</v>
      </c>
      <c r="C121" s="559" t="s">
        <v>1059</v>
      </c>
      <c r="D121" s="89">
        <v>43379</v>
      </c>
      <c r="E121" s="570">
        <v>43404</v>
      </c>
      <c r="F121" s="571">
        <f t="shared" si="7"/>
        <v>3825.002</v>
      </c>
      <c r="G121" s="675">
        <v>1</v>
      </c>
      <c r="H121" s="572">
        <f t="shared" si="8"/>
        <v>0</v>
      </c>
      <c r="I121" s="40">
        <v>3825.002</v>
      </c>
      <c r="J121" s="570">
        <v>43480</v>
      </c>
      <c r="K121" s="559" t="s">
        <v>1063</v>
      </c>
      <c r="L121" s="575"/>
    </row>
    <row r="122" spans="1:12">
      <c r="A122" s="359" t="s">
        <v>818</v>
      </c>
      <c r="B122" s="359" t="s">
        <v>852</v>
      </c>
      <c r="C122" s="559" t="s">
        <v>1070</v>
      </c>
      <c r="D122" s="89">
        <v>43385</v>
      </c>
      <c r="E122" s="570">
        <v>43399</v>
      </c>
      <c r="F122" s="571">
        <f t="shared" si="7"/>
        <v>6845.2659999999996</v>
      </c>
      <c r="G122" s="675">
        <v>1</v>
      </c>
      <c r="H122" s="572">
        <f t="shared" si="8"/>
        <v>0</v>
      </c>
      <c r="I122" s="40">
        <v>6845.2659999999996</v>
      </c>
      <c r="J122" s="570">
        <v>43480</v>
      </c>
      <c r="K122" s="559" t="s">
        <v>1076</v>
      </c>
      <c r="L122" s="574"/>
    </row>
    <row r="123" spans="1:12">
      <c r="A123" s="359" t="s">
        <v>818</v>
      </c>
      <c r="B123" s="359" t="s">
        <v>835</v>
      </c>
      <c r="C123" s="559" t="s">
        <v>1259</v>
      </c>
      <c r="D123" s="89">
        <v>43409</v>
      </c>
      <c r="E123" s="570">
        <v>43439</v>
      </c>
      <c r="F123" s="571">
        <f t="shared" si="7"/>
        <v>201.18700000000001</v>
      </c>
      <c r="G123" s="675">
        <v>1</v>
      </c>
      <c r="H123" s="572">
        <f t="shared" si="8"/>
        <v>0</v>
      </c>
      <c r="I123" s="40">
        <v>201.18700000000001</v>
      </c>
      <c r="J123" s="570">
        <v>43490</v>
      </c>
      <c r="K123" s="559" t="s">
        <v>1270</v>
      </c>
      <c r="L123" s="575"/>
    </row>
    <row r="124" spans="1:12">
      <c r="A124" s="359" t="s">
        <v>818</v>
      </c>
      <c r="B124" s="359" t="s">
        <v>833</v>
      </c>
      <c r="C124" s="559" t="s">
        <v>1143</v>
      </c>
      <c r="D124" s="89">
        <v>43395</v>
      </c>
      <c r="E124" s="570">
        <v>43418</v>
      </c>
      <c r="F124" s="571">
        <f t="shared" si="7"/>
        <v>4008.4670000000001</v>
      </c>
      <c r="G124" s="675">
        <v>1</v>
      </c>
      <c r="H124" s="572">
        <f t="shared" si="8"/>
        <v>0</v>
      </c>
      <c r="I124" s="40">
        <v>4008.4670000000001</v>
      </c>
      <c r="J124" s="570">
        <v>43490</v>
      </c>
      <c r="K124" s="559" t="s">
        <v>1149</v>
      </c>
      <c r="L124" s="574"/>
    </row>
    <row r="125" spans="1:12">
      <c r="A125" s="359" t="s">
        <v>818</v>
      </c>
      <c r="B125" s="359" t="s">
        <v>837</v>
      </c>
      <c r="C125" s="559" t="s">
        <v>1258</v>
      </c>
      <c r="D125" s="89">
        <v>43409</v>
      </c>
      <c r="E125" s="570">
        <v>43411</v>
      </c>
      <c r="F125" s="571">
        <f t="shared" si="7"/>
        <v>6017.5529999999999</v>
      </c>
      <c r="G125" s="675">
        <v>1</v>
      </c>
      <c r="H125" s="572">
        <f t="shared" si="8"/>
        <v>0</v>
      </c>
      <c r="I125" s="40">
        <v>6017.5529999999999</v>
      </c>
      <c r="J125" s="570">
        <v>43490</v>
      </c>
      <c r="K125" s="559" t="s">
        <v>1269</v>
      </c>
      <c r="L125" s="575"/>
    </row>
    <row r="126" spans="1:12">
      <c r="A126" s="359" t="s">
        <v>818</v>
      </c>
      <c r="B126" s="359" t="s">
        <v>852</v>
      </c>
      <c r="C126" s="559" t="s">
        <v>1144</v>
      </c>
      <c r="D126" s="89">
        <v>43395</v>
      </c>
      <c r="E126" s="570">
        <v>43399</v>
      </c>
      <c r="F126" s="571">
        <f t="shared" si="7"/>
        <v>917.18299999999999</v>
      </c>
      <c r="G126" s="675">
        <v>1</v>
      </c>
      <c r="H126" s="572">
        <f t="shared" si="8"/>
        <v>0</v>
      </c>
      <c r="I126" s="40">
        <v>917.18299999999999</v>
      </c>
      <c r="J126" s="570">
        <v>43490</v>
      </c>
      <c r="K126" s="559" t="s">
        <v>1150</v>
      </c>
      <c r="L126" s="574"/>
    </row>
    <row r="127" spans="1:12">
      <c r="A127" s="359" t="s">
        <v>818</v>
      </c>
      <c r="B127" s="359" t="s">
        <v>852</v>
      </c>
      <c r="C127" s="559" t="s">
        <v>1161</v>
      </c>
      <c r="D127" s="89">
        <v>43400</v>
      </c>
      <c r="E127" s="570">
        <v>43418</v>
      </c>
      <c r="F127" s="571">
        <f t="shared" si="7"/>
        <v>198.91399999999999</v>
      </c>
      <c r="G127" s="675">
        <v>1</v>
      </c>
      <c r="H127" s="572">
        <f t="shared" si="8"/>
        <v>0</v>
      </c>
      <c r="I127" s="40">
        <v>198.91399999999999</v>
      </c>
      <c r="J127" s="570">
        <v>43496</v>
      </c>
      <c r="K127" s="559" t="s">
        <v>1166</v>
      </c>
    </row>
    <row r="128" spans="1:12">
      <c r="A128" s="359" t="s">
        <v>818</v>
      </c>
      <c r="B128" s="359" t="s">
        <v>833</v>
      </c>
      <c r="C128" s="559" t="s">
        <v>1300</v>
      </c>
      <c r="D128" s="89">
        <v>43416</v>
      </c>
      <c r="E128" s="570">
        <v>43418</v>
      </c>
      <c r="F128" s="571">
        <f t="shared" si="7"/>
        <v>346.24599999999998</v>
      </c>
      <c r="G128" s="675">
        <v>1</v>
      </c>
      <c r="H128" s="572">
        <f t="shared" si="8"/>
        <v>0</v>
      </c>
      <c r="I128" s="40">
        <v>346.24599999999998</v>
      </c>
      <c r="J128" s="570">
        <v>43501</v>
      </c>
      <c r="K128" s="559" t="s">
        <v>1310</v>
      </c>
    </row>
    <row r="129" spans="1:12">
      <c r="A129" s="359" t="s">
        <v>818</v>
      </c>
      <c r="B129" s="359" t="s">
        <v>851</v>
      </c>
      <c r="C129" s="559" t="s">
        <v>1503</v>
      </c>
      <c r="D129" s="89">
        <v>43432</v>
      </c>
      <c r="E129" s="570">
        <v>43436</v>
      </c>
      <c r="F129" s="571">
        <f t="shared" si="7"/>
        <v>5024.0910000000003</v>
      </c>
      <c r="G129" s="675">
        <v>1</v>
      </c>
      <c r="H129" s="572">
        <f t="shared" si="8"/>
        <v>0</v>
      </c>
      <c r="I129" s="40">
        <v>5024.0910000000003</v>
      </c>
      <c r="J129" s="570">
        <v>43501</v>
      </c>
      <c r="K129" s="559" t="s">
        <v>1532</v>
      </c>
    </row>
    <row r="130" spans="1:12">
      <c r="A130" s="359" t="s">
        <v>818</v>
      </c>
      <c r="B130" s="359" t="s">
        <v>835</v>
      </c>
      <c r="C130" s="559" t="s">
        <v>1395</v>
      </c>
      <c r="D130" s="89">
        <v>43421</v>
      </c>
      <c r="E130" s="570">
        <v>43439</v>
      </c>
      <c r="F130" s="571">
        <f t="shared" ref="F130:F193" si="10">SUM(I130*G130)</f>
        <v>376.99200000000002</v>
      </c>
      <c r="G130" s="675">
        <v>1</v>
      </c>
      <c r="H130" s="572">
        <f t="shared" ref="H130:H193" si="11">IF(E130="",1,0)</f>
        <v>0</v>
      </c>
      <c r="I130" s="40">
        <v>376.99200000000002</v>
      </c>
      <c r="J130" s="570">
        <v>43511</v>
      </c>
      <c r="K130" s="559" t="s">
        <v>1399</v>
      </c>
      <c r="L130" s="576"/>
    </row>
    <row r="131" spans="1:12">
      <c r="A131" s="359" t="s">
        <v>818</v>
      </c>
      <c r="B131" s="359" t="s">
        <v>833</v>
      </c>
      <c r="C131" s="559" t="s">
        <v>1261</v>
      </c>
      <c r="D131" s="89">
        <v>43409</v>
      </c>
      <c r="E131" s="570">
        <v>43418</v>
      </c>
      <c r="F131" s="571">
        <f t="shared" si="10"/>
        <v>562.77</v>
      </c>
      <c r="G131" s="675">
        <v>1</v>
      </c>
      <c r="H131" s="572">
        <f t="shared" si="11"/>
        <v>0</v>
      </c>
      <c r="I131" s="40">
        <v>562.77</v>
      </c>
      <c r="J131" s="570">
        <v>43511</v>
      </c>
      <c r="K131" s="559" t="s">
        <v>1272</v>
      </c>
      <c r="L131" s="575"/>
    </row>
    <row r="132" spans="1:12">
      <c r="A132" s="359" t="s">
        <v>818</v>
      </c>
      <c r="B132" s="359" t="s">
        <v>852</v>
      </c>
      <c r="C132" s="559" t="s">
        <v>1257</v>
      </c>
      <c r="D132" s="89">
        <v>43409</v>
      </c>
      <c r="E132" s="570">
        <v>43418</v>
      </c>
      <c r="F132" s="571">
        <f t="shared" si="10"/>
        <v>7787.15</v>
      </c>
      <c r="G132" s="675">
        <v>1</v>
      </c>
      <c r="H132" s="572">
        <f t="shared" si="11"/>
        <v>0</v>
      </c>
      <c r="I132" s="40">
        <v>7787.15</v>
      </c>
      <c r="J132" s="570">
        <v>43511</v>
      </c>
      <c r="K132" s="559" t="s">
        <v>1268</v>
      </c>
      <c r="L132" s="575"/>
    </row>
    <row r="133" spans="1:12">
      <c r="F133" s="571">
        <f t="shared" si="10"/>
        <v>0</v>
      </c>
      <c r="G133" s="675">
        <v>1</v>
      </c>
      <c r="H133" s="572">
        <f t="shared" si="11"/>
        <v>1</v>
      </c>
    </row>
    <row r="134" spans="1:12">
      <c r="F134" s="571">
        <f t="shared" si="10"/>
        <v>0</v>
      </c>
      <c r="G134" s="675">
        <v>1</v>
      </c>
      <c r="H134" s="572">
        <f t="shared" si="11"/>
        <v>1</v>
      </c>
    </row>
    <row r="135" spans="1:12">
      <c r="F135" s="571">
        <f t="shared" si="10"/>
        <v>0</v>
      </c>
      <c r="G135" s="675">
        <v>1</v>
      </c>
      <c r="H135" s="572">
        <f t="shared" si="11"/>
        <v>1</v>
      </c>
    </row>
    <row r="136" spans="1:12">
      <c r="F136" s="571">
        <f t="shared" si="10"/>
        <v>0</v>
      </c>
      <c r="G136" s="675">
        <v>1</v>
      </c>
      <c r="H136" s="572">
        <f t="shared" si="11"/>
        <v>1</v>
      </c>
    </row>
    <row r="137" spans="1:12">
      <c r="F137" s="571">
        <f t="shared" si="10"/>
        <v>0</v>
      </c>
      <c r="G137" s="675">
        <v>1</v>
      </c>
      <c r="H137" s="572">
        <f t="shared" si="11"/>
        <v>1</v>
      </c>
    </row>
    <row r="138" spans="1:12">
      <c r="F138" s="571">
        <f t="shared" si="10"/>
        <v>0</v>
      </c>
      <c r="G138" s="675">
        <v>1</v>
      </c>
      <c r="H138" s="572">
        <f t="shared" si="11"/>
        <v>1</v>
      </c>
    </row>
    <row r="139" spans="1:12">
      <c r="F139" s="571">
        <f t="shared" si="10"/>
        <v>0</v>
      </c>
      <c r="G139" s="675">
        <v>1</v>
      </c>
      <c r="H139" s="572">
        <f t="shared" si="11"/>
        <v>1</v>
      </c>
    </row>
    <row r="140" spans="1:12">
      <c r="F140" s="571">
        <f t="shared" si="10"/>
        <v>0</v>
      </c>
      <c r="G140" s="675">
        <v>1</v>
      </c>
      <c r="H140" s="572">
        <f t="shared" si="11"/>
        <v>1</v>
      </c>
    </row>
    <row r="141" spans="1:12">
      <c r="F141" s="571">
        <f t="shared" si="10"/>
        <v>0</v>
      </c>
      <c r="G141" s="675">
        <v>1</v>
      </c>
      <c r="H141" s="572">
        <f t="shared" si="11"/>
        <v>1</v>
      </c>
    </row>
    <row r="142" spans="1:12">
      <c r="F142" s="571">
        <f t="shared" si="10"/>
        <v>0</v>
      </c>
      <c r="G142" s="675">
        <v>1</v>
      </c>
      <c r="H142" s="572">
        <f t="shared" si="11"/>
        <v>1</v>
      </c>
    </row>
    <row r="143" spans="1:12">
      <c r="F143" s="571">
        <f t="shared" si="10"/>
        <v>0</v>
      </c>
      <c r="G143" s="675">
        <v>1</v>
      </c>
      <c r="H143" s="572">
        <f t="shared" si="11"/>
        <v>1</v>
      </c>
    </row>
    <row r="144" spans="1:12">
      <c r="F144" s="571">
        <f t="shared" si="10"/>
        <v>0</v>
      </c>
      <c r="G144" s="675">
        <v>1</v>
      </c>
      <c r="H144" s="572">
        <f t="shared" si="11"/>
        <v>1</v>
      </c>
    </row>
    <row r="145" spans="6:8">
      <c r="F145" s="571">
        <f t="shared" si="10"/>
        <v>0</v>
      </c>
      <c r="G145" s="675">
        <v>1</v>
      </c>
      <c r="H145" s="572">
        <f t="shared" si="11"/>
        <v>1</v>
      </c>
    </row>
    <row r="146" spans="6:8">
      <c r="F146" s="571">
        <f t="shared" si="10"/>
        <v>0</v>
      </c>
      <c r="G146" s="675">
        <v>1</v>
      </c>
      <c r="H146" s="572">
        <f t="shared" si="11"/>
        <v>1</v>
      </c>
    </row>
    <row r="147" spans="6:8">
      <c r="F147" s="571">
        <f t="shared" si="10"/>
        <v>0</v>
      </c>
      <c r="G147" s="675">
        <v>1</v>
      </c>
      <c r="H147" s="572">
        <f t="shared" si="11"/>
        <v>1</v>
      </c>
    </row>
    <row r="148" spans="6:8">
      <c r="F148" s="571">
        <f t="shared" si="10"/>
        <v>0</v>
      </c>
      <c r="G148" s="675">
        <v>1</v>
      </c>
      <c r="H148" s="572">
        <f t="shared" si="11"/>
        <v>1</v>
      </c>
    </row>
    <row r="149" spans="6:8">
      <c r="F149" s="571">
        <f t="shared" si="10"/>
        <v>0</v>
      </c>
      <c r="G149" s="675">
        <v>1</v>
      </c>
      <c r="H149" s="572">
        <f t="shared" si="11"/>
        <v>1</v>
      </c>
    </row>
    <row r="150" spans="6:8">
      <c r="F150" s="571">
        <f t="shared" si="10"/>
        <v>0</v>
      </c>
      <c r="G150" s="675">
        <v>1</v>
      </c>
      <c r="H150" s="572">
        <f t="shared" si="11"/>
        <v>1</v>
      </c>
    </row>
    <row r="151" spans="6:8">
      <c r="F151" s="571">
        <f t="shared" si="10"/>
        <v>0</v>
      </c>
      <c r="G151" s="675">
        <v>1</v>
      </c>
      <c r="H151" s="572">
        <f t="shared" si="11"/>
        <v>1</v>
      </c>
    </row>
    <row r="152" spans="6:8">
      <c r="F152" s="571">
        <f t="shared" si="10"/>
        <v>0</v>
      </c>
      <c r="G152" s="675">
        <v>1</v>
      </c>
      <c r="H152" s="572">
        <f t="shared" si="11"/>
        <v>1</v>
      </c>
    </row>
    <row r="153" spans="6:8">
      <c r="F153" s="571">
        <f t="shared" si="10"/>
        <v>0</v>
      </c>
      <c r="G153" s="675">
        <v>1</v>
      </c>
      <c r="H153" s="572">
        <f t="shared" si="11"/>
        <v>1</v>
      </c>
    </row>
    <row r="154" spans="6:8">
      <c r="F154" s="571">
        <f t="shared" si="10"/>
        <v>0</v>
      </c>
      <c r="G154" s="675">
        <v>1</v>
      </c>
      <c r="H154" s="572">
        <f t="shared" si="11"/>
        <v>1</v>
      </c>
    </row>
    <row r="155" spans="6:8">
      <c r="F155" s="571">
        <f t="shared" si="10"/>
        <v>0</v>
      </c>
      <c r="G155" s="675">
        <v>1</v>
      </c>
      <c r="H155" s="572">
        <f t="shared" si="11"/>
        <v>1</v>
      </c>
    </row>
    <row r="156" spans="6:8">
      <c r="F156" s="571">
        <f t="shared" si="10"/>
        <v>0</v>
      </c>
      <c r="G156" s="675">
        <v>1</v>
      </c>
      <c r="H156" s="572">
        <f t="shared" si="11"/>
        <v>1</v>
      </c>
    </row>
    <row r="157" spans="6:8">
      <c r="F157" s="571">
        <f t="shared" si="10"/>
        <v>0</v>
      </c>
      <c r="G157" s="675">
        <v>1</v>
      </c>
      <c r="H157" s="572">
        <f t="shared" si="11"/>
        <v>1</v>
      </c>
    </row>
    <row r="158" spans="6:8">
      <c r="F158" s="571">
        <f t="shared" si="10"/>
        <v>0</v>
      </c>
      <c r="G158" s="675">
        <v>1</v>
      </c>
      <c r="H158" s="572">
        <f t="shared" si="11"/>
        <v>1</v>
      </c>
    </row>
    <row r="159" spans="6:8">
      <c r="F159" s="571">
        <f t="shared" si="10"/>
        <v>0</v>
      </c>
      <c r="G159" s="675">
        <v>1</v>
      </c>
      <c r="H159" s="572">
        <f t="shared" si="11"/>
        <v>1</v>
      </c>
    </row>
    <row r="160" spans="6:8">
      <c r="F160" s="571">
        <f t="shared" si="10"/>
        <v>0</v>
      </c>
      <c r="G160" s="675">
        <v>1</v>
      </c>
      <c r="H160" s="572">
        <f t="shared" si="11"/>
        <v>1</v>
      </c>
    </row>
    <row r="161" spans="6:8">
      <c r="F161" s="571">
        <f t="shared" si="10"/>
        <v>0</v>
      </c>
      <c r="G161" s="675">
        <v>1</v>
      </c>
      <c r="H161" s="572">
        <f t="shared" si="11"/>
        <v>1</v>
      </c>
    </row>
    <row r="162" spans="6:8">
      <c r="F162" s="571">
        <f t="shared" si="10"/>
        <v>0</v>
      </c>
      <c r="G162" s="675">
        <v>1</v>
      </c>
      <c r="H162" s="572">
        <f t="shared" si="11"/>
        <v>1</v>
      </c>
    </row>
    <row r="163" spans="6:8">
      <c r="F163" s="571">
        <f t="shared" si="10"/>
        <v>0</v>
      </c>
      <c r="G163" s="675">
        <v>1</v>
      </c>
      <c r="H163" s="572">
        <f t="shared" si="11"/>
        <v>1</v>
      </c>
    </row>
    <row r="164" spans="6:8">
      <c r="F164" s="571">
        <f t="shared" si="10"/>
        <v>0</v>
      </c>
      <c r="G164" s="675">
        <v>1</v>
      </c>
      <c r="H164" s="572">
        <f t="shared" si="11"/>
        <v>1</v>
      </c>
    </row>
    <row r="165" spans="6:8">
      <c r="F165" s="571">
        <f t="shared" si="10"/>
        <v>0</v>
      </c>
      <c r="G165" s="675">
        <v>1</v>
      </c>
      <c r="H165" s="572">
        <f t="shared" si="11"/>
        <v>1</v>
      </c>
    </row>
    <row r="166" spans="6:8">
      <c r="F166" s="571">
        <f t="shared" si="10"/>
        <v>0</v>
      </c>
      <c r="G166" s="675">
        <v>1</v>
      </c>
      <c r="H166" s="572">
        <f t="shared" si="11"/>
        <v>1</v>
      </c>
    </row>
    <row r="167" spans="6:8">
      <c r="F167" s="571">
        <f t="shared" si="10"/>
        <v>0</v>
      </c>
      <c r="G167" s="675">
        <v>1</v>
      </c>
      <c r="H167" s="572">
        <f t="shared" si="11"/>
        <v>1</v>
      </c>
    </row>
    <row r="168" spans="6:8">
      <c r="F168" s="571">
        <f t="shared" si="10"/>
        <v>0</v>
      </c>
      <c r="G168" s="675">
        <v>1</v>
      </c>
      <c r="H168" s="572">
        <f t="shared" si="11"/>
        <v>1</v>
      </c>
    </row>
    <row r="169" spans="6:8">
      <c r="F169" s="571">
        <f t="shared" si="10"/>
        <v>0</v>
      </c>
      <c r="G169" s="675">
        <v>1</v>
      </c>
      <c r="H169" s="572">
        <f t="shared" si="11"/>
        <v>1</v>
      </c>
    </row>
    <row r="170" spans="6:8">
      <c r="F170" s="571">
        <f t="shared" si="10"/>
        <v>0</v>
      </c>
      <c r="G170" s="675">
        <v>1</v>
      </c>
      <c r="H170" s="572">
        <f t="shared" si="11"/>
        <v>1</v>
      </c>
    </row>
    <row r="171" spans="6:8">
      <c r="F171" s="571">
        <f t="shared" si="10"/>
        <v>0</v>
      </c>
      <c r="G171" s="675">
        <v>1</v>
      </c>
      <c r="H171" s="572">
        <f t="shared" si="11"/>
        <v>1</v>
      </c>
    </row>
    <row r="172" spans="6:8">
      <c r="F172" s="571">
        <f t="shared" si="10"/>
        <v>0</v>
      </c>
      <c r="G172" s="675">
        <v>1</v>
      </c>
      <c r="H172" s="572">
        <f t="shared" si="11"/>
        <v>1</v>
      </c>
    </row>
    <row r="173" spans="6:8">
      <c r="F173" s="571">
        <f t="shared" si="10"/>
        <v>0</v>
      </c>
      <c r="G173" s="675">
        <v>1</v>
      </c>
      <c r="H173" s="572">
        <f t="shared" si="11"/>
        <v>1</v>
      </c>
    </row>
    <row r="174" spans="6:8">
      <c r="F174" s="571">
        <f t="shared" si="10"/>
        <v>0</v>
      </c>
      <c r="G174" s="675">
        <v>1</v>
      </c>
      <c r="H174" s="572">
        <f t="shared" si="11"/>
        <v>1</v>
      </c>
    </row>
    <row r="175" spans="6:8">
      <c r="F175" s="571">
        <f t="shared" si="10"/>
        <v>0</v>
      </c>
      <c r="G175" s="675">
        <v>1</v>
      </c>
      <c r="H175" s="572">
        <f t="shared" si="11"/>
        <v>1</v>
      </c>
    </row>
    <row r="176" spans="6:8">
      <c r="F176" s="571">
        <f t="shared" si="10"/>
        <v>0</v>
      </c>
      <c r="G176" s="675">
        <v>1</v>
      </c>
      <c r="H176" s="572">
        <f t="shared" si="11"/>
        <v>1</v>
      </c>
    </row>
    <row r="177" spans="6:8">
      <c r="F177" s="571">
        <f t="shared" si="10"/>
        <v>0</v>
      </c>
      <c r="G177" s="675">
        <v>1</v>
      </c>
      <c r="H177" s="572">
        <f t="shared" si="11"/>
        <v>1</v>
      </c>
    </row>
    <row r="178" spans="6:8">
      <c r="F178" s="571">
        <f t="shared" si="10"/>
        <v>0</v>
      </c>
      <c r="G178" s="675">
        <v>1</v>
      </c>
      <c r="H178" s="572">
        <f t="shared" si="11"/>
        <v>1</v>
      </c>
    </row>
    <row r="179" spans="6:8">
      <c r="F179" s="571">
        <f t="shared" si="10"/>
        <v>0</v>
      </c>
      <c r="G179" s="675">
        <v>1</v>
      </c>
      <c r="H179" s="572">
        <f t="shared" si="11"/>
        <v>1</v>
      </c>
    </row>
    <row r="180" spans="6:8">
      <c r="F180" s="571">
        <f t="shared" si="10"/>
        <v>0</v>
      </c>
      <c r="G180" s="675">
        <v>1</v>
      </c>
      <c r="H180" s="572">
        <f t="shared" si="11"/>
        <v>1</v>
      </c>
    </row>
    <row r="181" spans="6:8">
      <c r="F181" s="571">
        <f t="shared" si="10"/>
        <v>0</v>
      </c>
      <c r="G181" s="675">
        <v>1</v>
      </c>
      <c r="H181" s="572">
        <f t="shared" si="11"/>
        <v>1</v>
      </c>
    </row>
    <row r="182" spans="6:8">
      <c r="F182" s="571">
        <f t="shared" si="10"/>
        <v>0</v>
      </c>
      <c r="G182" s="675">
        <v>1</v>
      </c>
      <c r="H182" s="572">
        <f t="shared" si="11"/>
        <v>1</v>
      </c>
    </row>
    <row r="183" spans="6:8">
      <c r="F183" s="571">
        <f t="shared" si="10"/>
        <v>0</v>
      </c>
      <c r="G183" s="675">
        <v>1</v>
      </c>
      <c r="H183" s="572">
        <f t="shared" si="11"/>
        <v>1</v>
      </c>
    </row>
    <row r="184" spans="6:8">
      <c r="F184" s="571">
        <f t="shared" si="10"/>
        <v>0</v>
      </c>
      <c r="G184" s="675">
        <v>1</v>
      </c>
      <c r="H184" s="572">
        <f t="shared" si="11"/>
        <v>1</v>
      </c>
    </row>
    <row r="185" spans="6:8">
      <c r="F185" s="571">
        <f t="shared" si="10"/>
        <v>0</v>
      </c>
      <c r="G185" s="675">
        <v>1</v>
      </c>
      <c r="H185" s="572">
        <f t="shared" si="11"/>
        <v>1</v>
      </c>
    </row>
    <row r="186" spans="6:8">
      <c r="F186" s="571">
        <f t="shared" si="10"/>
        <v>0</v>
      </c>
      <c r="G186" s="675">
        <v>1</v>
      </c>
      <c r="H186" s="572">
        <f t="shared" si="11"/>
        <v>1</v>
      </c>
    </row>
    <row r="187" spans="6:8">
      <c r="F187" s="571">
        <f t="shared" si="10"/>
        <v>0</v>
      </c>
      <c r="G187" s="675">
        <v>1</v>
      </c>
      <c r="H187" s="572">
        <f t="shared" si="11"/>
        <v>1</v>
      </c>
    </row>
    <row r="188" spans="6:8">
      <c r="F188" s="571">
        <f t="shared" si="10"/>
        <v>0</v>
      </c>
      <c r="G188" s="675">
        <v>1</v>
      </c>
      <c r="H188" s="572">
        <f t="shared" si="11"/>
        <v>1</v>
      </c>
    </row>
    <row r="189" spans="6:8">
      <c r="F189" s="571">
        <f t="shared" si="10"/>
        <v>0</v>
      </c>
      <c r="G189" s="675">
        <v>1</v>
      </c>
      <c r="H189" s="572">
        <f t="shared" si="11"/>
        <v>1</v>
      </c>
    </row>
    <row r="190" spans="6:8">
      <c r="F190" s="571">
        <f t="shared" si="10"/>
        <v>0</v>
      </c>
      <c r="G190" s="675">
        <v>1</v>
      </c>
      <c r="H190" s="572">
        <f t="shared" si="11"/>
        <v>1</v>
      </c>
    </row>
    <row r="191" spans="6:8">
      <c r="F191" s="571">
        <f t="shared" si="10"/>
        <v>0</v>
      </c>
      <c r="G191" s="675">
        <v>1</v>
      </c>
      <c r="H191" s="572">
        <f t="shared" si="11"/>
        <v>1</v>
      </c>
    </row>
    <row r="192" spans="6:8">
      <c r="F192" s="571">
        <f t="shared" si="10"/>
        <v>0</v>
      </c>
      <c r="G192" s="675">
        <v>1</v>
      </c>
      <c r="H192" s="572">
        <f t="shared" si="11"/>
        <v>1</v>
      </c>
    </row>
    <row r="193" spans="6:8">
      <c r="F193" s="571">
        <f t="shared" si="10"/>
        <v>0</v>
      </c>
      <c r="G193" s="675">
        <v>1</v>
      </c>
      <c r="H193" s="572">
        <f t="shared" si="11"/>
        <v>1</v>
      </c>
    </row>
    <row r="194" spans="6:8">
      <c r="F194" s="571">
        <f t="shared" ref="F194:F257" si="12">SUM(I194*G194)</f>
        <v>0</v>
      </c>
      <c r="G194" s="675">
        <v>1</v>
      </c>
      <c r="H194" s="572">
        <f t="shared" ref="H194:H257" si="13">IF(E194="",1,0)</f>
        <v>1</v>
      </c>
    </row>
    <row r="195" spans="6:8">
      <c r="F195" s="571">
        <f t="shared" si="12"/>
        <v>0</v>
      </c>
      <c r="G195" s="675">
        <v>1</v>
      </c>
      <c r="H195" s="572">
        <f t="shared" si="13"/>
        <v>1</v>
      </c>
    </row>
    <row r="196" spans="6:8">
      <c r="F196" s="571">
        <f t="shared" si="12"/>
        <v>0</v>
      </c>
      <c r="G196" s="675">
        <v>1</v>
      </c>
      <c r="H196" s="572">
        <f t="shared" si="13"/>
        <v>1</v>
      </c>
    </row>
    <row r="197" spans="6:8">
      <c r="F197" s="571">
        <f t="shared" si="12"/>
        <v>0</v>
      </c>
      <c r="G197" s="675">
        <v>1</v>
      </c>
      <c r="H197" s="572">
        <f t="shared" si="13"/>
        <v>1</v>
      </c>
    </row>
    <row r="198" spans="6:8">
      <c r="F198" s="571">
        <f t="shared" si="12"/>
        <v>0</v>
      </c>
      <c r="G198" s="675">
        <v>1</v>
      </c>
      <c r="H198" s="572">
        <f t="shared" si="13"/>
        <v>1</v>
      </c>
    </row>
    <row r="199" spans="6:8">
      <c r="F199" s="571">
        <f t="shared" si="12"/>
        <v>0</v>
      </c>
      <c r="G199" s="675">
        <v>1</v>
      </c>
      <c r="H199" s="572">
        <f t="shared" si="13"/>
        <v>1</v>
      </c>
    </row>
    <row r="200" spans="6:8">
      <c r="F200" s="571">
        <f t="shared" si="12"/>
        <v>0</v>
      </c>
      <c r="G200" s="675">
        <v>1</v>
      </c>
      <c r="H200" s="572">
        <f t="shared" si="13"/>
        <v>1</v>
      </c>
    </row>
    <row r="201" spans="6:8">
      <c r="F201" s="571">
        <f t="shared" si="12"/>
        <v>0</v>
      </c>
      <c r="G201" s="675">
        <v>1</v>
      </c>
      <c r="H201" s="572">
        <f t="shared" si="13"/>
        <v>1</v>
      </c>
    </row>
    <row r="202" spans="6:8">
      <c r="F202" s="571">
        <f t="shared" si="12"/>
        <v>0</v>
      </c>
      <c r="G202" s="675">
        <v>1</v>
      </c>
      <c r="H202" s="572">
        <f t="shared" si="13"/>
        <v>1</v>
      </c>
    </row>
    <row r="203" spans="6:8">
      <c r="F203" s="571">
        <f t="shared" si="12"/>
        <v>0</v>
      </c>
      <c r="G203" s="675">
        <v>1</v>
      </c>
      <c r="H203" s="572">
        <f t="shared" si="13"/>
        <v>1</v>
      </c>
    </row>
    <row r="204" spans="6:8">
      <c r="F204" s="571">
        <f t="shared" si="12"/>
        <v>0</v>
      </c>
      <c r="G204" s="675">
        <v>1</v>
      </c>
      <c r="H204" s="572">
        <f t="shared" si="13"/>
        <v>1</v>
      </c>
    </row>
    <row r="205" spans="6:8">
      <c r="F205" s="571">
        <f t="shared" si="12"/>
        <v>0</v>
      </c>
      <c r="G205" s="675">
        <v>1</v>
      </c>
      <c r="H205" s="572">
        <f t="shared" si="13"/>
        <v>1</v>
      </c>
    </row>
    <row r="206" spans="6:8">
      <c r="F206" s="571">
        <f t="shared" si="12"/>
        <v>0</v>
      </c>
      <c r="G206" s="675">
        <v>1</v>
      </c>
      <c r="H206" s="572">
        <f t="shared" si="13"/>
        <v>1</v>
      </c>
    </row>
    <row r="207" spans="6:8">
      <c r="F207" s="571">
        <f t="shared" si="12"/>
        <v>0</v>
      </c>
      <c r="G207" s="675">
        <v>1</v>
      </c>
      <c r="H207" s="572">
        <f t="shared" si="13"/>
        <v>1</v>
      </c>
    </row>
    <row r="208" spans="6:8">
      <c r="F208" s="571">
        <f t="shared" si="12"/>
        <v>0</v>
      </c>
      <c r="G208" s="675">
        <v>1</v>
      </c>
      <c r="H208" s="572">
        <f t="shared" si="13"/>
        <v>1</v>
      </c>
    </row>
    <row r="209" spans="6:8">
      <c r="F209" s="571">
        <f t="shared" si="12"/>
        <v>0</v>
      </c>
      <c r="G209" s="675">
        <v>1</v>
      </c>
      <c r="H209" s="572">
        <f t="shared" si="13"/>
        <v>1</v>
      </c>
    </row>
    <row r="210" spans="6:8">
      <c r="F210" s="571">
        <f t="shared" si="12"/>
        <v>0</v>
      </c>
      <c r="G210" s="675">
        <v>1</v>
      </c>
      <c r="H210" s="572">
        <f t="shared" si="13"/>
        <v>1</v>
      </c>
    </row>
    <row r="211" spans="6:8">
      <c r="F211" s="571">
        <f t="shared" si="12"/>
        <v>0</v>
      </c>
      <c r="G211" s="675">
        <v>1</v>
      </c>
      <c r="H211" s="572">
        <f t="shared" si="13"/>
        <v>1</v>
      </c>
    </row>
    <row r="212" spans="6:8">
      <c r="F212" s="571">
        <f t="shared" si="12"/>
        <v>0</v>
      </c>
      <c r="G212" s="675">
        <v>1</v>
      </c>
      <c r="H212" s="572">
        <f t="shared" si="13"/>
        <v>1</v>
      </c>
    </row>
    <row r="213" spans="6:8">
      <c r="F213" s="571">
        <f t="shared" si="12"/>
        <v>0</v>
      </c>
      <c r="G213" s="675">
        <v>1</v>
      </c>
      <c r="H213" s="572">
        <f t="shared" si="13"/>
        <v>1</v>
      </c>
    </row>
    <row r="214" spans="6:8">
      <c r="F214" s="571">
        <f t="shared" si="12"/>
        <v>0</v>
      </c>
      <c r="G214" s="675">
        <v>1</v>
      </c>
      <c r="H214" s="572">
        <f t="shared" si="13"/>
        <v>1</v>
      </c>
    </row>
    <row r="215" spans="6:8">
      <c r="F215" s="571">
        <f t="shared" si="12"/>
        <v>0</v>
      </c>
      <c r="G215" s="675">
        <v>1</v>
      </c>
      <c r="H215" s="572">
        <f t="shared" si="13"/>
        <v>1</v>
      </c>
    </row>
    <row r="216" spans="6:8">
      <c r="F216" s="571">
        <f t="shared" si="12"/>
        <v>0</v>
      </c>
      <c r="G216" s="675">
        <v>1</v>
      </c>
      <c r="H216" s="572">
        <f t="shared" si="13"/>
        <v>1</v>
      </c>
    </row>
    <row r="217" spans="6:8">
      <c r="F217" s="571">
        <f t="shared" si="12"/>
        <v>0</v>
      </c>
      <c r="G217" s="675">
        <v>1</v>
      </c>
      <c r="H217" s="572">
        <f t="shared" si="13"/>
        <v>1</v>
      </c>
    </row>
    <row r="218" spans="6:8">
      <c r="F218" s="571">
        <f t="shared" si="12"/>
        <v>0</v>
      </c>
      <c r="G218" s="675">
        <v>1</v>
      </c>
      <c r="H218" s="572">
        <f t="shared" si="13"/>
        <v>1</v>
      </c>
    </row>
    <row r="219" spans="6:8">
      <c r="F219" s="571">
        <f t="shared" si="12"/>
        <v>0</v>
      </c>
      <c r="G219" s="675">
        <v>1</v>
      </c>
      <c r="H219" s="572">
        <f t="shared" si="13"/>
        <v>1</v>
      </c>
    </row>
    <row r="220" spans="6:8">
      <c r="F220" s="571">
        <f t="shared" si="12"/>
        <v>0</v>
      </c>
      <c r="G220" s="675">
        <v>1</v>
      </c>
      <c r="H220" s="572">
        <f t="shared" si="13"/>
        <v>1</v>
      </c>
    </row>
    <row r="221" spans="6:8">
      <c r="F221" s="571">
        <f t="shared" si="12"/>
        <v>0</v>
      </c>
      <c r="G221" s="675">
        <v>1</v>
      </c>
      <c r="H221" s="572">
        <f t="shared" si="13"/>
        <v>1</v>
      </c>
    </row>
    <row r="222" spans="6:8">
      <c r="F222" s="571">
        <f t="shared" si="12"/>
        <v>0</v>
      </c>
      <c r="G222" s="675">
        <v>1</v>
      </c>
      <c r="H222" s="572">
        <f t="shared" si="13"/>
        <v>1</v>
      </c>
    </row>
    <row r="223" spans="6:8">
      <c r="F223" s="571">
        <f t="shared" si="12"/>
        <v>0</v>
      </c>
      <c r="G223" s="675">
        <v>1</v>
      </c>
      <c r="H223" s="572">
        <f t="shared" si="13"/>
        <v>1</v>
      </c>
    </row>
    <row r="224" spans="6:8">
      <c r="F224" s="571">
        <f t="shared" si="12"/>
        <v>0</v>
      </c>
      <c r="G224" s="675">
        <v>1</v>
      </c>
      <c r="H224" s="572">
        <f t="shared" si="13"/>
        <v>1</v>
      </c>
    </row>
    <row r="225" spans="6:8">
      <c r="F225" s="571">
        <f t="shared" si="12"/>
        <v>0</v>
      </c>
      <c r="G225" s="675">
        <v>1</v>
      </c>
      <c r="H225" s="572">
        <f t="shared" si="13"/>
        <v>1</v>
      </c>
    </row>
    <row r="226" spans="6:8">
      <c r="F226" s="571">
        <f t="shared" si="12"/>
        <v>0</v>
      </c>
      <c r="G226" s="675">
        <v>1</v>
      </c>
      <c r="H226" s="572">
        <f t="shared" si="13"/>
        <v>1</v>
      </c>
    </row>
    <row r="227" spans="6:8">
      <c r="F227" s="571">
        <f t="shared" si="12"/>
        <v>0</v>
      </c>
      <c r="G227" s="675">
        <v>1</v>
      </c>
      <c r="H227" s="572">
        <f t="shared" si="13"/>
        <v>1</v>
      </c>
    </row>
    <row r="228" spans="6:8">
      <c r="F228" s="571">
        <f t="shared" si="12"/>
        <v>0</v>
      </c>
      <c r="G228" s="675">
        <v>1</v>
      </c>
      <c r="H228" s="572">
        <f t="shared" si="13"/>
        <v>1</v>
      </c>
    </row>
    <row r="229" spans="6:8">
      <c r="F229" s="571">
        <f t="shared" si="12"/>
        <v>0</v>
      </c>
      <c r="G229" s="675">
        <v>1</v>
      </c>
      <c r="H229" s="572">
        <f t="shared" si="13"/>
        <v>1</v>
      </c>
    </row>
    <row r="230" spans="6:8">
      <c r="F230" s="571">
        <f t="shared" si="12"/>
        <v>0</v>
      </c>
      <c r="G230" s="675">
        <v>1</v>
      </c>
      <c r="H230" s="572">
        <f t="shared" si="13"/>
        <v>1</v>
      </c>
    </row>
    <row r="231" spans="6:8">
      <c r="F231" s="571">
        <f t="shared" si="12"/>
        <v>0</v>
      </c>
      <c r="G231" s="675">
        <v>1</v>
      </c>
      <c r="H231" s="572">
        <f t="shared" si="13"/>
        <v>1</v>
      </c>
    </row>
    <row r="232" spans="6:8">
      <c r="F232" s="571">
        <f t="shared" si="12"/>
        <v>0</v>
      </c>
      <c r="G232" s="675">
        <v>1</v>
      </c>
      <c r="H232" s="572">
        <f t="shared" si="13"/>
        <v>1</v>
      </c>
    </row>
    <row r="233" spans="6:8">
      <c r="F233" s="571">
        <f t="shared" si="12"/>
        <v>0</v>
      </c>
      <c r="G233" s="675">
        <v>1</v>
      </c>
      <c r="H233" s="572">
        <f t="shared" si="13"/>
        <v>1</v>
      </c>
    </row>
    <row r="234" spans="6:8">
      <c r="F234" s="571">
        <f t="shared" si="12"/>
        <v>0</v>
      </c>
      <c r="G234" s="675">
        <v>1</v>
      </c>
      <c r="H234" s="572">
        <f t="shared" si="13"/>
        <v>1</v>
      </c>
    </row>
    <row r="235" spans="6:8">
      <c r="F235" s="571">
        <f t="shared" si="12"/>
        <v>0</v>
      </c>
      <c r="G235" s="675">
        <v>1</v>
      </c>
      <c r="H235" s="572">
        <f t="shared" si="13"/>
        <v>1</v>
      </c>
    </row>
    <row r="236" spans="6:8">
      <c r="F236" s="571">
        <f t="shared" si="12"/>
        <v>0</v>
      </c>
      <c r="G236" s="675">
        <v>1</v>
      </c>
      <c r="H236" s="572">
        <f t="shared" si="13"/>
        <v>1</v>
      </c>
    </row>
    <row r="237" spans="6:8">
      <c r="F237" s="571">
        <f t="shared" si="12"/>
        <v>0</v>
      </c>
      <c r="G237" s="675">
        <v>1</v>
      </c>
      <c r="H237" s="572">
        <f t="shared" si="13"/>
        <v>1</v>
      </c>
    </row>
    <row r="238" spans="6:8">
      <c r="F238" s="571">
        <f t="shared" si="12"/>
        <v>0</v>
      </c>
      <c r="G238" s="675">
        <v>1</v>
      </c>
      <c r="H238" s="572">
        <f t="shared" si="13"/>
        <v>1</v>
      </c>
    </row>
    <row r="239" spans="6:8">
      <c r="F239" s="571">
        <f t="shared" si="12"/>
        <v>0</v>
      </c>
      <c r="G239" s="675">
        <v>1</v>
      </c>
      <c r="H239" s="572">
        <f t="shared" si="13"/>
        <v>1</v>
      </c>
    </row>
    <row r="240" spans="6:8">
      <c r="F240" s="571">
        <f t="shared" si="12"/>
        <v>0</v>
      </c>
      <c r="G240" s="675">
        <v>1</v>
      </c>
      <c r="H240" s="572">
        <f t="shared" si="13"/>
        <v>1</v>
      </c>
    </row>
    <row r="241" spans="6:8">
      <c r="F241" s="571">
        <f t="shared" si="12"/>
        <v>0</v>
      </c>
      <c r="G241" s="675">
        <v>1</v>
      </c>
      <c r="H241" s="572">
        <f t="shared" si="13"/>
        <v>1</v>
      </c>
    </row>
    <row r="242" spans="6:8">
      <c r="F242" s="571">
        <f t="shared" si="12"/>
        <v>0</v>
      </c>
      <c r="G242" s="675">
        <v>1</v>
      </c>
      <c r="H242" s="572">
        <f t="shared" si="13"/>
        <v>1</v>
      </c>
    </row>
    <row r="243" spans="6:8">
      <c r="F243" s="571">
        <f t="shared" si="12"/>
        <v>0</v>
      </c>
      <c r="G243" s="675">
        <v>1</v>
      </c>
      <c r="H243" s="572">
        <f t="shared" si="13"/>
        <v>1</v>
      </c>
    </row>
    <row r="244" spans="6:8">
      <c r="F244" s="571">
        <f t="shared" si="12"/>
        <v>0</v>
      </c>
      <c r="G244" s="675">
        <v>1</v>
      </c>
      <c r="H244" s="572">
        <f t="shared" si="13"/>
        <v>1</v>
      </c>
    </row>
    <row r="245" spans="6:8">
      <c r="F245" s="571">
        <f t="shared" si="12"/>
        <v>0</v>
      </c>
      <c r="G245" s="675">
        <v>1</v>
      </c>
      <c r="H245" s="572">
        <f t="shared" si="13"/>
        <v>1</v>
      </c>
    </row>
    <row r="246" spans="6:8">
      <c r="F246" s="571">
        <f t="shared" si="12"/>
        <v>0</v>
      </c>
      <c r="G246" s="675">
        <v>1</v>
      </c>
      <c r="H246" s="572">
        <f t="shared" si="13"/>
        <v>1</v>
      </c>
    </row>
    <row r="247" spans="6:8">
      <c r="F247" s="571">
        <f t="shared" si="12"/>
        <v>0</v>
      </c>
      <c r="G247" s="675">
        <v>1</v>
      </c>
      <c r="H247" s="572">
        <f t="shared" si="13"/>
        <v>1</v>
      </c>
    </row>
    <row r="248" spans="6:8">
      <c r="F248" s="571">
        <f t="shared" si="12"/>
        <v>0</v>
      </c>
      <c r="G248" s="675">
        <v>1</v>
      </c>
      <c r="H248" s="572">
        <f t="shared" si="13"/>
        <v>1</v>
      </c>
    </row>
    <row r="249" spans="6:8">
      <c r="F249" s="571">
        <f t="shared" si="12"/>
        <v>0</v>
      </c>
      <c r="G249" s="675">
        <v>1</v>
      </c>
      <c r="H249" s="572">
        <f t="shared" si="13"/>
        <v>1</v>
      </c>
    </row>
    <row r="250" spans="6:8">
      <c r="F250" s="571">
        <f t="shared" si="12"/>
        <v>0</v>
      </c>
      <c r="G250" s="675">
        <v>1</v>
      </c>
      <c r="H250" s="572">
        <f t="shared" si="13"/>
        <v>1</v>
      </c>
    </row>
    <row r="251" spans="6:8">
      <c r="F251" s="571">
        <f t="shared" si="12"/>
        <v>0</v>
      </c>
      <c r="G251" s="675">
        <v>1</v>
      </c>
      <c r="H251" s="572">
        <f t="shared" si="13"/>
        <v>1</v>
      </c>
    </row>
    <row r="252" spans="6:8">
      <c r="F252" s="571">
        <f t="shared" si="12"/>
        <v>0</v>
      </c>
      <c r="G252" s="675">
        <v>1</v>
      </c>
      <c r="H252" s="572">
        <f t="shared" si="13"/>
        <v>1</v>
      </c>
    </row>
    <row r="253" spans="6:8">
      <c r="F253" s="571">
        <f t="shared" si="12"/>
        <v>0</v>
      </c>
      <c r="G253" s="675">
        <v>1</v>
      </c>
      <c r="H253" s="572">
        <f t="shared" si="13"/>
        <v>1</v>
      </c>
    </row>
    <row r="254" spans="6:8">
      <c r="F254" s="571">
        <f t="shared" si="12"/>
        <v>0</v>
      </c>
      <c r="G254" s="675">
        <v>1</v>
      </c>
      <c r="H254" s="572">
        <f t="shared" si="13"/>
        <v>1</v>
      </c>
    </row>
    <row r="255" spans="6:8">
      <c r="F255" s="571">
        <f t="shared" si="12"/>
        <v>0</v>
      </c>
      <c r="G255" s="675">
        <v>1</v>
      </c>
      <c r="H255" s="572">
        <f t="shared" si="13"/>
        <v>1</v>
      </c>
    </row>
    <row r="256" spans="6:8">
      <c r="F256" s="571">
        <f t="shared" si="12"/>
        <v>0</v>
      </c>
      <c r="G256" s="675">
        <v>1</v>
      </c>
      <c r="H256" s="572">
        <f t="shared" si="13"/>
        <v>1</v>
      </c>
    </row>
    <row r="257" spans="6:8">
      <c r="F257" s="571">
        <f t="shared" si="12"/>
        <v>0</v>
      </c>
      <c r="G257" s="675">
        <v>1</v>
      </c>
      <c r="H257" s="572">
        <f t="shared" si="13"/>
        <v>1</v>
      </c>
    </row>
    <row r="258" spans="6:8">
      <c r="F258" s="571">
        <f t="shared" ref="F258:F321" si="14">SUM(I258*G258)</f>
        <v>0</v>
      </c>
      <c r="G258" s="675">
        <v>1</v>
      </c>
      <c r="H258" s="572">
        <f t="shared" ref="H258:H321" si="15">IF(E258="",1,0)</f>
        <v>1</v>
      </c>
    </row>
    <row r="259" spans="6:8">
      <c r="F259" s="571">
        <f t="shared" si="14"/>
        <v>0</v>
      </c>
      <c r="G259" s="675">
        <v>1</v>
      </c>
      <c r="H259" s="572">
        <f t="shared" si="15"/>
        <v>1</v>
      </c>
    </row>
    <row r="260" spans="6:8">
      <c r="F260" s="571">
        <f t="shared" si="14"/>
        <v>0</v>
      </c>
      <c r="G260" s="675">
        <v>1</v>
      </c>
      <c r="H260" s="572">
        <f t="shared" si="15"/>
        <v>1</v>
      </c>
    </row>
    <row r="261" spans="6:8">
      <c r="F261" s="571">
        <f t="shared" si="14"/>
        <v>0</v>
      </c>
      <c r="G261" s="675">
        <v>1</v>
      </c>
      <c r="H261" s="572">
        <f t="shared" si="15"/>
        <v>1</v>
      </c>
    </row>
    <row r="262" spans="6:8">
      <c r="F262" s="571">
        <f t="shared" si="14"/>
        <v>0</v>
      </c>
      <c r="G262" s="675">
        <v>1</v>
      </c>
      <c r="H262" s="572">
        <f t="shared" si="15"/>
        <v>1</v>
      </c>
    </row>
    <row r="263" spans="6:8">
      <c r="F263" s="571">
        <f t="shared" si="14"/>
        <v>0</v>
      </c>
      <c r="G263" s="675">
        <v>1</v>
      </c>
      <c r="H263" s="572">
        <f t="shared" si="15"/>
        <v>1</v>
      </c>
    </row>
    <row r="264" spans="6:8">
      <c r="F264" s="571">
        <f t="shared" si="14"/>
        <v>0</v>
      </c>
      <c r="G264" s="675">
        <v>1</v>
      </c>
      <c r="H264" s="572">
        <f t="shared" si="15"/>
        <v>1</v>
      </c>
    </row>
    <row r="265" spans="6:8">
      <c r="F265" s="571">
        <f t="shared" si="14"/>
        <v>0</v>
      </c>
      <c r="G265" s="675">
        <v>1</v>
      </c>
      <c r="H265" s="572">
        <f t="shared" si="15"/>
        <v>1</v>
      </c>
    </row>
    <row r="266" spans="6:8">
      <c r="F266" s="571">
        <f t="shared" si="14"/>
        <v>0</v>
      </c>
      <c r="G266" s="675">
        <v>1</v>
      </c>
      <c r="H266" s="572">
        <f t="shared" si="15"/>
        <v>1</v>
      </c>
    </row>
    <row r="267" spans="6:8">
      <c r="F267" s="571">
        <f t="shared" si="14"/>
        <v>0</v>
      </c>
      <c r="G267" s="675">
        <v>1</v>
      </c>
      <c r="H267" s="572">
        <f t="shared" si="15"/>
        <v>1</v>
      </c>
    </row>
    <row r="268" spans="6:8">
      <c r="F268" s="571">
        <f t="shared" si="14"/>
        <v>0</v>
      </c>
      <c r="G268" s="675">
        <v>1</v>
      </c>
      <c r="H268" s="572">
        <f t="shared" si="15"/>
        <v>1</v>
      </c>
    </row>
    <row r="269" spans="6:8">
      <c r="F269" s="571">
        <f t="shared" si="14"/>
        <v>0</v>
      </c>
      <c r="G269" s="675">
        <v>1</v>
      </c>
      <c r="H269" s="572">
        <f t="shared" si="15"/>
        <v>1</v>
      </c>
    </row>
    <row r="270" spans="6:8">
      <c r="F270" s="571">
        <f t="shared" si="14"/>
        <v>0</v>
      </c>
      <c r="G270" s="675">
        <v>1</v>
      </c>
      <c r="H270" s="572">
        <f t="shared" si="15"/>
        <v>1</v>
      </c>
    </row>
    <row r="271" spans="6:8">
      <c r="F271" s="571">
        <f t="shared" si="14"/>
        <v>0</v>
      </c>
      <c r="G271" s="675">
        <v>1</v>
      </c>
      <c r="H271" s="572">
        <f t="shared" si="15"/>
        <v>1</v>
      </c>
    </row>
    <row r="272" spans="6:8">
      <c r="F272" s="571">
        <f t="shared" si="14"/>
        <v>0</v>
      </c>
      <c r="G272" s="675">
        <v>1</v>
      </c>
      <c r="H272" s="572">
        <f t="shared" si="15"/>
        <v>1</v>
      </c>
    </row>
    <row r="273" spans="6:8">
      <c r="F273" s="571">
        <f t="shared" si="14"/>
        <v>0</v>
      </c>
      <c r="G273" s="675">
        <v>1</v>
      </c>
      <c r="H273" s="572">
        <f t="shared" si="15"/>
        <v>1</v>
      </c>
    </row>
    <row r="274" spans="6:8">
      <c r="F274" s="571">
        <f t="shared" si="14"/>
        <v>0</v>
      </c>
      <c r="G274" s="675">
        <v>1</v>
      </c>
      <c r="H274" s="572">
        <f t="shared" si="15"/>
        <v>1</v>
      </c>
    </row>
    <row r="275" spans="6:8">
      <c r="F275" s="571">
        <f t="shared" si="14"/>
        <v>0</v>
      </c>
      <c r="G275" s="675">
        <v>1</v>
      </c>
      <c r="H275" s="572">
        <f t="shared" si="15"/>
        <v>1</v>
      </c>
    </row>
    <row r="276" spans="6:8">
      <c r="F276" s="571">
        <f t="shared" si="14"/>
        <v>0</v>
      </c>
      <c r="G276" s="675">
        <v>1</v>
      </c>
      <c r="H276" s="572">
        <f t="shared" si="15"/>
        <v>1</v>
      </c>
    </row>
    <row r="277" spans="6:8">
      <c r="F277" s="571">
        <f t="shared" si="14"/>
        <v>0</v>
      </c>
      <c r="G277" s="675">
        <v>1</v>
      </c>
      <c r="H277" s="572">
        <f t="shared" si="15"/>
        <v>1</v>
      </c>
    </row>
    <row r="278" spans="6:8">
      <c r="F278" s="571">
        <f t="shared" si="14"/>
        <v>0</v>
      </c>
      <c r="G278" s="675">
        <v>1</v>
      </c>
      <c r="H278" s="572">
        <f t="shared" si="15"/>
        <v>1</v>
      </c>
    </row>
    <row r="279" spans="6:8">
      <c r="F279" s="571">
        <f t="shared" si="14"/>
        <v>0</v>
      </c>
      <c r="G279" s="675">
        <v>1</v>
      </c>
      <c r="H279" s="572">
        <f t="shared" si="15"/>
        <v>1</v>
      </c>
    </row>
    <row r="280" spans="6:8">
      <c r="F280" s="571">
        <f t="shared" si="14"/>
        <v>0</v>
      </c>
      <c r="G280" s="675">
        <v>1</v>
      </c>
      <c r="H280" s="572">
        <f t="shared" si="15"/>
        <v>1</v>
      </c>
    </row>
    <row r="281" spans="6:8">
      <c r="F281" s="571">
        <f t="shared" si="14"/>
        <v>0</v>
      </c>
      <c r="G281" s="675">
        <v>1</v>
      </c>
      <c r="H281" s="572">
        <f t="shared" si="15"/>
        <v>1</v>
      </c>
    </row>
    <row r="282" spans="6:8">
      <c r="F282" s="571">
        <f t="shared" si="14"/>
        <v>0</v>
      </c>
      <c r="G282" s="675">
        <v>1</v>
      </c>
      <c r="H282" s="572">
        <f t="shared" si="15"/>
        <v>1</v>
      </c>
    </row>
    <row r="283" spans="6:8">
      <c r="F283" s="571">
        <f t="shared" si="14"/>
        <v>0</v>
      </c>
      <c r="G283" s="675">
        <v>1</v>
      </c>
      <c r="H283" s="572">
        <f t="shared" si="15"/>
        <v>1</v>
      </c>
    </row>
    <row r="284" spans="6:8">
      <c r="F284" s="571">
        <f t="shared" si="14"/>
        <v>0</v>
      </c>
      <c r="G284" s="675">
        <v>1</v>
      </c>
      <c r="H284" s="572">
        <f t="shared" si="15"/>
        <v>1</v>
      </c>
    </row>
    <row r="285" spans="6:8">
      <c r="F285" s="571">
        <f t="shared" si="14"/>
        <v>0</v>
      </c>
      <c r="G285" s="675">
        <v>1</v>
      </c>
      <c r="H285" s="572">
        <f t="shared" si="15"/>
        <v>1</v>
      </c>
    </row>
    <row r="286" spans="6:8">
      <c r="F286" s="571">
        <f t="shared" si="14"/>
        <v>0</v>
      </c>
      <c r="G286" s="675">
        <v>1</v>
      </c>
      <c r="H286" s="572">
        <f t="shared" si="15"/>
        <v>1</v>
      </c>
    </row>
    <row r="287" spans="6:8">
      <c r="F287" s="571">
        <f t="shared" si="14"/>
        <v>0</v>
      </c>
      <c r="G287" s="675">
        <v>1</v>
      </c>
      <c r="H287" s="572">
        <f t="shared" si="15"/>
        <v>1</v>
      </c>
    </row>
    <row r="288" spans="6:8">
      <c r="F288" s="571">
        <f t="shared" si="14"/>
        <v>0</v>
      </c>
      <c r="G288" s="675">
        <v>1</v>
      </c>
      <c r="H288" s="572">
        <f t="shared" si="15"/>
        <v>1</v>
      </c>
    </row>
    <row r="289" spans="6:8">
      <c r="F289" s="571">
        <f t="shared" si="14"/>
        <v>0</v>
      </c>
      <c r="G289" s="675">
        <v>1</v>
      </c>
      <c r="H289" s="572">
        <f t="shared" si="15"/>
        <v>1</v>
      </c>
    </row>
    <row r="290" spans="6:8">
      <c r="F290" s="571">
        <f t="shared" si="14"/>
        <v>0</v>
      </c>
      <c r="G290" s="675">
        <v>1</v>
      </c>
      <c r="H290" s="572">
        <f t="shared" si="15"/>
        <v>1</v>
      </c>
    </row>
    <row r="291" spans="6:8">
      <c r="F291" s="571">
        <f t="shared" si="14"/>
        <v>0</v>
      </c>
      <c r="G291" s="675">
        <v>1</v>
      </c>
      <c r="H291" s="572">
        <f t="shared" si="15"/>
        <v>1</v>
      </c>
    </row>
    <row r="292" spans="6:8">
      <c r="F292" s="571">
        <f t="shared" si="14"/>
        <v>0</v>
      </c>
      <c r="G292" s="675">
        <v>1</v>
      </c>
      <c r="H292" s="572">
        <f t="shared" si="15"/>
        <v>1</v>
      </c>
    </row>
    <row r="293" spans="6:8">
      <c r="F293" s="571">
        <f t="shared" si="14"/>
        <v>0</v>
      </c>
      <c r="G293" s="675">
        <v>1</v>
      </c>
      <c r="H293" s="572">
        <f t="shared" si="15"/>
        <v>1</v>
      </c>
    </row>
    <row r="294" spans="6:8">
      <c r="F294" s="571">
        <f t="shared" si="14"/>
        <v>0</v>
      </c>
      <c r="G294" s="675">
        <v>1</v>
      </c>
      <c r="H294" s="572">
        <f t="shared" si="15"/>
        <v>1</v>
      </c>
    </row>
    <row r="295" spans="6:8">
      <c r="F295" s="571">
        <f t="shared" si="14"/>
        <v>0</v>
      </c>
      <c r="G295" s="675">
        <v>1</v>
      </c>
      <c r="H295" s="572">
        <f t="shared" si="15"/>
        <v>1</v>
      </c>
    </row>
    <row r="296" spans="6:8">
      <c r="F296" s="571">
        <f t="shared" si="14"/>
        <v>0</v>
      </c>
      <c r="G296" s="675">
        <v>1</v>
      </c>
      <c r="H296" s="572">
        <f t="shared" si="15"/>
        <v>1</v>
      </c>
    </row>
    <row r="297" spans="6:8">
      <c r="F297" s="571">
        <f t="shared" si="14"/>
        <v>0</v>
      </c>
      <c r="G297" s="675">
        <v>1</v>
      </c>
      <c r="H297" s="572">
        <f t="shared" si="15"/>
        <v>1</v>
      </c>
    </row>
    <row r="298" spans="6:8">
      <c r="F298" s="571">
        <f t="shared" si="14"/>
        <v>0</v>
      </c>
      <c r="G298" s="675">
        <v>1</v>
      </c>
      <c r="H298" s="572">
        <f t="shared" si="15"/>
        <v>1</v>
      </c>
    </row>
    <row r="299" spans="6:8">
      <c r="F299" s="571">
        <f t="shared" si="14"/>
        <v>0</v>
      </c>
      <c r="G299" s="675">
        <v>1</v>
      </c>
      <c r="H299" s="572">
        <f t="shared" si="15"/>
        <v>1</v>
      </c>
    </row>
    <row r="300" spans="6:8">
      <c r="F300" s="571">
        <f t="shared" si="14"/>
        <v>0</v>
      </c>
      <c r="G300" s="675">
        <v>1</v>
      </c>
      <c r="H300" s="572">
        <f t="shared" si="15"/>
        <v>1</v>
      </c>
    </row>
    <row r="301" spans="6:8">
      <c r="F301" s="571">
        <f t="shared" si="14"/>
        <v>0</v>
      </c>
      <c r="G301" s="675">
        <v>1</v>
      </c>
      <c r="H301" s="572">
        <f t="shared" si="15"/>
        <v>1</v>
      </c>
    </row>
    <row r="302" spans="6:8">
      <c r="F302" s="571">
        <f t="shared" si="14"/>
        <v>0</v>
      </c>
      <c r="G302" s="675">
        <v>1</v>
      </c>
      <c r="H302" s="572">
        <f t="shared" si="15"/>
        <v>1</v>
      </c>
    </row>
    <row r="303" spans="6:8">
      <c r="F303" s="571">
        <f t="shared" si="14"/>
        <v>0</v>
      </c>
      <c r="G303" s="675">
        <v>1</v>
      </c>
      <c r="H303" s="572">
        <f t="shared" si="15"/>
        <v>1</v>
      </c>
    </row>
    <row r="304" spans="6:8">
      <c r="F304" s="571">
        <f t="shared" si="14"/>
        <v>0</v>
      </c>
      <c r="G304" s="675">
        <v>1</v>
      </c>
      <c r="H304" s="572">
        <f t="shared" si="15"/>
        <v>1</v>
      </c>
    </row>
    <row r="305" spans="6:8">
      <c r="F305" s="571">
        <f t="shared" si="14"/>
        <v>0</v>
      </c>
      <c r="G305" s="675">
        <v>1</v>
      </c>
      <c r="H305" s="572">
        <f t="shared" si="15"/>
        <v>1</v>
      </c>
    </row>
    <row r="306" spans="6:8">
      <c r="F306" s="571">
        <f t="shared" si="14"/>
        <v>0</v>
      </c>
      <c r="G306" s="675">
        <v>1</v>
      </c>
      <c r="H306" s="572">
        <f t="shared" si="15"/>
        <v>1</v>
      </c>
    </row>
    <row r="307" spans="6:8">
      <c r="F307" s="571">
        <f t="shared" si="14"/>
        <v>0</v>
      </c>
      <c r="G307" s="675">
        <v>1</v>
      </c>
      <c r="H307" s="572">
        <f t="shared" si="15"/>
        <v>1</v>
      </c>
    </row>
    <row r="308" spans="6:8">
      <c r="F308" s="571">
        <f t="shared" si="14"/>
        <v>0</v>
      </c>
      <c r="G308" s="675">
        <v>1</v>
      </c>
      <c r="H308" s="572">
        <f t="shared" si="15"/>
        <v>1</v>
      </c>
    </row>
    <row r="309" spans="6:8">
      <c r="F309" s="571">
        <f t="shared" si="14"/>
        <v>0</v>
      </c>
      <c r="G309" s="675">
        <v>1</v>
      </c>
      <c r="H309" s="572">
        <f t="shared" si="15"/>
        <v>1</v>
      </c>
    </row>
    <row r="310" spans="6:8">
      <c r="F310" s="571">
        <f t="shared" si="14"/>
        <v>0</v>
      </c>
      <c r="G310" s="675">
        <v>1</v>
      </c>
      <c r="H310" s="572">
        <f t="shared" si="15"/>
        <v>1</v>
      </c>
    </row>
    <row r="311" spans="6:8">
      <c r="F311" s="571">
        <f t="shared" si="14"/>
        <v>0</v>
      </c>
      <c r="G311" s="675">
        <v>1</v>
      </c>
      <c r="H311" s="572">
        <f t="shared" si="15"/>
        <v>1</v>
      </c>
    </row>
    <row r="312" spans="6:8">
      <c r="F312" s="571">
        <f t="shared" si="14"/>
        <v>0</v>
      </c>
      <c r="G312" s="675">
        <v>1</v>
      </c>
      <c r="H312" s="572">
        <f t="shared" si="15"/>
        <v>1</v>
      </c>
    </row>
    <row r="313" spans="6:8">
      <c r="F313" s="571">
        <f t="shared" si="14"/>
        <v>0</v>
      </c>
      <c r="G313" s="675">
        <v>1</v>
      </c>
      <c r="H313" s="572">
        <f t="shared" si="15"/>
        <v>1</v>
      </c>
    </row>
    <row r="314" spans="6:8">
      <c r="F314" s="571">
        <f t="shared" si="14"/>
        <v>0</v>
      </c>
      <c r="G314" s="675">
        <v>1</v>
      </c>
      <c r="H314" s="572">
        <f t="shared" si="15"/>
        <v>1</v>
      </c>
    </row>
    <row r="315" spans="6:8">
      <c r="F315" s="571">
        <f t="shared" si="14"/>
        <v>0</v>
      </c>
      <c r="G315" s="675">
        <v>1</v>
      </c>
      <c r="H315" s="572">
        <f t="shared" si="15"/>
        <v>1</v>
      </c>
    </row>
    <row r="316" spans="6:8">
      <c r="F316" s="571">
        <f t="shared" si="14"/>
        <v>0</v>
      </c>
      <c r="G316" s="675">
        <v>1</v>
      </c>
      <c r="H316" s="572">
        <f t="shared" si="15"/>
        <v>1</v>
      </c>
    </row>
    <row r="317" spans="6:8">
      <c r="F317" s="571">
        <f t="shared" si="14"/>
        <v>0</v>
      </c>
      <c r="G317" s="675">
        <v>1</v>
      </c>
      <c r="H317" s="572">
        <f t="shared" si="15"/>
        <v>1</v>
      </c>
    </row>
    <row r="318" spans="6:8">
      <c r="F318" s="571">
        <f t="shared" si="14"/>
        <v>0</v>
      </c>
      <c r="G318" s="675">
        <v>1</v>
      </c>
      <c r="H318" s="572">
        <f t="shared" si="15"/>
        <v>1</v>
      </c>
    </row>
    <row r="319" spans="6:8">
      <c r="F319" s="571">
        <f t="shared" si="14"/>
        <v>0</v>
      </c>
      <c r="G319" s="675">
        <v>1</v>
      </c>
      <c r="H319" s="572">
        <f t="shared" si="15"/>
        <v>1</v>
      </c>
    </row>
    <row r="320" spans="6:8">
      <c r="F320" s="571">
        <f t="shared" si="14"/>
        <v>0</v>
      </c>
      <c r="G320" s="675">
        <v>1</v>
      </c>
      <c r="H320" s="572">
        <f t="shared" si="15"/>
        <v>1</v>
      </c>
    </row>
    <row r="321" spans="6:8">
      <c r="F321" s="571">
        <f t="shared" si="14"/>
        <v>0</v>
      </c>
      <c r="G321" s="675">
        <v>1</v>
      </c>
      <c r="H321" s="572">
        <f t="shared" si="15"/>
        <v>1</v>
      </c>
    </row>
    <row r="322" spans="6:8">
      <c r="F322" s="571">
        <f t="shared" ref="F322:F385" si="16">SUM(I322*G322)</f>
        <v>0</v>
      </c>
      <c r="G322" s="675">
        <v>1</v>
      </c>
      <c r="H322" s="572">
        <f t="shared" ref="H322:H385" si="17">IF(E322="",1,0)</f>
        <v>1</v>
      </c>
    </row>
    <row r="323" spans="6:8">
      <c r="F323" s="571">
        <f t="shared" si="16"/>
        <v>0</v>
      </c>
      <c r="G323" s="675">
        <v>1</v>
      </c>
      <c r="H323" s="572">
        <f t="shared" si="17"/>
        <v>1</v>
      </c>
    </row>
    <row r="324" spans="6:8">
      <c r="F324" s="571">
        <f t="shared" si="16"/>
        <v>0</v>
      </c>
      <c r="G324" s="675">
        <v>1</v>
      </c>
      <c r="H324" s="572">
        <f t="shared" si="17"/>
        <v>1</v>
      </c>
    </row>
    <row r="325" spans="6:8">
      <c r="F325" s="571">
        <f t="shared" si="16"/>
        <v>0</v>
      </c>
      <c r="G325" s="675">
        <v>1</v>
      </c>
      <c r="H325" s="572">
        <f t="shared" si="17"/>
        <v>1</v>
      </c>
    </row>
    <row r="326" spans="6:8">
      <c r="F326" s="571">
        <f t="shared" si="16"/>
        <v>0</v>
      </c>
      <c r="G326" s="675">
        <v>1</v>
      </c>
      <c r="H326" s="572">
        <f t="shared" si="17"/>
        <v>1</v>
      </c>
    </row>
    <row r="327" spans="6:8">
      <c r="F327" s="571">
        <f t="shared" si="16"/>
        <v>0</v>
      </c>
      <c r="G327" s="675">
        <v>1</v>
      </c>
      <c r="H327" s="572">
        <f t="shared" si="17"/>
        <v>1</v>
      </c>
    </row>
    <row r="328" spans="6:8">
      <c r="F328" s="571">
        <f t="shared" si="16"/>
        <v>0</v>
      </c>
      <c r="G328" s="675">
        <v>1</v>
      </c>
      <c r="H328" s="572">
        <f t="shared" si="17"/>
        <v>1</v>
      </c>
    </row>
    <row r="329" spans="6:8">
      <c r="F329" s="571">
        <f t="shared" si="16"/>
        <v>0</v>
      </c>
      <c r="G329" s="675">
        <v>1</v>
      </c>
      <c r="H329" s="572">
        <f t="shared" si="17"/>
        <v>1</v>
      </c>
    </row>
    <row r="330" spans="6:8">
      <c r="F330" s="571">
        <f t="shared" si="16"/>
        <v>0</v>
      </c>
      <c r="G330" s="675">
        <v>1</v>
      </c>
      <c r="H330" s="572">
        <f t="shared" si="17"/>
        <v>1</v>
      </c>
    </row>
    <row r="331" spans="6:8">
      <c r="F331" s="571">
        <f t="shared" si="16"/>
        <v>0</v>
      </c>
      <c r="G331" s="675">
        <v>1</v>
      </c>
      <c r="H331" s="572">
        <f t="shared" si="17"/>
        <v>1</v>
      </c>
    </row>
    <row r="332" spans="6:8">
      <c r="F332" s="571">
        <f t="shared" si="16"/>
        <v>0</v>
      </c>
      <c r="G332" s="675">
        <v>1</v>
      </c>
      <c r="H332" s="572">
        <f t="shared" si="17"/>
        <v>1</v>
      </c>
    </row>
    <row r="333" spans="6:8">
      <c r="F333" s="571">
        <f t="shared" si="16"/>
        <v>0</v>
      </c>
      <c r="G333" s="675">
        <v>1</v>
      </c>
      <c r="H333" s="572">
        <f t="shared" si="17"/>
        <v>1</v>
      </c>
    </row>
    <row r="334" spans="6:8">
      <c r="F334" s="571">
        <f t="shared" si="16"/>
        <v>0</v>
      </c>
      <c r="G334" s="675">
        <v>1</v>
      </c>
      <c r="H334" s="572">
        <f t="shared" si="17"/>
        <v>1</v>
      </c>
    </row>
    <row r="335" spans="6:8">
      <c r="F335" s="571">
        <f t="shared" si="16"/>
        <v>0</v>
      </c>
      <c r="G335" s="675">
        <v>1</v>
      </c>
      <c r="H335" s="572">
        <f t="shared" si="17"/>
        <v>1</v>
      </c>
    </row>
    <row r="336" spans="6:8">
      <c r="F336" s="571">
        <f t="shared" si="16"/>
        <v>0</v>
      </c>
      <c r="G336" s="675">
        <v>1</v>
      </c>
      <c r="H336" s="572">
        <f t="shared" si="17"/>
        <v>1</v>
      </c>
    </row>
    <row r="337" spans="6:8">
      <c r="F337" s="571">
        <f t="shared" si="16"/>
        <v>0</v>
      </c>
      <c r="G337" s="675">
        <v>1</v>
      </c>
      <c r="H337" s="572">
        <f t="shared" si="17"/>
        <v>1</v>
      </c>
    </row>
    <row r="338" spans="6:8">
      <c r="F338" s="571">
        <f t="shared" si="16"/>
        <v>0</v>
      </c>
      <c r="G338" s="675">
        <v>1</v>
      </c>
      <c r="H338" s="572">
        <f t="shared" si="17"/>
        <v>1</v>
      </c>
    </row>
    <row r="339" spans="6:8">
      <c r="F339" s="571">
        <f t="shared" si="16"/>
        <v>0</v>
      </c>
      <c r="G339" s="675">
        <v>1</v>
      </c>
      <c r="H339" s="572">
        <f t="shared" si="17"/>
        <v>1</v>
      </c>
    </row>
    <row r="340" spans="6:8">
      <c r="F340" s="571">
        <f t="shared" si="16"/>
        <v>0</v>
      </c>
      <c r="G340" s="675">
        <v>1</v>
      </c>
      <c r="H340" s="572">
        <f t="shared" si="17"/>
        <v>1</v>
      </c>
    </row>
    <row r="341" spans="6:8">
      <c r="F341" s="571">
        <f t="shared" si="16"/>
        <v>0</v>
      </c>
      <c r="G341" s="675">
        <v>1</v>
      </c>
      <c r="H341" s="572">
        <f t="shared" si="17"/>
        <v>1</v>
      </c>
    </row>
    <row r="342" spans="6:8">
      <c r="F342" s="571">
        <f t="shared" si="16"/>
        <v>0</v>
      </c>
      <c r="G342" s="675">
        <v>1</v>
      </c>
      <c r="H342" s="572">
        <f t="shared" si="17"/>
        <v>1</v>
      </c>
    </row>
    <row r="343" spans="6:8">
      <c r="F343" s="571">
        <f t="shared" si="16"/>
        <v>0</v>
      </c>
      <c r="G343" s="675">
        <v>1</v>
      </c>
      <c r="H343" s="572">
        <f t="shared" si="17"/>
        <v>1</v>
      </c>
    </row>
    <row r="344" spans="6:8">
      <c r="F344" s="571">
        <f t="shared" si="16"/>
        <v>0</v>
      </c>
      <c r="G344" s="675">
        <v>1</v>
      </c>
      <c r="H344" s="572">
        <f t="shared" si="17"/>
        <v>1</v>
      </c>
    </row>
    <row r="345" spans="6:8">
      <c r="F345" s="571">
        <f t="shared" si="16"/>
        <v>0</v>
      </c>
      <c r="G345" s="675">
        <v>1</v>
      </c>
      <c r="H345" s="572">
        <f t="shared" si="17"/>
        <v>1</v>
      </c>
    </row>
    <row r="346" spans="6:8">
      <c r="F346" s="571">
        <f t="shared" si="16"/>
        <v>0</v>
      </c>
      <c r="G346" s="675">
        <v>1</v>
      </c>
      <c r="H346" s="572">
        <f t="shared" si="17"/>
        <v>1</v>
      </c>
    </row>
    <row r="347" spans="6:8">
      <c r="F347" s="571">
        <f t="shared" si="16"/>
        <v>0</v>
      </c>
      <c r="G347" s="675">
        <v>1</v>
      </c>
      <c r="H347" s="572">
        <f t="shared" si="17"/>
        <v>1</v>
      </c>
    </row>
    <row r="348" spans="6:8">
      <c r="F348" s="571">
        <f t="shared" si="16"/>
        <v>0</v>
      </c>
      <c r="G348" s="675">
        <v>1</v>
      </c>
      <c r="H348" s="572">
        <f t="shared" si="17"/>
        <v>1</v>
      </c>
    </row>
    <row r="349" spans="6:8">
      <c r="F349" s="571">
        <f t="shared" si="16"/>
        <v>0</v>
      </c>
      <c r="G349" s="675">
        <v>1</v>
      </c>
      <c r="H349" s="572">
        <f t="shared" si="17"/>
        <v>1</v>
      </c>
    </row>
    <row r="350" spans="6:8">
      <c r="F350" s="571">
        <f t="shared" si="16"/>
        <v>0</v>
      </c>
      <c r="G350" s="675">
        <v>1</v>
      </c>
      <c r="H350" s="572">
        <f t="shared" si="17"/>
        <v>1</v>
      </c>
    </row>
    <row r="351" spans="6:8">
      <c r="F351" s="571">
        <f t="shared" si="16"/>
        <v>0</v>
      </c>
      <c r="G351" s="675">
        <v>1</v>
      </c>
      <c r="H351" s="572">
        <f t="shared" si="17"/>
        <v>1</v>
      </c>
    </row>
    <row r="352" spans="6:8">
      <c r="F352" s="571">
        <f t="shared" si="16"/>
        <v>0</v>
      </c>
      <c r="G352" s="675">
        <v>1</v>
      </c>
      <c r="H352" s="572">
        <f t="shared" si="17"/>
        <v>1</v>
      </c>
    </row>
    <row r="353" spans="6:8">
      <c r="F353" s="571">
        <f t="shared" si="16"/>
        <v>0</v>
      </c>
      <c r="G353" s="675">
        <v>1</v>
      </c>
      <c r="H353" s="572">
        <f t="shared" si="17"/>
        <v>1</v>
      </c>
    </row>
    <row r="354" spans="6:8">
      <c r="F354" s="571">
        <f t="shared" si="16"/>
        <v>0</v>
      </c>
      <c r="G354" s="675">
        <v>1</v>
      </c>
      <c r="H354" s="572">
        <f t="shared" si="17"/>
        <v>1</v>
      </c>
    </row>
    <row r="355" spans="6:8">
      <c r="F355" s="571">
        <f t="shared" si="16"/>
        <v>0</v>
      </c>
      <c r="G355" s="675">
        <v>1</v>
      </c>
      <c r="H355" s="572">
        <f t="shared" si="17"/>
        <v>1</v>
      </c>
    </row>
    <row r="356" spans="6:8">
      <c r="F356" s="571">
        <f t="shared" si="16"/>
        <v>0</v>
      </c>
      <c r="G356" s="675">
        <v>1</v>
      </c>
      <c r="H356" s="572">
        <f t="shared" si="17"/>
        <v>1</v>
      </c>
    </row>
    <row r="357" spans="6:8">
      <c r="F357" s="571">
        <f t="shared" si="16"/>
        <v>0</v>
      </c>
      <c r="G357" s="675">
        <v>1</v>
      </c>
      <c r="H357" s="572">
        <f t="shared" si="17"/>
        <v>1</v>
      </c>
    </row>
    <row r="358" spans="6:8">
      <c r="F358" s="571">
        <f t="shared" si="16"/>
        <v>0</v>
      </c>
      <c r="G358" s="675">
        <v>1</v>
      </c>
      <c r="H358" s="572">
        <f t="shared" si="17"/>
        <v>1</v>
      </c>
    </row>
    <row r="359" spans="6:8">
      <c r="F359" s="571">
        <f t="shared" si="16"/>
        <v>0</v>
      </c>
      <c r="G359" s="675">
        <v>1</v>
      </c>
      <c r="H359" s="572">
        <f t="shared" si="17"/>
        <v>1</v>
      </c>
    </row>
    <row r="360" spans="6:8">
      <c r="F360" s="571">
        <f t="shared" si="16"/>
        <v>0</v>
      </c>
      <c r="G360" s="675">
        <v>1</v>
      </c>
      <c r="H360" s="572">
        <f t="shared" si="17"/>
        <v>1</v>
      </c>
    </row>
    <row r="361" spans="6:8">
      <c r="F361" s="571">
        <f t="shared" si="16"/>
        <v>0</v>
      </c>
      <c r="G361" s="675">
        <v>1</v>
      </c>
      <c r="H361" s="572">
        <f t="shared" si="17"/>
        <v>1</v>
      </c>
    </row>
    <row r="362" spans="6:8">
      <c r="F362" s="571">
        <f t="shared" si="16"/>
        <v>0</v>
      </c>
      <c r="G362" s="675">
        <v>1</v>
      </c>
      <c r="H362" s="572">
        <f t="shared" si="17"/>
        <v>1</v>
      </c>
    </row>
    <row r="363" spans="6:8">
      <c r="F363" s="571">
        <f t="shared" si="16"/>
        <v>0</v>
      </c>
      <c r="G363" s="675">
        <v>1</v>
      </c>
      <c r="H363" s="572">
        <f t="shared" si="17"/>
        <v>1</v>
      </c>
    </row>
    <row r="364" spans="6:8">
      <c r="F364" s="571">
        <f t="shared" si="16"/>
        <v>0</v>
      </c>
      <c r="G364" s="675">
        <v>1</v>
      </c>
      <c r="H364" s="572">
        <f t="shared" si="17"/>
        <v>1</v>
      </c>
    </row>
    <row r="365" spans="6:8">
      <c r="F365" s="571">
        <f t="shared" si="16"/>
        <v>0</v>
      </c>
      <c r="G365" s="675">
        <v>1</v>
      </c>
      <c r="H365" s="572">
        <f t="shared" si="17"/>
        <v>1</v>
      </c>
    </row>
    <row r="366" spans="6:8">
      <c r="F366" s="571">
        <f t="shared" si="16"/>
        <v>0</v>
      </c>
      <c r="G366" s="675">
        <v>1</v>
      </c>
      <c r="H366" s="572">
        <f t="shared" si="17"/>
        <v>1</v>
      </c>
    </row>
    <row r="367" spans="6:8">
      <c r="F367" s="571">
        <f t="shared" si="16"/>
        <v>0</v>
      </c>
      <c r="G367" s="675">
        <v>1</v>
      </c>
      <c r="H367" s="572">
        <f t="shared" si="17"/>
        <v>1</v>
      </c>
    </row>
    <row r="368" spans="6:8">
      <c r="F368" s="571">
        <f t="shared" si="16"/>
        <v>0</v>
      </c>
      <c r="G368" s="675">
        <v>1</v>
      </c>
      <c r="H368" s="572">
        <f t="shared" si="17"/>
        <v>1</v>
      </c>
    </row>
    <row r="369" spans="6:8">
      <c r="F369" s="571">
        <f t="shared" si="16"/>
        <v>0</v>
      </c>
      <c r="G369" s="675">
        <v>1</v>
      </c>
      <c r="H369" s="572">
        <f t="shared" si="17"/>
        <v>1</v>
      </c>
    </row>
    <row r="370" spans="6:8">
      <c r="F370" s="571">
        <f t="shared" si="16"/>
        <v>0</v>
      </c>
      <c r="G370" s="675">
        <v>1</v>
      </c>
      <c r="H370" s="572">
        <f t="shared" si="17"/>
        <v>1</v>
      </c>
    </row>
    <row r="371" spans="6:8">
      <c r="F371" s="571">
        <f t="shared" si="16"/>
        <v>0</v>
      </c>
      <c r="G371" s="675">
        <v>1</v>
      </c>
      <c r="H371" s="572">
        <f t="shared" si="17"/>
        <v>1</v>
      </c>
    </row>
    <row r="372" spans="6:8">
      <c r="F372" s="571">
        <f t="shared" si="16"/>
        <v>0</v>
      </c>
      <c r="G372" s="675">
        <v>1</v>
      </c>
      <c r="H372" s="572">
        <f t="shared" si="17"/>
        <v>1</v>
      </c>
    </row>
    <row r="373" spans="6:8">
      <c r="F373" s="571">
        <f t="shared" si="16"/>
        <v>0</v>
      </c>
      <c r="G373" s="675">
        <v>1</v>
      </c>
      <c r="H373" s="572">
        <f t="shared" si="17"/>
        <v>1</v>
      </c>
    </row>
    <row r="374" spans="6:8">
      <c r="F374" s="571">
        <f t="shared" si="16"/>
        <v>0</v>
      </c>
      <c r="G374" s="675">
        <v>1</v>
      </c>
      <c r="H374" s="572">
        <f t="shared" si="17"/>
        <v>1</v>
      </c>
    </row>
    <row r="375" spans="6:8">
      <c r="F375" s="571">
        <f t="shared" si="16"/>
        <v>0</v>
      </c>
      <c r="G375" s="675">
        <v>1</v>
      </c>
      <c r="H375" s="572">
        <f t="shared" si="17"/>
        <v>1</v>
      </c>
    </row>
    <row r="376" spans="6:8">
      <c r="F376" s="571">
        <f t="shared" si="16"/>
        <v>0</v>
      </c>
      <c r="G376" s="675">
        <v>1</v>
      </c>
      <c r="H376" s="572">
        <f t="shared" si="17"/>
        <v>1</v>
      </c>
    </row>
    <row r="377" spans="6:8">
      <c r="F377" s="571">
        <f t="shared" si="16"/>
        <v>0</v>
      </c>
      <c r="G377" s="675">
        <v>1</v>
      </c>
      <c r="H377" s="572">
        <f t="shared" si="17"/>
        <v>1</v>
      </c>
    </row>
    <row r="378" spans="6:8">
      <c r="F378" s="571">
        <f t="shared" si="16"/>
        <v>0</v>
      </c>
      <c r="G378" s="675">
        <v>1</v>
      </c>
      <c r="H378" s="572">
        <f t="shared" si="17"/>
        <v>1</v>
      </c>
    </row>
    <row r="379" spans="6:8">
      <c r="F379" s="571">
        <f t="shared" si="16"/>
        <v>0</v>
      </c>
      <c r="G379" s="675">
        <v>1</v>
      </c>
      <c r="H379" s="572">
        <f t="shared" si="17"/>
        <v>1</v>
      </c>
    </row>
    <row r="380" spans="6:8">
      <c r="F380" s="571">
        <f t="shared" si="16"/>
        <v>0</v>
      </c>
      <c r="G380" s="675">
        <v>1</v>
      </c>
      <c r="H380" s="572">
        <f t="shared" si="17"/>
        <v>1</v>
      </c>
    </row>
    <row r="381" spans="6:8">
      <c r="F381" s="571">
        <f t="shared" si="16"/>
        <v>0</v>
      </c>
      <c r="G381" s="675">
        <v>1</v>
      </c>
      <c r="H381" s="572">
        <f t="shared" si="17"/>
        <v>1</v>
      </c>
    </row>
    <row r="382" spans="6:8">
      <c r="F382" s="571">
        <f t="shared" si="16"/>
        <v>0</v>
      </c>
      <c r="G382" s="675">
        <v>1</v>
      </c>
      <c r="H382" s="572">
        <f t="shared" si="17"/>
        <v>1</v>
      </c>
    </row>
    <row r="383" spans="6:8">
      <c r="F383" s="571">
        <f t="shared" si="16"/>
        <v>0</v>
      </c>
      <c r="G383" s="675">
        <v>1</v>
      </c>
      <c r="H383" s="572">
        <f t="shared" si="17"/>
        <v>1</v>
      </c>
    </row>
    <row r="384" spans="6:8">
      <c r="F384" s="571">
        <f t="shared" si="16"/>
        <v>0</v>
      </c>
      <c r="G384" s="675">
        <v>1</v>
      </c>
      <c r="H384" s="572">
        <f t="shared" si="17"/>
        <v>1</v>
      </c>
    </row>
    <row r="385" spans="6:8">
      <c r="F385" s="571">
        <f t="shared" si="16"/>
        <v>0</v>
      </c>
      <c r="G385" s="675">
        <v>1</v>
      </c>
      <c r="H385" s="572">
        <f t="shared" si="17"/>
        <v>1</v>
      </c>
    </row>
    <row r="386" spans="6:8">
      <c r="F386" s="571">
        <f t="shared" ref="F386:F419" si="18">SUM(I386*G386)</f>
        <v>0</v>
      </c>
      <c r="G386" s="675">
        <v>1</v>
      </c>
      <c r="H386" s="572">
        <f t="shared" ref="H386:H419" si="19">IF(E386="",1,0)</f>
        <v>1</v>
      </c>
    </row>
    <row r="387" spans="6:8">
      <c r="F387" s="571">
        <f t="shared" si="18"/>
        <v>0</v>
      </c>
      <c r="G387" s="675">
        <v>1</v>
      </c>
      <c r="H387" s="572">
        <f t="shared" si="19"/>
        <v>1</v>
      </c>
    </row>
    <row r="388" spans="6:8">
      <c r="F388" s="571">
        <f t="shared" si="18"/>
        <v>0</v>
      </c>
      <c r="G388" s="675">
        <v>1</v>
      </c>
      <c r="H388" s="572">
        <f t="shared" si="19"/>
        <v>1</v>
      </c>
    </row>
    <row r="389" spans="6:8">
      <c r="F389" s="571">
        <f t="shared" si="18"/>
        <v>0</v>
      </c>
      <c r="G389" s="675">
        <v>1</v>
      </c>
      <c r="H389" s="572">
        <f t="shared" si="19"/>
        <v>1</v>
      </c>
    </row>
    <row r="390" spans="6:8">
      <c r="F390" s="571">
        <f t="shared" si="18"/>
        <v>0</v>
      </c>
      <c r="G390" s="675">
        <v>1</v>
      </c>
      <c r="H390" s="572">
        <f t="shared" si="19"/>
        <v>1</v>
      </c>
    </row>
    <row r="391" spans="6:8">
      <c r="F391" s="571">
        <f t="shared" si="18"/>
        <v>0</v>
      </c>
      <c r="G391" s="675">
        <v>1</v>
      </c>
      <c r="H391" s="572">
        <f t="shared" si="19"/>
        <v>1</v>
      </c>
    </row>
    <row r="392" spans="6:8">
      <c r="F392" s="571">
        <f t="shared" si="18"/>
        <v>0</v>
      </c>
      <c r="G392" s="675">
        <v>1</v>
      </c>
      <c r="H392" s="572">
        <f t="shared" si="19"/>
        <v>1</v>
      </c>
    </row>
    <row r="393" spans="6:8">
      <c r="F393" s="571">
        <f t="shared" si="18"/>
        <v>0</v>
      </c>
      <c r="G393" s="675">
        <v>1</v>
      </c>
      <c r="H393" s="572">
        <f t="shared" si="19"/>
        <v>1</v>
      </c>
    </row>
    <row r="394" spans="6:8">
      <c r="F394" s="571">
        <f t="shared" si="18"/>
        <v>0</v>
      </c>
      <c r="G394" s="675">
        <v>1</v>
      </c>
      <c r="H394" s="572">
        <f t="shared" si="19"/>
        <v>1</v>
      </c>
    </row>
    <row r="395" spans="6:8">
      <c r="F395" s="571">
        <f t="shared" si="18"/>
        <v>0</v>
      </c>
      <c r="G395" s="675">
        <v>1</v>
      </c>
      <c r="H395" s="572">
        <f t="shared" si="19"/>
        <v>1</v>
      </c>
    </row>
    <row r="396" spans="6:8">
      <c r="F396" s="571">
        <f t="shared" si="18"/>
        <v>0</v>
      </c>
      <c r="G396" s="675">
        <v>1</v>
      </c>
      <c r="H396" s="572">
        <f t="shared" si="19"/>
        <v>1</v>
      </c>
    </row>
    <row r="397" spans="6:8">
      <c r="F397" s="571">
        <f t="shared" si="18"/>
        <v>0</v>
      </c>
      <c r="G397" s="675">
        <v>1</v>
      </c>
      <c r="H397" s="572">
        <f t="shared" si="19"/>
        <v>1</v>
      </c>
    </row>
    <row r="398" spans="6:8">
      <c r="F398" s="571">
        <f t="shared" si="18"/>
        <v>0</v>
      </c>
      <c r="G398" s="675">
        <v>1</v>
      </c>
      <c r="H398" s="572">
        <f t="shared" si="19"/>
        <v>1</v>
      </c>
    </row>
    <row r="399" spans="6:8">
      <c r="F399" s="571">
        <f t="shared" si="18"/>
        <v>0</v>
      </c>
      <c r="G399" s="675">
        <v>1</v>
      </c>
      <c r="H399" s="572">
        <f t="shared" si="19"/>
        <v>1</v>
      </c>
    </row>
    <row r="400" spans="6:8">
      <c r="F400" s="571">
        <f t="shared" si="18"/>
        <v>0</v>
      </c>
      <c r="G400" s="675">
        <v>1</v>
      </c>
      <c r="H400" s="572">
        <f t="shared" si="19"/>
        <v>1</v>
      </c>
    </row>
    <row r="401" spans="6:8">
      <c r="F401" s="571">
        <f t="shared" si="18"/>
        <v>0</v>
      </c>
      <c r="G401" s="675">
        <v>1</v>
      </c>
      <c r="H401" s="572">
        <f t="shared" si="19"/>
        <v>1</v>
      </c>
    </row>
    <row r="402" spans="6:8">
      <c r="F402" s="571">
        <f t="shared" si="18"/>
        <v>0</v>
      </c>
      <c r="G402" s="675">
        <v>1</v>
      </c>
      <c r="H402" s="572">
        <f t="shared" si="19"/>
        <v>1</v>
      </c>
    </row>
    <row r="403" spans="6:8">
      <c r="F403" s="571">
        <f t="shared" si="18"/>
        <v>0</v>
      </c>
      <c r="G403" s="675">
        <v>1</v>
      </c>
      <c r="H403" s="572">
        <f t="shared" si="19"/>
        <v>1</v>
      </c>
    </row>
    <row r="404" spans="6:8">
      <c r="F404" s="571">
        <f t="shared" si="18"/>
        <v>0</v>
      </c>
      <c r="G404" s="675">
        <v>1</v>
      </c>
      <c r="H404" s="572">
        <f t="shared" si="19"/>
        <v>1</v>
      </c>
    </row>
    <row r="405" spans="6:8">
      <c r="F405" s="571">
        <f t="shared" si="18"/>
        <v>0</v>
      </c>
      <c r="G405" s="675">
        <v>1</v>
      </c>
      <c r="H405" s="572">
        <f t="shared" si="19"/>
        <v>1</v>
      </c>
    </row>
    <row r="406" spans="6:8">
      <c r="F406" s="571">
        <f t="shared" si="18"/>
        <v>0</v>
      </c>
      <c r="G406" s="675">
        <v>1</v>
      </c>
      <c r="H406" s="572">
        <f t="shared" si="19"/>
        <v>1</v>
      </c>
    </row>
    <row r="407" spans="6:8">
      <c r="F407" s="571">
        <f t="shared" si="18"/>
        <v>0</v>
      </c>
      <c r="G407" s="675">
        <v>1</v>
      </c>
      <c r="H407" s="572">
        <f t="shared" si="19"/>
        <v>1</v>
      </c>
    </row>
    <row r="408" spans="6:8">
      <c r="F408" s="571">
        <f t="shared" si="18"/>
        <v>0</v>
      </c>
      <c r="G408" s="675">
        <v>1</v>
      </c>
      <c r="H408" s="572">
        <f t="shared" si="19"/>
        <v>1</v>
      </c>
    </row>
    <row r="409" spans="6:8">
      <c r="F409" s="571">
        <f t="shared" si="18"/>
        <v>0</v>
      </c>
      <c r="G409" s="675">
        <v>1</v>
      </c>
      <c r="H409" s="572">
        <f t="shared" si="19"/>
        <v>1</v>
      </c>
    </row>
    <row r="410" spans="6:8">
      <c r="F410" s="571">
        <f t="shared" si="18"/>
        <v>0</v>
      </c>
      <c r="G410" s="675">
        <v>1</v>
      </c>
      <c r="H410" s="572">
        <f t="shared" si="19"/>
        <v>1</v>
      </c>
    </row>
    <row r="411" spans="6:8">
      <c r="F411" s="571">
        <f t="shared" si="18"/>
        <v>0</v>
      </c>
      <c r="G411" s="675">
        <v>1</v>
      </c>
      <c r="H411" s="572">
        <f t="shared" si="19"/>
        <v>1</v>
      </c>
    </row>
    <row r="412" spans="6:8">
      <c r="F412" s="571">
        <f t="shared" si="18"/>
        <v>0</v>
      </c>
      <c r="G412" s="675">
        <v>1</v>
      </c>
      <c r="H412" s="572">
        <f t="shared" si="19"/>
        <v>1</v>
      </c>
    </row>
    <row r="413" spans="6:8">
      <c r="F413" s="571">
        <f t="shared" si="18"/>
        <v>0</v>
      </c>
      <c r="G413" s="675">
        <v>1</v>
      </c>
      <c r="H413" s="572">
        <f t="shared" si="19"/>
        <v>1</v>
      </c>
    </row>
    <row r="414" spans="6:8">
      <c r="F414" s="571">
        <f t="shared" si="18"/>
        <v>0</v>
      </c>
      <c r="G414" s="675">
        <v>1</v>
      </c>
      <c r="H414" s="572">
        <f t="shared" si="19"/>
        <v>1</v>
      </c>
    </row>
    <row r="415" spans="6:8">
      <c r="F415" s="571">
        <f t="shared" si="18"/>
        <v>0</v>
      </c>
      <c r="G415" s="675">
        <v>1</v>
      </c>
      <c r="H415" s="572">
        <f t="shared" si="19"/>
        <v>1</v>
      </c>
    </row>
    <row r="416" spans="6:8">
      <c r="F416" s="571">
        <f t="shared" si="18"/>
        <v>0</v>
      </c>
      <c r="G416" s="675">
        <v>1</v>
      </c>
      <c r="H416" s="572">
        <f t="shared" si="19"/>
        <v>1</v>
      </c>
    </row>
    <row r="417" spans="6:17">
      <c r="F417" s="571">
        <f t="shared" si="18"/>
        <v>0</v>
      </c>
      <c r="G417" s="675">
        <v>1</v>
      </c>
      <c r="H417" s="572">
        <f t="shared" si="19"/>
        <v>1</v>
      </c>
    </row>
    <row r="418" spans="6:17">
      <c r="F418" s="571">
        <f t="shared" si="18"/>
        <v>0</v>
      </c>
      <c r="G418" s="675">
        <v>1</v>
      </c>
      <c r="H418" s="572">
        <f t="shared" si="19"/>
        <v>1</v>
      </c>
    </row>
    <row r="419" spans="6:17">
      <c r="F419" s="571">
        <f t="shared" si="18"/>
        <v>0</v>
      </c>
      <c r="G419" s="675">
        <v>1</v>
      </c>
      <c r="H419" s="572">
        <f t="shared" si="19"/>
        <v>1</v>
      </c>
    </row>
    <row r="430" spans="6:17">
      <c r="Q430" s="576"/>
    </row>
    <row r="431" spans="6:17">
      <c r="Q431" s="576"/>
    </row>
    <row r="432" spans="6:17">
      <c r="Q432" s="576"/>
    </row>
  </sheetData>
  <autoFilter ref="B1:B419">
    <filterColumn colId="0"/>
  </autoFilter>
  <sortState ref="A80:L138">
    <sortCondition ref="J80:J138"/>
  </sortState>
  <mergeCells count="1">
    <mergeCell ref="G1:H1"/>
  </mergeCells>
  <pageMargins left="0" right="0" top="0" bottom="0" header="0" footer="0"/>
  <pageSetup paperSize="9" scale="89" fitToHeight="5" orientation="portrait" horizontalDpi="180" verticalDpi="180" r:id="rId1"/>
  <ignoredErrors>
    <ignoredError sqref="J90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>
  <dimension ref="A1:L43"/>
  <sheetViews>
    <sheetView zoomScaleNormal="100" workbookViewId="0">
      <selection activeCell="F26" sqref="F26:F30"/>
    </sheetView>
  </sheetViews>
  <sheetFormatPr baseColWidth="10" defaultRowHeight="15"/>
  <cols>
    <col min="1" max="1" width="5.7109375" style="359" bestFit="1" customWidth="1"/>
    <col min="2" max="2" width="30.28515625" style="359" bestFit="1" customWidth="1"/>
    <col min="3" max="3" width="9" style="359" bestFit="1" customWidth="1"/>
    <col min="4" max="4" width="10.7109375" style="89" bestFit="1" customWidth="1"/>
    <col min="5" max="5" width="11.42578125" style="89"/>
    <col min="6" max="6" width="11" style="40" bestFit="1" customWidth="1"/>
    <col min="7" max="7" width="2" style="583" bestFit="1" customWidth="1"/>
    <col min="8" max="8" width="2" style="359" bestFit="1" customWidth="1"/>
    <col min="9" max="9" width="11" style="40" bestFit="1" customWidth="1"/>
    <col min="10" max="10" width="10.7109375" style="89" bestFit="1" customWidth="1"/>
    <col min="11" max="11" width="8.5703125" style="359" bestFit="1" customWidth="1"/>
    <col min="12" max="12" width="13.85546875" style="359" bestFit="1" customWidth="1"/>
    <col min="13" max="16384" width="11.42578125" style="359"/>
  </cols>
  <sheetData>
    <row r="1" spans="1:12" s="567" customFormat="1" ht="12.75">
      <c r="A1" s="561" t="s">
        <v>781</v>
      </c>
      <c r="B1" s="561" t="s">
        <v>782</v>
      </c>
      <c r="C1" s="562" t="s">
        <v>783</v>
      </c>
      <c r="D1" s="563" t="s">
        <v>784</v>
      </c>
      <c r="E1" s="563" t="s">
        <v>785</v>
      </c>
      <c r="F1" s="579" t="s">
        <v>786</v>
      </c>
      <c r="G1" s="859" t="s">
        <v>787</v>
      </c>
      <c r="H1" s="859"/>
      <c r="I1" s="565" t="s">
        <v>788</v>
      </c>
      <c r="J1" s="563" t="s">
        <v>10</v>
      </c>
      <c r="K1" s="566" t="s">
        <v>789</v>
      </c>
      <c r="L1" s="566" t="s">
        <v>790</v>
      </c>
    </row>
    <row r="2" spans="1:12">
      <c r="A2" s="359" t="s">
        <v>791</v>
      </c>
      <c r="B2" s="359" t="s">
        <v>844</v>
      </c>
      <c r="C2" s="559" t="s">
        <v>1551</v>
      </c>
      <c r="D2" s="89">
        <v>43433</v>
      </c>
      <c r="F2" s="40">
        <f t="shared" ref="F2:F43" si="0">SUM(I2*G2)</f>
        <v>485.51499999999999</v>
      </c>
      <c r="G2" s="580">
        <v>1</v>
      </c>
      <c r="H2" s="581">
        <f t="shared" ref="H2:H43" si="1">IF(E2="",1,0)</f>
        <v>1</v>
      </c>
      <c r="I2" s="40">
        <v>485.51499999999999</v>
      </c>
      <c r="J2" s="89">
        <f t="shared" ref="J2:J17" si="2">+D2</f>
        <v>43433</v>
      </c>
      <c r="K2" s="559" t="s">
        <v>1557</v>
      </c>
      <c r="L2" s="359" t="s">
        <v>1541</v>
      </c>
    </row>
    <row r="3" spans="1:12">
      <c r="A3" s="359" t="s">
        <v>791</v>
      </c>
      <c r="B3" s="359" t="s">
        <v>1561</v>
      </c>
      <c r="C3" s="559" t="s">
        <v>1548</v>
      </c>
      <c r="D3" s="89">
        <v>43438</v>
      </c>
      <c r="F3" s="40">
        <f t="shared" si="0"/>
        <v>16107.168</v>
      </c>
      <c r="G3" s="580">
        <v>1</v>
      </c>
      <c r="H3" s="581">
        <f t="shared" si="1"/>
        <v>1</v>
      </c>
      <c r="I3" s="40">
        <v>16107.168</v>
      </c>
      <c r="J3" s="89">
        <f t="shared" si="2"/>
        <v>43438</v>
      </c>
      <c r="K3" s="559" t="s">
        <v>1025</v>
      </c>
      <c r="L3" s="359" t="s">
        <v>1541</v>
      </c>
    </row>
    <row r="4" spans="1:12">
      <c r="A4" s="359" t="s">
        <v>791</v>
      </c>
      <c r="B4" s="359" t="s">
        <v>1560</v>
      </c>
      <c r="C4" s="559" t="s">
        <v>1547</v>
      </c>
      <c r="D4" s="89">
        <v>43438</v>
      </c>
      <c r="F4" s="40">
        <f t="shared" si="0"/>
        <v>2361.9749999999999</v>
      </c>
      <c r="G4" s="580">
        <v>1</v>
      </c>
      <c r="H4" s="581">
        <f t="shared" si="1"/>
        <v>1</v>
      </c>
      <c r="I4" s="40">
        <v>2361.9749999999999</v>
      </c>
      <c r="J4" s="89">
        <f t="shared" si="2"/>
        <v>43438</v>
      </c>
      <c r="K4" s="559" t="s">
        <v>1555</v>
      </c>
      <c r="L4" s="359" t="s">
        <v>1541</v>
      </c>
    </row>
    <row r="5" spans="1:12">
      <c r="A5" s="359" t="s">
        <v>791</v>
      </c>
      <c r="B5" s="359" t="s">
        <v>815</v>
      </c>
      <c r="C5" s="559" t="s">
        <v>1546</v>
      </c>
      <c r="D5" s="89">
        <v>43438</v>
      </c>
      <c r="F5" s="40">
        <f t="shared" si="0"/>
        <v>374.947</v>
      </c>
      <c r="G5" s="580">
        <v>1</v>
      </c>
      <c r="H5" s="581">
        <f t="shared" si="1"/>
        <v>1</v>
      </c>
      <c r="I5" s="40">
        <v>374.947</v>
      </c>
      <c r="J5" s="89">
        <f t="shared" si="2"/>
        <v>43438</v>
      </c>
      <c r="K5" s="559" t="s">
        <v>1022</v>
      </c>
      <c r="L5" s="359" t="s">
        <v>1541</v>
      </c>
    </row>
    <row r="6" spans="1:12">
      <c r="A6" s="359" t="s">
        <v>791</v>
      </c>
      <c r="B6" s="359" t="s">
        <v>1559</v>
      </c>
      <c r="C6" s="559" t="s">
        <v>1545</v>
      </c>
      <c r="D6" s="89">
        <v>43438</v>
      </c>
      <c r="F6" s="40">
        <f t="shared" si="0"/>
        <v>1125.3530000000001</v>
      </c>
      <c r="G6" s="580">
        <v>1</v>
      </c>
      <c r="H6" s="581">
        <f t="shared" si="1"/>
        <v>1</v>
      </c>
      <c r="I6" s="40">
        <v>1125.3530000000001</v>
      </c>
      <c r="J6" s="89">
        <f t="shared" si="2"/>
        <v>43438</v>
      </c>
      <c r="K6" s="559" t="s">
        <v>1554</v>
      </c>
      <c r="L6" s="359" t="s">
        <v>1541</v>
      </c>
    </row>
    <row r="7" spans="1:12">
      <c r="A7" s="359" t="s">
        <v>791</v>
      </c>
      <c r="B7" s="359" t="s">
        <v>1534</v>
      </c>
      <c r="C7" s="559" t="s">
        <v>1544</v>
      </c>
      <c r="D7" s="89">
        <v>43438</v>
      </c>
      <c r="F7" s="40">
        <f t="shared" si="0"/>
        <v>0</v>
      </c>
      <c r="G7" s="580">
        <v>1</v>
      </c>
      <c r="H7" s="581">
        <f t="shared" si="1"/>
        <v>1</v>
      </c>
      <c r="I7" s="40">
        <v>0</v>
      </c>
      <c r="J7" s="89">
        <f t="shared" si="2"/>
        <v>43438</v>
      </c>
      <c r="K7" s="559" t="s">
        <v>1553</v>
      </c>
      <c r="L7" s="359" t="s">
        <v>1541</v>
      </c>
    </row>
    <row r="8" spans="1:12">
      <c r="A8" s="359" t="s">
        <v>791</v>
      </c>
      <c r="B8" s="359" t="s">
        <v>1558</v>
      </c>
      <c r="C8" s="559" t="s">
        <v>1543</v>
      </c>
      <c r="D8" s="89">
        <v>43439</v>
      </c>
      <c r="F8" s="40">
        <f t="shared" si="0"/>
        <v>174.34</v>
      </c>
      <c r="G8" s="580">
        <v>1</v>
      </c>
      <c r="H8" s="581">
        <f t="shared" si="1"/>
        <v>1</v>
      </c>
      <c r="I8" s="40">
        <v>174.34</v>
      </c>
      <c r="J8" s="89">
        <f t="shared" si="2"/>
        <v>43439</v>
      </c>
      <c r="K8" s="559" t="s">
        <v>1552</v>
      </c>
      <c r="L8" s="359" t="s">
        <v>1541</v>
      </c>
    </row>
    <row r="9" spans="1:12">
      <c r="A9" s="359" t="s">
        <v>791</v>
      </c>
      <c r="B9" s="359" t="s">
        <v>854</v>
      </c>
      <c r="C9" s="559" t="s">
        <v>855</v>
      </c>
      <c r="D9" s="89">
        <v>42850</v>
      </c>
      <c r="F9" s="40">
        <f t="shared" si="0"/>
        <v>684</v>
      </c>
      <c r="G9" s="580">
        <v>1</v>
      </c>
      <c r="H9" s="581">
        <f t="shared" si="1"/>
        <v>1</v>
      </c>
      <c r="I9" s="40">
        <v>684</v>
      </c>
      <c r="J9" s="89">
        <f t="shared" si="2"/>
        <v>42850</v>
      </c>
      <c r="K9" s="559" t="s">
        <v>856</v>
      </c>
      <c r="L9" s="582" t="s">
        <v>1295</v>
      </c>
    </row>
    <row r="10" spans="1:12">
      <c r="A10" s="359" t="s">
        <v>791</v>
      </c>
      <c r="B10" s="359" t="s">
        <v>854</v>
      </c>
      <c r="C10" s="559" t="s">
        <v>857</v>
      </c>
      <c r="D10" s="89">
        <v>42921</v>
      </c>
      <c r="F10" s="40">
        <f t="shared" si="0"/>
        <v>684</v>
      </c>
      <c r="G10" s="580">
        <v>1</v>
      </c>
      <c r="H10" s="581">
        <f t="shared" si="1"/>
        <v>1</v>
      </c>
      <c r="I10" s="40">
        <v>684</v>
      </c>
      <c r="J10" s="89">
        <f t="shared" si="2"/>
        <v>42921</v>
      </c>
      <c r="K10" s="559" t="s">
        <v>858</v>
      </c>
      <c r="L10" s="582" t="s">
        <v>1295</v>
      </c>
    </row>
    <row r="11" spans="1:12">
      <c r="A11" s="359" t="s">
        <v>791</v>
      </c>
      <c r="B11" s="359" t="s">
        <v>859</v>
      </c>
      <c r="C11" s="559" t="s">
        <v>860</v>
      </c>
      <c r="D11" s="89">
        <v>42997</v>
      </c>
      <c r="F11" s="40">
        <f t="shared" si="0"/>
        <v>83.1</v>
      </c>
      <c r="G11" s="580">
        <v>1</v>
      </c>
      <c r="H11" s="581">
        <f t="shared" si="1"/>
        <v>1</v>
      </c>
      <c r="I11" s="40">
        <v>83.1</v>
      </c>
      <c r="J11" s="89">
        <f t="shared" si="2"/>
        <v>42997</v>
      </c>
      <c r="K11" s="559" t="s">
        <v>861</v>
      </c>
      <c r="L11" s="582" t="s">
        <v>1295</v>
      </c>
    </row>
    <row r="12" spans="1:12">
      <c r="A12" s="359" t="s">
        <v>791</v>
      </c>
      <c r="B12" s="359" t="s">
        <v>862</v>
      </c>
      <c r="C12" s="559" t="s">
        <v>863</v>
      </c>
      <c r="D12" s="89">
        <v>43033</v>
      </c>
      <c r="F12" s="40">
        <f t="shared" si="0"/>
        <v>212.9</v>
      </c>
      <c r="G12" s="580">
        <v>1</v>
      </c>
      <c r="H12" s="581">
        <f t="shared" si="1"/>
        <v>1</v>
      </c>
      <c r="I12" s="40">
        <v>212.9</v>
      </c>
      <c r="J12" s="89">
        <f t="shared" si="2"/>
        <v>43033</v>
      </c>
      <c r="K12" s="559" t="s">
        <v>864</v>
      </c>
      <c r="L12" s="582" t="s">
        <v>1295</v>
      </c>
    </row>
    <row r="13" spans="1:12">
      <c r="A13" s="359" t="s">
        <v>791</v>
      </c>
      <c r="B13" s="359" t="s">
        <v>865</v>
      </c>
      <c r="C13" s="559" t="s">
        <v>866</v>
      </c>
      <c r="D13" s="89">
        <v>43160</v>
      </c>
      <c r="F13" s="40">
        <f t="shared" si="0"/>
        <v>111.15600000000001</v>
      </c>
      <c r="G13" s="580">
        <v>1</v>
      </c>
      <c r="H13" s="581">
        <f t="shared" si="1"/>
        <v>1</v>
      </c>
      <c r="I13" s="40">
        <v>111.15600000000001</v>
      </c>
      <c r="J13" s="89">
        <f t="shared" si="2"/>
        <v>43160</v>
      </c>
      <c r="K13" s="559" t="s">
        <v>867</v>
      </c>
      <c r="L13" s="582" t="s">
        <v>1295</v>
      </c>
    </row>
    <row r="14" spans="1:12">
      <c r="A14" s="359" t="s">
        <v>791</v>
      </c>
      <c r="B14" s="359" t="s">
        <v>865</v>
      </c>
      <c r="C14" s="559" t="s">
        <v>868</v>
      </c>
      <c r="D14" s="89">
        <v>43209</v>
      </c>
      <c r="F14" s="40">
        <f t="shared" si="0"/>
        <v>160.66499999999999</v>
      </c>
      <c r="G14" s="580">
        <v>1</v>
      </c>
      <c r="H14" s="581">
        <f t="shared" si="1"/>
        <v>1</v>
      </c>
      <c r="I14" s="40">
        <v>160.66499999999999</v>
      </c>
      <c r="J14" s="89">
        <f t="shared" si="2"/>
        <v>43209</v>
      </c>
      <c r="K14" s="559" t="s">
        <v>869</v>
      </c>
      <c r="L14" s="582" t="s">
        <v>1295</v>
      </c>
    </row>
    <row r="15" spans="1:12">
      <c r="A15" s="359" t="s">
        <v>791</v>
      </c>
      <c r="B15" s="359" t="s">
        <v>859</v>
      </c>
      <c r="C15" s="559" t="s">
        <v>870</v>
      </c>
      <c r="D15" s="89">
        <v>43276</v>
      </c>
      <c r="F15" s="40">
        <f t="shared" si="0"/>
        <v>143.4</v>
      </c>
      <c r="G15" s="580">
        <v>1</v>
      </c>
      <c r="H15" s="581">
        <f t="shared" si="1"/>
        <v>1</v>
      </c>
      <c r="I15" s="40">
        <v>143.4</v>
      </c>
      <c r="J15" s="89">
        <f t="shared" si="2"/>
        <v>43276</v>
      </c>
      <c r="K15" s="559" t="s">
        <v>871</v>
      </c>
      <c r="L15" s="582" t="s">
        <v>1295</v>
      </c>
    </row>
    <row r="16" spans="1:12">
      <c r="A16" s="359" t="s">
        <v>791</v>
      </c>
      <c r="B16" s="359" t="s">
        <v>872</v>
      </c>
      <c r="C16" s="559" t="s">
        <v>873</v>
      </c>
      <c r="D16" s="89">
        <v>43304</v>
      </c>
      <c r="F16" s="40">
        <f t="shared" si="0"/>
        <v>72</v>
      </c>
      <c r="G16" s="580">
        <v>1</v>
      </c>
      <c r="H16" s="581">
        <f t="shared" si="1"/>
        <v>1</v>
      </c>
      <c r="I16" s="40">
        <v>72</v>
      </c>
      <c r="J16" s="89">
        <f t="shared" si="2"/>
        <v>43304</v>
      </c>
      <c r="K16" s="559" t="s">
        <v>874</v>
      </c>
      <c r="L16" s="582" t="s">
        <v>1295</v>
      </c>
    </row>
    <row r="17" spans="1:12">
      <c r="A17" s="359" t="s">
        <v>791</v>
      </c>
      <c r="B17" s="359" t="s">
        <v>821</v>
      </c>
      <c r="C17" s="559" t="s">
        <v>875</v>
      </c>
      <c r="D17" s="89">
        <v>43319</v>
      </c>
      <c r="F17" s="40">
        <f t="shared" si="0"/>
        <v>133.345</v>
      </c>
      <c r="G17" s="580">
        <v>1</v>
      </c>
      <c r="H17" s="581">
        <f t="shared" si="1"/>
        <v>1</v>
      </c>
      <c r="I17" s="40">
        <v>133.345</v>
      </c>
      <c r="J17" s="89">
        <f t="shared" si="2"/>
        <v>43319</v>
      </c>
      <c r="K17" s="559" t="s">
        <v>876</v>
      </c>
      <c r="L17" s="582" t="s">
        <v>1295</v>
      </c>
    </row>
    <row r="18" spans="1:12">
      <c r="A18" s="359" t="s">
        <v>791</v>
      </c>
      <c r="B18" s="359" t="s">
        <v>865</v>
      </c>
      <c r="C18" s="559" t="s">
        <v>877</v>
      </c>
      <c r="D18" s="89">
        <v>43341</v>
      </c>
      <c r="F18" s="40">
        <f t="shared" si="0"/>
        <v>176.245</v>
      </c>
      <c r="G18" s="580">
        <v>1</v>
      </c>
      <c r="H18" s="581">
        <f t="shared" si="1"/>
        <v>1</v>
      </c>
      <c r="I18" s="40">
        <v>176.245</v>
      </c>
      <c r="J18" s="89">
        <f>D18</f>
        <v>43341</v>
      </c>
      <c r="K18" s="559" t="s">
        <v>878</v>
      </c>
      <c r="L18" s="582" t="s">
        <v>1295</v>
      </c>
    </row>
    <row r="19" spans="1:12">
      <c r="A19" s="359" t="s">
        <v>791</v>
      </c>
      <c r="B19" s="359" t="s">
        <v>1156</v>
      </c>
      <c r="C19" s="559" t="s">
        <v>1155</v>
      </c>
      <c r="D19" s="89">
        <v>43395</v>
      </c>
      <c r="F19" s="40">
        <f t="shared" si="0"/>
        <v>368.32100000000003</v>
      </c>
      <c r="G19" s="580">
        <v>1</v>
      </c>
      <c r="H19" s="581">
        <f t="shared" si="1"/>
        <v>1</v>
      </c>
      <c r="I19" s="40">
        <v>368.32100000000003</v>
      </c>
      <c r="J19" s="89">
        <v>43395</v>
      </c>
      <c r="K19" s="559" t="s">
        <v>730</v>
      </c>
      <c r="L19" s="359" t="s">
        <v>1295</v>
      </c>
    </row>
    <row r="20" spans="1:12">
      <c r="A20" s="359" t="s">
        <v>791</v>
      </c>
      <c r="B20" s="359" t="s">
        <v>1057</v>
      </c>
      <c r="C20" s="559" t="s">
        <v>1388</v>
      </c>
      <c r="D20" s="89">
        <v>43421</v>
      </c>
      <c r="F20" s="40">
        <f t="shared" si="0"/>
        <v>1251.1969999999999</v>
      </c>
      <c r="G20" s="580">
        <v>1</v>
      </c>
      <c r="H20" s="581">
        <f t="shared" si="1"/>
        <v>1</v>
      </c>
      <c r="I20" s="40">
        <v>1251.1969999999999</v>
      </c>
      <c r="J20" s="89">
        <f>+D20</f>
        <v>43421</v>
      </c>
      <c r="K20" s="559" t="s">
        <v>1390</v>
      </c>
      <c r="L20" s="359" t="s">
        <v>1295</v>
      </c>
    </row>
    <row r="21" spans="1:12">
      <c r="A21" s="359" t="s">
        <v>791</v>
      </c>
      <c r="B21" s="359" t="s">
        <v>1391</v>
      </c>
      <c r="C21" s="559" t="s">
        <v>1387</v>
      </c>
      <c r="D21" s="89">
        <v>43421</v>
      </c>
      <c r="F21" s="40">
        <f t="shared" si="0"/>
        <v>1894.23</v>
      </c>
      <c r="G21" s="580">
        <v>1</v>
      </c>
      <c r="H21" s="581">
        <f t="shared" si="1"/>
        <v>1</v>
      </c>
      <c r="I21" s="40">
        <v>1894.23</v>
      </c>
      <c r="J21" s="89">
        <f>+D21</f>
        <v>43421</v>
      </c>
      <c r="K21" s="559" t="s">
        <v>1389</v>
      </c>
      <c r="L21" s="359" t="s">
        <v>1295</v>
      </c>
    </row>
    <row r="22" spans="1:12">
      <c r="A22" s="359" t="s">
        <v>791</v>
      </c>
      <c r="B22" s="359" t="s">
        <v>1057</v>
      </c>
      <c r="C22" s="559" t="s">
        <v>1433</v>
      </c>
      <c r="D22" s="89">
        <v>43430</v>
      </c>
      <c r="F22" s="40">
        <f t="shared" si="0"/>
        <v>156.6</v>
      </c>
      <c r="G22" s="580">
        <v>1</v>
      </c>
      <c r="H22" s="581">
        <f t="shared" si="1"/>
        <v>1</v>
      </c>
      <c r="I22" s="40">
        <v>156.6</v>
      </c>
      <c r="J22" s="89">
        <f>+D22</f>
        <v>43430</v>
      </c>
      <c r="K22" s="559" t="s">
        <v>775</v>
      </c>
      <c r="L22" s="359" t="s">
        <v>1295</v>
      </c>
    </row>
    <row r="23" spans="1:12">
      <c r="A23" s="359" t="s">
        <v>791</v>
      </c>
      <c r="B23" s="359" t="s">
        <v>821</v>
      </c>
      <c r="C23" s="559" t="s">
        <v>1432</v>
      </c>
      <c r="D23" s="89">
        <v>43430</v>
      </c>
      <c r="F23" s="40">
        <f t="shared" si="0"/>
        <v>106.44</v>
      </c>
      <c r="G23" s="580">
        <v>1</v>
      </c>
      <c r="H23" s="581">
        <f t="shared" si="1"/>
        <v>1</v>
      </c>
      <c r="I23" s="40">
        <v>106.44</v>
      </c>
      <c r="J23" s="89">
        <f>+D23</f>
        <v>43430</v>
      </c>
      <c r="K23" s="559" t="s">
        <v>776</v>
      </c>
      <c r="L23" s="359" t="s">
        <v>1295</v>
      </c>
    </row>
    <row r="24" spans="1:12">
      <c r="A24" s="359" t="s">
        <v>791</v>
      </c>
      <c r="B24" s="359" t="s">
        <v>1435</v>
      </c>
      <c r="C24" s="559" t="s">
        <v>1431</v>
      </c>
      <c r="D24" s="89">
        <v>43430</v>
      </c>
      <c r="F24" s="40">
        <f t="shared" si="0"/>
        <v>777.65899999999999</v>
      </c>
      <c r="G24" s="580">
        <v>1</v>
      </c>
      <c r="H24" s="581">
        <f t="shared" si="1"/>
        <v>1</v>
      </c>
      <c r="I24" s="40">
        <v>777.65899999999999</v>
      </c>
      <c r="J24" s="89">
        <f>+D24</f>
        <v>43430</v>
      </c>
      <c r="K24" s="559" t="s">
        <v>777</v>
      </c>
      <c r="L24" s="359" t="s">
        <v>1295</v>
      </c>
    </row>
    <row r="25" spans="1:12">
      <c r="A25" s="359" t="s">
        <v>818</v>
      </c>
      <c r="B25" s="359" t="s">
        <v>1016</v>
      </c>
      <c r="C25" s="559" t="s">
        <v>1172</v>
      </c>
      <c r="D25" s="89">
        <v>43400</v>
      </c>
      <c r="F25" s="40">
        <f t="shared" si="0"/>
        <v>107.67400000000001</v>
      </c>
      <c r="G25" s="580">
        <v>1</v>
      </c>
      <c r="H25" s="581">
        <f t="shared" si="1"/>
        <v>1</v>
      </c>
      <c r="I25" s="40">
        <v>107.67400000000001</v>
      </c>
      <c r="J25" s="89">
        <v>43459</v>
      </c>
      <c r="K25" s="559" t="s">
        <v>1173</v>
      </c>
      <c r="L25" s="359" t="s">
        <v>1295</v>
      </c>
    </row>
    <row r="26" spans="1:12">
      <c r="A26" s="359" t="s">
        <v>791</v>
      </c>
      <c r="B26" s="359" t="s">
        <v>821</v>
      </c>
      <c r="C26" s="559" t="s">
        <v>879</v>
      </c>
      <c r="D26" s="89">
        <v>43341</v>
      </c>
      <c r="E26" s="89">
        <v>43418</v>
      </c>
      <c r="F26" s="40">
        <f t="shared" si="0"/>
        <v>126.29900000000001</v>
      </c>
      <c r="G26" s="580">
        <v>1</v>
      </c>
      <c r="H26" s="581">
        <f t="shared" si="1"/>
        <v>0</v>
      </c>
      <c r="I26" s="40">
        <v>126.29900000000001</v>
      </c>
      <c r="J26" s="89">
        <f>D26</f>
        <v>43341</v>
      </c>
      <c r="K26" s="559" t="s">
        <v>880</v>
      </c>
      <c r="L26" s="582"/>
    </row>
    <row r="27" spans="1:12">
      <c r="A27" s="359" t="s">
        <v>791</v>
      </c>
      <c r="B27" s="359" t="s">
        <v>1434</v>
      </c>
      <c r="C27" s="559" t="s">
        <v>1430</v>
      </c>
      <c r="D27" s="89">
        <v>43431</v>
      </c>
      <c r="E27" s="89">
        <v>43431</v>
      </c>
      <c r="F27" s="40">
        <f t="shared" si="0"/>
        <v>413.51900000000001</v>
      </c>
      <c r="G27" s="580">
        <v>1</v>
      </c>
      <c r="H27" s="581">
        <f t="shared" si="1"/>
        <v>0</v>
      </c>
      <c r="I27" s="40">
        <v>413.51900000000001</v>
      </c>
      <c r="J27" s="89">
        <f>+D27</f>
        <v>43431</v>
      </c>
      <c r="K27" s="559" t="s">
        <v>779</v>
      </c>
    </row>
    <row r="28" spans="1:12">
      <c r="A28" s="359" t="s">
        <v>791</v>
      </c>
      <c r="B28" s="359" t="s">
        <v>1323</v>
      </c>
      <c r="C28" s="559" t="s">
        <v>1550</v>
      </c>
      <c r="D28" s="89">
        <v>43433</v>
      </c>
      <c r="E28" s="89">
        <v>43433</v>
      </c>
      <c r="F28" s="40">
        <f t="shared" si="0"/>
        <v>10312.284</v>
      </c>
      <c r="G28" s="580">
        <v>1</v>
      </c>
      <c r="H28" s="581">
        <f t="shared" si="1"/>
        <v>0</v>
      </c>
      <c r="I28" s="40">
        <v>10312.284</v>
      </c>
      <c r="J28" s="89">
        <f>+D28</f>
        <v>43433</v>
      </c>
      <c r="K28" s="559" t="s">
        <v>1556</v>
      </c>
    </row>
    <row r="29" spans="1:12">
      <c r="A29" s="359" t="s">
        <v>791</v>
      </c>
      <c r="B29" s="359" t="s">
        <v>1323</v>
      </c>
      <c r="C29" s="559" t="s">
        <v>1549</v>
      </c>
      <c r="D29" s="89">
        <v>43433</v>
      </c>
      <c r="E29" s="89">
        <v>43433</v>
      </c>
      <c r="F29" s="40">
        <f t="shared" si="0"/>
        <v>190.4</v>
      </c>
      <c r="G29" s="580">
        <v>1</v>
      </c>
      <c r="H29" s="581">
        <f t="shared" si="1"/>
        <v>0</v>
      </c>
      <c r="I29" s="40">
        <v>190.4</v>
      </c>
      <c r="J29" s="89">
        <f>+D29</f>
        <v>43433</v>
      </c>
      <c r="K29" s="559" t="s">
        <v>780</v>
      </c>
    </row>
    <row r="30" spans="1:12">
      <c r="A30" s="359" t="s">
        <v>818</v>
      </c>
      <c r="B30" s="359" t="s">
        <v>837</v>
      </c>
      <c r="C30" s="559" t="s">
        <v>1280</v>
      </c>
      <c r="D30" s="89">
        <v>43409</v>
      </c>
      <c r="E30" s="89">
        <v>43411</v>
      </c>
      <c r="F30" s="40">
        <f t="shared" si="0"/>
        <v>196.65299999999999</v>
      </c>
      <c r="G30" s="580">
        <v>1</v>
      </c>
      <c r="H30" s="581">
        <f t="shared" si="1"/>
        <v>0</v>
      </c>
      <c r="I30" s="40">
        <v>196.65299999999999</v>
      </c>
      <c r="J30" s="89">
        <v>43480</v>
      </c>
      <c r="K30" s="559" t="s">
        <v>1281</v>
      </c>
    </row>
    <row r="31" spans="1:12">
      <c r="F31" s="40">
        <f t="shared" si="0"/>
        <v>0</v>
      </c>
      <c r="G31" s="580">
        <v>1</v>
      </c>
      <c r="H31" s="581">
        <f t="shared" si="1"/>
        <v>1</v>
      </c>
    </row>
    <row r="32" spans="1:12">
      <c r="F32" s="40">
        <f t="shared" si="0"/>
        <v>0</v>
      </c>
      <c r="G32" s="580">
        <v>1</v>
      </c>
      <c r="H32" s="581">
        <f t="shared" si="1"/>
        <v>1</v>
      </c>
    </row>
    <row r="33" spans="6:8">
      <c r="F33" s="40">
        <f t="shared" si="0"/>
        <v>0</v>
      </c>
      <c r="G33" s="580">
        <v>1</v>
      </c>
      <c r="H33" s="581">
        <f t="shared" si="1"/>
        <v>1</v>
      </c>
    </row>
    <row r="34" spans="6:8">
      <c r="F34" s="40">
        <f t="shared" si="0"/>
        <v>0</v>
      </c>
      <c r="G34" s="580">
        <v>1</v>
      </c>
      <c r="H34" s="581">
        <f t="shared" si="1"/>
        <v>1</v>
      </c>
    </row>
    <row r="35" spans="6:8">
      <c r="F35" s="40">
        <f t="shared" si="0"/>
        <v>0</v>
      </c>
      <c r="G35" s="580">
        <v>1</v>
      </c>
      <c r="H35" s="581">
        <f t="shared" si="1"/>
        <v>1</v>
      </c>
    </row>
    <row r="36" spans="6:8">
      <c r="F36" s="40">
        <f t="shared" si="0"/>
        <v>0</v>
      </c>
      <c r="G36" s="580">
        <v>1</v>
      </c>
      <c r="H36" s="581">
        <f t="shared" si="1"/>
        <v>1</v>
      </c>
    </row>
    <row r="37" spans="6:8">
      <c r="F37" s="40">
        <f t="shared" si="0"/>
        <v>0</v>
      </c>
      <c r="G37" s="580">
        <v>1</v>
      </c>
      <c r="H37" s="581">
        <f t="shared" si="1"/>
        <v>1</v>
      </c>
    </row>
    <row r="38" spans="6:8">
      <c r="F38" s="40">
        <f t="shared" si="0"/>
        <v>0</v>
      </c>
      <c r="G38" s="580">
        <v>1</v>
      </c>
      <c r="H38" s="581">
        <f t="shared" si="1"/>
        <v>1</v>
      </c>
    </row>
    <row r="39" spans="6:8">
      <c r="F39" s="40">
        <f t="shared" si="0"/>
        <v>0</v>
      </c>
      <c r="G39" s="580">
        <v>1</v>
      </c>
      <c r="H39" s="581">
        <f t="shared" si="1"/>
        <v>1</v>
      </c>
    </row>
    <row r="40" spans="6:8">
      <c r="F40" s="40">
        <f t="shared" si="0"/>
        <v>0</v>
      </c>
      <c r="G40" s="580">
        <v>1</v>
      </c>
      <c r="H40" s="581">
        <f t="shared" si="1"/>
        <v>1</v>
      </c>
    </row>
    <row r="41" spans="6:8">
      <c r="F41" s="40">
        <f t="shared" si="0"/>
        <v>0</v>
      </c>
      <c r="G41" s="580">
        <v>1</v>
      </c>
      <c r="H41" s="581">
        <f t="shared" si="1"/>
        <v>1</v>
      </c>
    </row>
    <row r="42" spans="6:8">
      <c r="F42" s="40">
        <f t="shared" si="0"/>
        <v>0</v>
      </c>
      <c r="G42" s="580">
        <v>1</v>
      </c>
      <c r="H42" s="581">
        <f t="shared" si="1"/>
        <v>1</v>
      </c>
    </row>
    <row r="43" spans="6:8">
      <c r="F43" s="40">
        <f t="shared" si="0"/>
        <v>0</v>
      </c>
      <c r="G43" s="580">
        <v>1</v>
      </c>
      <c r="H43" s="581">
        <f t="shared" si="1"/>
        <v>1</v>
      </c>
    </row>
  </sheetData>
  <autoFilter ref="A1:L29">
    <filterColumn colId="6" showButton="0"/>
  </autoFilter>
  <sortState ref="A26:L32">
    <sortCondition ref="J26:J32"/>
  </sortState>
  <mergeCells count="1">
    <mergeCell ref="G1:H1"/>
  </mergeCells>
  <pageMargins left="0.7" right="0.7" top="0.75" bottom="0.75" header="0.3" footer="0.3"/>
  <pageSetup paperSize="9" orientation="portrait" horizontalDpi="180" verticalDpi="18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M68"/>
  <sheetViews>
    <sheetView zoomScaleNormal="100" workbookViewId="0">
      <selection activeCell="M12" sqref="M12"/>
    </sheetView>
  </sheetViews>
  <sheetFormatPr baseColWidth="10" defaultRowHeight="15"/>
  <cols>
    <col min="1" max="1" width="5.7109375" style="359" bestFit="1" customWidth="1"/>
    <col min="2" max="2" width="29.42578125" style="359" bestFit="1" customWidth="1"/>
    <col min="3" max="3" width="9" style="359" bestFit="1" customWidth="1"/>
    <col min="4" max="4" width="10.7109375" style="89" bestFit="1" customWidth="1"/>
    <col min="5" max="5" width="11.42578125" style="89" bestFit="1" customWidth="1"/>
    <col min="6" max="6" width="11" style="359" bestFit="1" customWidth="1"/>
    <col min="7" max="7" width="2" style="40" bestFit="1" customWidth="1"/>
    <col min="8" max="8" width="2" style="359" customWidth="1"/>
    <col min="9" max="9" width="11" style="359" bestFit="1" customWidth="1"/>
    <col min="10" max="10" width="10.5703125" style="359" bestFit="1" customWidth="1"/>
    <col min="11" max="11" width="10.7109375" style="89" bestFit="1" customWidth="1"/>
    <col min="12" max="12" width="8.7109375" style="359" bestFit="1" customWidth="1"/>
    <col min="13" max="13" width="13.85546875" style="359" bestFit="1" customWidth="1"/>
    <col min="14" max="16384" width="11.42578125" style="359"/>
  </cols>
  <sheetData>
    <row r="1" spans="1:13" s="567" customFormat="1" ht="12.75">
      <c r="A1" s="561" t="s">
        <v>781</v>
      </c>
      <c r="B1" s="561" t="s">
        <v>782</v>
      </c>
      <c r="C1" s="562" t="s">
        <v>783</v>
      </c>
      <c r="D1" s="563" t="s">
        <v>784</v>
      </c>
      <c r="E1" s="563" t="s">
        <v>785</v>
      </c>
      <c r="F1" s="579" t="s">
        <v>786</v>
      </c>
      <c r="G1" s="859" t="s">
        <v>787</v>
      </c>
      <c r="H1" s="859"/>
      <c r="I1" s="565" t="s">
        <v>788</v>
      </c>
      <c r="J1" s="565" t="s">
        <v>749</v>
      </c>
      <c r="K1" s="563" t="s">
        <v>10</v>
      </c>
      <c r="L1" s="566" t="s">
        <v>789</v>
      </c>
      <c r="M1" s="566" t="s">
        <v>790</v>
      </c>
    </row>
    <row r="2" spans="1:13">
      <c r="A2" s="359" t="s">
        <v>791</v>
      </c>
      <c r="B2" s="359" t="s">
        <v>812</v>
      </c>
      <c r="C2" s="559" t="s">
        <v>1329</v>
      </c>
      <c r="D2" s="89">
        <v>43421</v>
      </c>
      <c r="F2" s="40">
        <f t="shared" ref="F2:F33" si="0">SUM(I2*G2)</f>
        <v>1058.8699999999999</v>
      </c>
      <c r="G2" s="580">
        <v>1</v>
      </c>
      <c r="H2" s="581">
        <f t="shared" ref="H2:H33" si="1">IF(E2="",1,0)</f>
        <v>1</v>
      </c>
      <c r="I2" s="40">
        <v>1058.8699999999999</v>
      </c>
      <c r="J2" s="89" t="s">
        <v>883</v>
      </c>
      <c r="K2" s="89">
        <f>+D2</f>
        <v>43421</v>
      </c>
      <c r="L2" s="559" t="s">
        <v>1334</v>
      </c>
      <c r="M2" s="359" t="s">
        <v>1295</v>
      </c>
    </row>
    <row r="3" spans="1:13">
      <c r="A3" s="359" t="s">
        <v>791</v>
      </c>
      <c r="B3" s="359" t="s">
        <v>881</v>
      </c>
      <c r="C3" s="559" t="s">
        <v>882</v>
      </c>
      <c r="D3" s="89">
        <v>43105</v>
      </c>
      <c r="F3" s="40">
        <f t="shared" si="0"/>
        <v>522.74599999999998</v>
      </c>
      <c r="G3" s="580">
        <v>1</v>
      </c>
      <c r="H3" s="581">
        <f t="shared" si="1"/>
        <v>1</v>
      </c>
      <c r="I3" s="40">
        <v>522.74599999999998</v>
      </c>
      <c r="J3" s="40" t="s">
        <v>883</v>
      </c>
      <c r="K3" s="89">
        <f>D3</f>
        <v>43105</v>
      </c>
      <c r="L3" s="559" t="s">
        <v>884</v>
      </c>
      <c r="M3" s="673" t="s">
        <v>1295</v>
      </c>
    </row>
    <row r="4" spans="1:13">
      <c r="A4" s="359" t="s">
        <v>791</v>
      </c>
      <c r="B4" s="359" t="s">
        <v>820</v>
      </c>
      <c r="C4" s="559" t="s">
        <v>885</v>
      </c>
      <c r="D4" s="89">
        <v>43216</v>
      </c>
      <c r="F4" s="40">
        <f t="shared" si="0"/>
        <v>143.4</v>
      </c>
      <c r="G4" s="580">
        <v>1</v>
      </c>
      <c r="H4" s="581">
        <f t="shared" si="1"/>
        <v>1</v>
      </c>
      <c r="I4" s="40">
        <v>143.4</v>
      </c>
      <c r="J4" s="40" t="s">
        <v>883</v>
      </c>
      <c r="K4" s="89">
        <f>D4</f>
        <v>43216</v>
      </c>
      <c r="L4" s="559" t="s">
        <v>886</v>
      </c>
      <c r="M4" s="673" t="s">
        <v>1295</v>
      </c>
    </row>
    <row r="5" spans="1:13">
      <c r="A5" s="359" t="s">
        <v>791</v>
      </c>
      <c r="B5" s="359" t="s">
        <v>820</v>
      </c>
      <c r="C5" s="559" t="s">
        <v>892</v>
      </c>
      <c r="D5" s="89">
        <v>43327</v>
      </c>
      <c r="F5" s="40">
        <f t="shared" si="0"/>
        <v>1130.5440000000001</v>
      </c>
      <c r="G5" s="580">
        <v>1</v>
      </c>
      <c r="H5" s="581">
        <f t="shared" si="1"/>
        <v>1</v>
      </c>
      <c r="I5" s="40">
        <v>1130.5440000000001</v>
      </c>
      <c r="J5" s="40" t="s">
        <v>883</v>
      </c>
      <c r="K5" s="89">
        <f>D5</f>
        <v>43327</v>
      </c>
      <c r="L5" s="559" t="s">
        <v>893</v>
      </c>
      <c r="M5" s="92" t="s">
        <v>1295</v>
      </c>
    </row>
    <row r="6" spans="1:13">
      <c r="A6" s="359" t="s">
        <v>791</v>
      </c>
      <c r="B6" s="359" t="s">
        <v>812</v>
      </c>
      <c r="C6" s="559" t="s">
        <v>1086</v>
      </c>
      <c r="D6" s="89">
        <v>43383</v>
      </c>
      <c r="F6" s="40">
        <f t="shared" si="0"/>
        <v>635.55700000000002</v>
      </c>
      <c r="G6" s="580">
        <v>1</v>
      </c>
      <c r="H6" s="581">
        <f t="shared" si="1"/>
        <v>1</v>
      </c>
      <c r="I6" s="40">
        <v>635.55700000000002</v>
      </c>
      <c r="J6" s="359" t="s">
        <v>883</v>
      </c>
      <c r="K6" s="89">
        <v>43383</v>
      </c>
      <c r="L6" s="559" t="s">
        <v>1088</v>
      </c>
      <c r="M6" s="92" t="s">
        <v>1295</v>
      </c>
    </row>
    <row r="7" spans="1:13">
      <c r="A7" s="359" t="s">
        <v>791</v>
      </c>
      <c r="B7" s="359" t="s">
        <v>1158</v>
      </c>
      <c r="C7" s="559" t="s">
        <v>1157</v>
      </c>
      <c r="D7" s="89">
        <v>43395</v>
      </c>
      <c r="F7" s="40">
        <f t="shared" si="0"/>
        <v>1524.78</v>
      </c>
      <c r="G7" s="580">
        <v>1</v>
      </c>
      <c r="H7" s="581">
        <f t="shared" si="1"/>
        <v>1</v>
      </c>
      <c r="I7" s="40">
        <v>1524.78</v>
      </c>
      <c r="J7" s="40" t="s">
        <v>883</v>
      </c>
      <c r="K7" s="89">
        <f>+D7</f>
        <v>43395</v>
      </c>
      <c r="L7" s="559" t="s">
        <v>1021</v>
      </c>
      <c r="M7" s="359" t="s">
        <v>1295</v>
      </c>
    </row>
    <row r="8" spans="1:13">
      <c r="A8" s="359" t="s">
        <v>791</v>
      </c>
      <c r="B8" s="359" t="s">
        <v>812</v>
      </c>
      <c r="C8" s="559" t="s">
        <v>1174</v>
      </c>
      <c r="D8" s="89">
        <v>43402</v>
      </c>
      <c r="F8" s="40">
        <f t="shared" si="0"/>
        <v>112.666</v>
      </c>
      <c r="G8" s="580">
        <v>1</v>
      </c>
      <c r="H8" s="581">
        <f t="shared" si="1"/>
        <v>1</v>
      </c>
      <c r="I8" s="40">
        <v>112.666</v>
      </c>
      <c r="J8" s="359" t="s">
        <v>883</v>
      </c>
      <c r="K8" s="89">
        <f>+D8</f>
        <v>43402</v>
      </c>
      <c r="L8" s="559" t="s">
        <v>1175</v>
      </c>
      <c r="M8" s="359" t="s">
        <v>1295</v>
      </c>
    </row>
    <row r="9" spans="1:13">
      <c r="A9" s="359" t="s">
        <v>791</v>
      </c>
      <c r="B9" s="359" t="s">
        <v>1255</v>
      </c>
      <c r="C9" s="559" t="s">
        <v>1253</v>
      </c>
      <c r="D9" s="89">
        <v>43410</v>
      </c>
      <c r="F9" s="40">
        <f t="shared" si="0"/>
        <v>5000.6000000000004</v>
      </c>
      <c r="G9" s="580">
        <v>1</v>
      </c>
      <c r="H9" s="581">
        <f t="shared" si="1"/>
        <v>1</v>
      </c>
      <c r="I9" s="40">
        <v>5000.6000000000004</v>
      </c>
      <c r="J9" s="359" t="s">
        <v>883</v>
      </c>
      <c r="K9" s="89">
        <f>+D9</f>
        <v>43410</v>
      </c>
      <c r="L9" s="559" t="s">
        <v>1254</v>
      </c>
      <c r="M9" s="359" t="s">
        <v>1295</v>
      </c>
    </row>
    <row r="10" spans="1:13">
      <c r="A10" s="359" t="s">
        <v>791</v>
      </c>
      <c r="B10" s="359" t="s">
        <v>887</v>
      </c>
      <c r="C10" s="559" t="s">
        <v>888</v>
      </c>
      <c r="D10" s="89">
        <v>43284</v>
      </c>
      <c r="F10" s="40">
        <f t="shared" si="0"/>
        <v>95.2</v>
      </c>
      <c r="G10" s="580">
        <v>1</v>
      </c>
      <c r="H10" s="581">
        <f t="shared" si="1"/>
        <v>1</v>
      </c>
      <c r="I10" s="40">
        <v>95.2</v>
      </c>
      <c r="J10" s="40" t="s">
        <v>883</v>
      </c>
      <c r="K10" s="89">
        <f>D10</f>
        <v>43284</v>
      </c>
      <c r="L10" s="559" t="s">
        <v>889</v>
      </c>
      <c r="M10" s="673" t="s">
        <v>1295</v>
      </c>
    </row>
    <row r="11" spans="1:13">
      <c r="A11" s="359" t="s">
        <v>791</v>
      </c>
      <c r="B11" s="359" t="s">
        <v>887</v>
      </c>
      <c r="C11" s="559" t="s">
        <v>890</v>
      </c>
      <c r="D11" s="89">
        <v>43287</v>
      </c>
      <c r="F11" s="40">
        <f t="shared" si="0"/>
        <v>303.45</v>
      </c>
      <c r="G11" s="580">
        <v>1</v>
      </c>
      <c r="H11" s="581">
        <f t="shared" si="1"/>
        <v>1</v>
      </c>
      <c r="I11" s="40">
        <v>303.45</v>
      </c>
      <c r="J11" s="40" t="s">
        <v>883</v>
      </c>
      <c r="K11" s="89">
        <f>D11</f>
        <v>43287</v>
      </c>
      <c r="L11" s="559" t="s">
        <v>891</v>
      </c>
      <c r="M11" s="673" t="s">
        <v>1295</v>
      </c>
    </row>
    <row r="12" spans="1:13">
      <c r="A12" s="359" t="s">
        <v>791</v>
      </c>
      <c r="B12" s="359" t="s">
        <v>1400</v>
      </c>
      <c r="C12" s="559" t="s">
        <v>1436</v>
      </c>
      <c r="D12" s="89">
        <v>43428</v>
      </c>
      <c r="E12" s="89">
        <v>43440</v>
      </c>
      <c r="F12" s="40">
        <f t="shared" si="0"/>
        <v>62.212000000000003</v>
      </c>
      <c r="G12" s="580">
        <v>1</v>
      </c>
      <c r="H12" s="581">
        <f t="shared" si="1"/>
        <v>0</v>
      </c>
      <c r="I12" s="40">
        <v>62.212000000000003</v>
      </c>
      <c r="J12" s="89" t="s">
        <v>883</v>
      </c>
      <c r="K12" s="89">
        <v>43428</v>
      </c>
      <c r="L12" s="559" t="s">
        <v>1437</v>
      </c>
    </row>
    <row r="13" spans="1:13">
      <c r="A13" s="359" t="s">
        <v>791</v>
      </c>
      <c r="B13" s="359" t="s">
        <v>1572</v>
      </c>
      <c r="C13" s="559" t="s">
        <v>1567</v>
      </c>
      <c r="D13" s="89">
        <v>43438</v>
      </c>
      <c r="F13" s="40">
        <f t="shared" si="0"/>
        <v>952.6</v>
      </c>
      <c r="G13" s="580">
        <v>1</v>
      </c>
      <c r="H13" s="581">
        <f t="shared" si="1"/>
        <v>1</v>
      </c>
      <c r="I13" s="40">
        <v>952.6</v>
      </c>
      <c r="J13" s="89" t="s">
        <v>883</v>
      </c>
      <c r="K13" s="89">
        <f>+D13</f>
        <v>43438</v>
      </c>
      <c r="L13" s="559" t="s">
        <v>1571</v>
      </c>
      <c r="M13" s="359" t="s">
        <v>1295</v>
      </c>
    </row>
    <row r="14" spans="1:13">
      <c r="A14" s="359" t="s">
        <v>791</v>
      </c>
      <c r="B14" s="359" t="s">
        <v>1559</v>
      </c>
      <c r="C14" s="559" t="s">
        <v>1562</v>
      </c>
      <c r="D14" s="89">
        <v>43439</v>
      </c>
      <c r="F14" s="40">
        <f t="shared" si="0"/>
        <v>717.06</v>
      </c>
      <c r="G14" s="580">
        <v>1</v>
      </c>
      <c r="H14" s="581">
        <f t="shared" si="1"/>
        <v>1</v>
      </c>
      <c r="I14" s="40">
        <v>717.06</v>
      </c>
      <c r="J14" s="89" t="s">
        <v>883</v>
      </c>
      <c r="K14" s="89">
        <f>+D14</f>
        <v>43439</v>
      </c>
      <c r="L14" s="559" t="s">
        <v>1568</v>
      </c>
      <c r="M14" s="359" t="s">
        <v>1295</v>
      </c>
    </row>
    <row r="15" spans="1:13">
      <c r="A15" s="359" t="s">
        <v>791</v>
      </c>
      <c r="B15" s="359" t="s">
        <v>1017</v>
      </c>
      <c r="C15" s="559" t="s">
        <v>1565</v>
      </c>
      <c r="D15" s="89">
        <v>43439</v>
      </c>
      <c r="E15" s="89">
        <v>43439</v>
      </c>
      <c r="F15" s="40">
        <f t="shared" si="0"/>
        <v>673.34799999999996</v>
      </c>
      <c r="G15" s="580">
        <v>1</v>
      </c>
      <c r="H15" s="581">
        <f t="shared" si="1"/>
        <v>0</v>
      </c>
      <c r="I15" s="40">
        <v>673.34799999999996</v>
      </c>
      <c r="J15" s="89" t="s">
        <v>1574</v>
      </c>
      <c r="K15" s="89">
        <f>+D15</f>
        <v>43439</v>
      </c>
      <c r="L15" s="559" t="s">
        <v>1117</v>
      </c>
    </row>
    <row r="16" spans="1:13">
      <c r="A16" s="359" t="s">
        <v>791</v>
      </c>
      <c r="B16" s="359" t="s">
        <v>1017</v>
      </c>
      <c r="C16" s="559" t="s">
        <v>1564</v>
      </c>
      <c r="D16" s="89">
        <v>43439</v>
      </c>
      <c r="E16" s="89">
        <v>43439</v>
      </c>
      <c r="F16" s="40">
        <f t="shared" si="0"/>
        <v>557.70000000000005</v>
      </c>
      <c r="G16" s="580">
        <v>1</v>
      </c>
      <c r="H16" s="581">
        <f t="shared" si="1"/>
        <v>0</v>
      </c>
      <c r="I16" s="40">
        <v>557.70000000000005</v>
      </c>
      <c r="J16" s="89" t="s">
        <v>883</v>
      </c>
      <c r="K16" s="89">
        <f>+D16</f>
        <v>43439</v>
      </c>
      <c r="L16" s="559" t="s">
        <v>1570</v>
      </c>
    </row>
    <row r="17" spans="1:13">
      <c r="A17" s="359" t="s">
        <v>791</v>
      </c>
      <c r="B17" s="359" t="s">
        <v>1561</v>
      </c>
      <c r="C17" s="559" t="s">
        <v>1563</v>
      </c>
      <c r="D17" s="89">
        <v>43439</v>
      </c>
      <c r="E17" s="89">
        <v>43439</v>
      </c>
      <c r="F17" s="40">
        <f t="shared" si="0"/>
        <v>9942.7029999999995</v>
      </c>
      <c r="G17" s="580">
        <v>1</v>
      </c>
      <c r="H17" s="581">
        <f t="shared" si="1"/>
        <v>0</v>
      </c>
      <c r="I17" s="40">
        <v>9942.7029999999995</v>
      </c>
      <c r="J17" s="89" t="s">
        <v>883</v>
      </c>
      <c r="K17" s="89">
        <f>+D17</f>
        <v>43439</v>
      </c>
      <c r="L17" s="559" t="s">
        <v>1569</v>
      </c>
    </row>
    <row r="18" spans="1:13">
      <c r="A18" s="359" t="s">
        <v>818</v>
      </c>
      <c r="B18" s="359" t="s">
        <v>894</v>
      </c>
      <c r="C18" s="559" t="s">
        <v>1011</v>
      </c>
      <c r="D18" s="89">
        <v>43367</v>
      </c>
      <c r="E18" s="89">
        <v>43368</v>
      </c>
      <c r="F18" s="40">
        <f t="shared" si="0"/>
        <v>75000</v>
      </c>
      <c r="G18" s="580">
        <v>1</v>
      </c>
      <c r="H18" s="581">
        <f t="shared" si="1"/>
        <v>0</v>
      </c>
      <c r="I18" s="40">
        <v>75000</v>
      </c>
      <c r="J18" s="40" t="s">
        <v>883</v>
      </c>
      <c r="K18" s="89">
        <v>43444</v>
      </c>
      <c r="L18" s="559" t="s">
        <v>1015</v>
      </c>
    </row>
    <row r="19" spans="1:13">
      <c r="A19" s="359" t="s">
        <v>818</v>
      </c>
      <c r="B19" s="359" t="s">
        <v>112</v>
      </c>
      <c r="C19" s="559" t="s">
        <v>1009</v>
      </c>
      <c r="D19" s="89">
        <v>43367</v>
      </c>
      <c r="E19" s="89">
        <v>43368</v>
      </c>
      <c r="F19" s="40">
        <f t="shared" si="0"/>
        <v>25000</v>
      </c>
      <c r="G19" s="580">
        <v>1</v>
      </c>
      <c r="H19" s="581">
        <f t="shared" si="1"/>
        <v>0</v>
      </c>
      <c r="I19" s="40">
        <v>25000</v>
      </c>
      <c r="J19" s="40" t="s">
        <v>883</v>
      </c>
      <c r="K19" s="89">
        <v>43444</v>
      </c>
      <c r="L19" s="559" t="s">
        <v>1013</v>
      </c>
    </row>
    <row r="20" spans="1:13">
      <c r="A20" s="359" t="s">
        <v>818</v>
      </c>
      <c r="B20" s="359" t="s">
        <v>850</v>
      </c>
      <c r="C20" s="559" t="s">
        <v>1085</v>
      </c>
      <c r="D20" s="89">
        <v>43385</v>
      </c>
      <c r="E20" s="89">
        <v>43427</v>
      </c>
      <c r="F20" s="40">
        <f t="shared" si="0"/>
        <v>2208.9920000000002</v>
      </c>
      <c r="G20" s="580">
        <v>1</v>
      </c>
      <c r="H20" s="581">
        <f t="shared" si="1"/>
        <v>0</v>
      </c>
      <c r="I20" s="40">
        <v>2208.9920000000002</v>
      </c>
      <c r="J20" s="359" t="s">
        <v>883</v>
      </c>
      <c r="K20" s="89">
        <v>43449</v>
      </c>
      <c r="L20" s="559" t="s">
        <v>1087</v>
      </c>
      <c r="M20" s="92"/>
    </row>
    <row r="21" spans="1:13">
      <c r="A21" s="359" t="s">
        <v>818</v>
      </c>
      <c r="B21" s="359" t="s">
        <v>894</v>
      </c>
      <c r="C21" s="559" t="s">
        <v>1010</v>
      </c>
      <c r="D21" s="89">
        <v>43367</v>
      </c>
      <c r="E21" s="89">
        <v>43368</v>
      </c>
      <c r="F21" s="40">
        <f t="shared" si="0"/>
        <v>75000</v>
      </c>
      <c r="G21" s="580">
        <v>1</v>
      </c>
      <c r="H21" s="581">
        <f t="shared" si="1"/>
        <v>0</v>
      </c>
      <c r="I21" s="40">
        <v>75000</v>
      </c>
      <c r="J21" s="40" t="s">
        <v>883</v>
      </c>
      <c r="K21" s="89">
        <v>43454</v>
      </c>
      <c r="L21" s="559" t="s">
        <v>1014</v>
      </c>
    </row>
    <row r="22" spans="1:13">
      <c r="A22" s="359" t="s">
        <v>818</v>
      </c>
      <c r="B22" s="359" t="s">
        <v>112</v>
      </c>
      <c r="C22" s="559" t="s">
        <v>1008</v>
      </c>
      <c r="D22" s="89">
        <v>43367</v>
      </c>
      <c r="E22" s="89">
        <v>43368</v>
      </c>
      <c r="F22" s="40">
        <f t="shared" si="0"/>
        <v>25000</v>
      </c>
      <c r="G22" s="580">
        <v>1</v>
      </c>
      <c r="H22" s="581">
        <f t="shared" si="1"/>
        <v>0</v>
      </c>
      <c r="I22" s="40">
        <v>25000</v>
      </c>
      <c r="J22" s="40" t="s">
        <v>883</v>
      </c>
      <c r="K22" s="89">
        <v>43454</v>
      </c>
      <c r="L22" s="559" t="s">
        <v>1012</v>
      </c>
    </row>
    <row r="23" spans="1:13">
      <c r="A23" s="359" t="s">
        <v>818</v>
      </c>
      <c r="B23" s="359" t="s">
        <v>894</v>
      </c>
      <c r="C23" s="559" t="s">
        <v>1333</v>
      </c>
      <c r="D23" s="89">
        <v>43419</v>
      </c>
      <c r="E23" s="89">
        <v>43419</v>
      </c>
      <c r="F23" s="40">
        <f t="shared" si="0"/>
        <v>150000</v>
      </c>
      <c r="G23" s="580">
        <v>1</v>
      </c>
      <c r="H23" s="581">
        <f t="shared" si="1"/>
        <v>0</v>
      </c>
      <c r="I23" s="40">
        <v>150000</v>
      </c>
      <c r="J23" s="89" t="s">
        <v>883</v>
      </c>
      <c r="K23" s="89">
        <v>43459</v>
      </c>
      <c r="L23" s="559" t="s">
        <v>1338</v>
      </c>
    </row>
    <row r="24" spans="1:13">
      <c r="A24" s="359" t="s">
        <v>818</v>
      </c>
      <c r="B24" s="359" t="s">
        <v>894</v>
      </c>
      <c r="C24" s="559" t="s">
        <v>1332</v>
      </c>
      <c r="D24" s="89">
        <v>43419</v>
      </c>
      <c r="E24" s="89">
        <v>43419</v>
      </c>
      <c r="F24" s="40">
        <f t="shared" si="0"/>
        <v>150000</v>
      </c>
      <c r="G24" s="580">
        <v>1</v>
      </c>
      <c r="H24" s="581">
        <f t="shared" si="1"/>
        <v>0</v>
      </c>
      <c r="I24" s="40">
        <v>150000</v>
      </c>
      <c r="J24" s="89" t="s">
        <v>883</v>
      </c>
      <c r="K24" s="89">
        <v>43475</v>
      </c>
      <c r="L24" s="559" t="s">
        <v>1337</v>
      </c>
    </row>
    <row r="25" spans="1:13">
      <c r="A25" s="359" t="s">
        <v>818</v>
      </c>
      <c r="B25" s="359" t="s">
        <v>894</v>
      </c>
      <c r="C25" s="559" t="s">
        <v>1331</v>
      </c>
      <c r="D25" s="89">
        <v>43419</v>
      </c>
      <c r="E25" s="89">
        <v>43419</v>
      </c>
      <c r="F25" s="40">
        <f t="shared" si="0"/>
        <v>150000</v>
      </c>
      <c r="G25" s="580">
        <v>1</v>
      </c>
      <c r="H25" s="581">
        <f t="shared" si="1"/>
        <v>0</v>
      </c>
      <c r="I25" s="40">
        <v>150000</v>
      </c>
      <c r="J25" s="89" t="s">
        <v>883</v>
      </c>
      <c r="K25" s="89">
        <v>43485</v>
      </c>
      <c r="L25" s="559" t="s">
        <v>1336</v>
      </c>
    </row>
    <row r="26" spans="1:13">
      <c r="A26" s="359" t="s">
        <v>818</v>
      </c>
      <c r="B26" s="359" t="s">
        <v>894</v>
      </c>
      <c r="C26" s="559" t="s">
        <v>1330</v>
      </c>
      <c r="D26" s="89">
        <v>43419</v>
      </c>
      <c r="E26" s="89">
        <v>43419</v>
      </c>
      <c r="F26" s="40">
        <f t="shared" si="0"/>
        <v>150000</v>
      </c>
      <c r="G26" s="580">
        <v>1</v>
      </c>
      <c r="H26" s="581">
        <f t="shared" si="1"/>
        <v>0</v>
      </c>
      <c r="I26" s="40">
        <v>150000</v>
      </c>
      <c r="J26" s="89" t="s">
        <v>883</v>
      </c>
      <c r="K26" s="89">
        <v>43506</v>
      </c>
      <c r="L26" s="559" t="s">
        <v>1335</v>
      </c>
    </row>
    <row r="27" spans="1:13">
      <c r="A27" s="359" t="s">
        <v>791</v>
      </c>
      <c r="B27" s="359" t="s">
        <v>1017</v>
      </c>
      <c r="C27" s="559" t="s">
        <v>1566</v>
      </c>
      <c r="D27" s="89">
        <v>43439</v>
      </c>
      <c r="E27" s="89">
        <v>43439</v>
      </c>
      <c r="F27" s="40">
        <f t="shared" si="0"/>
        <v>446.80099999999999</v>
      </c>
      <c r="G27" s="580">
        <v>1</v>
      </c>
      <c r="H27" s="581">
        <f t="shared" si="1"/>
        <v>0</v>
      </c>
      <c r="I27" s="40">
        <v>446.80099999999999</v>
      </c>
      <c r="J27" s="89" t="s">
        <v>1573</v>
      </c>
      <c r="K27" s="89">
        <f>+D27</f>
        <v>43439</v>
      </c>
      <c r="L27" s="559" t="s">
        <v>740</v>
      </c>
    </row>
    <row r="28" spans="1:13">
      <c r="F28" s="40">
        <f t="shared" si="0"/>
        <v>0</v>
      </c>
      <c r="G28" s="580">
        <v>1</v>
      </c>
      <c r="H28" s="581">
        <f t="shared" si="1"/>
        <v>1</v>
      </c>
      <c r="I28" s="40"/>
      <c r="J28" s="89"/>
      <c r="K28" s="359"/>
    </row>
    <row r="29" spans="1:13">
      <c r="F29" s="40">
        <f t="shared" si="0"/>
        <v>0</v>
      </c>
      <c r="G29" s="580">
        <v>1</v>
      </c>
      <c r="H29" s="581">
        <f t="shared" si="1"/>
        <v>1</v>
      </c>
      <c r="I29" s="40"/>
      <c r="J29" s="89"/>
      <c r="K29" s="359"/>
    </row>
    <row r="30" spans="1:13">
      <c r="F30" s="40">
        <f t="shared" si="0"/>
        <v>0</v>
      </c>
      <c r="G30" s="580">
        <v>1</v>
      </c>
      <c r="H30" s="581">
        <f t="shared" si="1"/>
        <v>1</v>
      </c>
      <c r="I30" s="40"/>
      <c r="J30" s="89"/>
      <c r="K30" s="359"/>
    </row>
    <row r="31" spans="1:13">
      <c r="F31" s="40">
        <f t="shared" si="0"/>
        <v>0</v>
      </c>
      <c r="G31" s="580">
        <v>1</v>
      </c>
      <c r="H31" s="581">
        <f t="shared" si="1"/>
        <v>1</v>
      </c>
      <c r="I31" s="40"/>
      <c r="J31" s="89"/>
      <c r="K31" s="359"/>
    </row>
    <row r="32" spans="1:13">
      <c r="F32" s="40">
        <f t="shared" si="0"/>
        <v>0</v>
      </c>
      <c r="G32" s="580">
        <v>1</v>
      </c>
      <c r="H32" s="581">
        <f t="shared" si="1"/>
        <v>1</v>
      </c>
      <c r="I32" s="40"/>
      <c r="J32" s="89"/>
      <c r="K32" s="359"/>
    </row>
    <row r="33" spans="6:11">
      <c r="F33" s="40">
        <f t="shared" si="0"/>
        <v>0</v>
      </c>
      <c r="G33" s="580">
        <v>1</v>
      </c>
      <c r="H33" s="581">
        <f t="shared" si="1"/>
        <v>1</v>
      </c>
      <c r="I33" s="40"/>
      <c r="J33" s="89"/>
      <c r="K33" s="359"/>
    </row>
    <row r="34" spans="6:11">
      <c r="F34" s="40">
        <f t="shared" ref="F34:F55" si="2">SUM(I34*G34)</f>
        <v>0</v>
      </c>
      <c r="G34" s="580">
        <v>1</v>
      </c>
      <c r="H34" s="581">
        <f t="shared" ref="H34:H55" si="3">IF(E34="",1,0)</f>
        <v>1</v>
      </c>
      <c r="I34" s="40"/>
      <c r="J34" s="89"/>
      <c r="K34" s="359"/>
    </row>
    <row r="35" spans="6:11">
      <c r="F35" s="40">
        <f t="shared" si="2"/>
        <v>0</v>
      </c>
      <c r="G35" s="580">
        <v>1</v>
      </c>
      <c r="H35" s="581">
        <f t="shared" si="3"/>
        <v>1</v>
      </c>
      <c r="I35" s="40"/>
      <c r="J35" s="89"/>
      <c r="K35" s="359"/>
    </row>
    <row r="36" spans="6:11">
      <c r="F36" s="40">
        <f t="shared" si="2"/>
        <v>0</v>
      </c>
      <c r="G36" s="580">
        <v>1</v>
      </c>
      <c r="H36" s="581">
        <f t="shared" si="3"/>
        <v>1</v>
      </c>
      <c r="I36" s="40"/>
      <c r="J36" s="89"/>
      <c r="K36" s="359"/>
    </row>
    <row r="37" spans="6:11">
      <c r="F37" s="40">
        <f t="shared" si="2"/>
        <v>0</v>
      </c>
      <c r="G37" s="580">
        <v>1</v>
      </c>
      <c r="H37" s="581">
        <f t="shared" si="3"/>
        <v>1</v>
      </c>
      <c r="I37" s="40"/>
      <c r="J37" s="89"/>
      <c r="K37" s="359"/>
    </row>
    <row r="38" spans="6:11">
      <c r="F38" s="40">
        <f t="shared" si="2"/>
        <v>0</v>
      </c>
      <c r="G38" s="580">
        <v>1</v>
      </c>
      <c r="H38" s="581">
        <f t="shared" si="3"/>
        <v>1</v>
      </c>
      <c r="I38" s="40"/>
      <c r="J38" s="89"/>
      <c r="K38" s="359"/>
    </row>
    <row r="39" spans="6:11">
      <c r="F39" s="40">
        <f t="shared" si="2"/>
        <v>0</v>
      </c>
      <c r="G39" s="580">
        <v>1</v>
      </c>
      <c r="H39" s="581">
        <f t="shared" si="3"/>
        <v>1</v>
      </c>
      <c r="I39" s="40"/>
      <c r="J39" s="89"/>
      <c r="K39" s="359"/>
    </row>
    <row r="40" spans="6:11">
      <c r="F40" s="40">
        <f t="shared" si="2"/>
        <v>0</v>
      </c>
      <c r="G40" s="580">
        <v>1</v>
      </c>
      <c r="H40" s="581">
        <f t="shared" si="3"/>
        <v>1</v>
      </c>
      <c r="I40" s="40"/>
      <c r="J40" s="89"/>
      <c r="K40" s="359"/>
    </row>
    <row r="41" spans="6:11">
      <c r="F41" s="40">
        <f t="shared" si="2"/>
        <v>0</v>
      </c>
      <c r="G41" s="580">
        <v>1</v>
      </c>
      <c r="H41" s="581">
        <f t="shared" si="3"/>
        <v>1</v>
      </c>
      <c r="I41" s="40"/>
      <c r="J41" s="89"/>
      <c r="K41" s="359"/>
    </row>
    <row r="42" spans="6:11">
      <c r="F42" s="40">
        <f t="shared" si="2"/>
        <v>0</v>
      </c>
      <c r="G42" s="580">
        <v>1</v>
      </c>
      <c r="H42" s="581">
        <f t="shared" si="3"/>
        <v>1</v>
      </c>
      <c r="I42" s="40"/>
      <c r="J42" s="89"/>
      <c r="K42" s="359"/>
    </row>
    <row r="43" spans="6:11">
      <c r="F43" s="40">
        <f t="shared" si="2"/>
        <v>0</v>
      </c>
      <c r="G43" s="580">
        <v>1</v>
      </c>
      <c r="H43" s="581">
        <f t="shared" si="3"/>
        <v>1</v>
      </c>
      <c r="I43" s="40"/>
      <c r="J43" s="89"/>
      <c r="K43" s="359"/>
    </row>
    <row r="44" spans="6:11">
      <c r="F44" s="40">
        <f t="shared" si="2"/>
        <v>0</v>
      </c>
      <c r="G44" s="580">
        <v>1</v>
      </c>
      <c r="H44" s="581">
        <f t="shared" si="3"/>
        <v>1</v>
      </c>
      <c r="I44" s="40"/>
      <c r="J44" s="89"/>
      <c r="K44" s="359"/>
    </row>
    <row r="45" spans="6:11">
      <c r="F45" s="40">
        <f t="shared" si="2"/>
        <v>0</v>
      </c>
      <c r="G45" s="580">
        <v>1</v>
      </c>
      <c r="H45" s="581">
        <f t="shared" si="3"/>
        <v>1</v>
      </c>
      <c r="I45" s="40"/>
      <c r="J45" s="89"/>
      <c r="K45" s="359"/>
    </row>
    <row r="46" spans="6:11">
      <c r="F46" s="40">
        <f t="shared" si="2"/>
        <v>0</v>
      </c>
      <c r="G46" s="580">
        <v>1</v>
      </c>
      <c r="H46" s="581">
        <f t="shared" si="3"/>
        <v>1</v>
      </c>
      <c r="I46" s="40"/>
      <c r="J46" s="89"/>
      <c r="K46" s="359"/>
    </row>
    <row r="47" spans="6:11">
      <c r="F47" s="40">
        <f t="shared" si="2"/>
        <v>0</v>
      </c>
      <c r="G47" s="580">
        <v>1</v>
      </c>
      <c r="H47" s="581">
        <f t="shared" si="3"/>
        <v>1</v>
      </c>
      <c r="I47" s="40"/>
      <c r="J47" s="89"/>
      <c r="K47" s="359"/>
    </row>
    <row r="48" spans="6:11">
      <c r="F48" s="40">
        <f t="shared" si="2"/>
        <v>0</v>
      </c>
      <c r="G48" s="580">
        <v>1</v>
      </c>
      <c r="H48" s="581">
        <f t="shared" si="3"/>
        <v>1</v>
      </c>
      <c r="I48" s="40"/>
      <c r="J48" s="89"/>
      <c r="K48" s="359"/>
    </row>
    <row r="49" spans="6:11">
      <c r="F49" s="40">
        <f t="shared" si="2"/>
        <v>0</v>
      </c>
      <c r="G49" s="580">
        <v>1</v>
      </c>
      <c r="H49" s="581">
        <f t="shared" si="3"/>
        <v>1</v>
      </c>
      <c r="I49" s="40"/>
      <c r="J49" s="89"/>
      <c r="K49" s="359"/>
    </row>
    <row r="50" spans="6:11">
      <c r="F50" s="40">
        <f t="shared" si="2"/>
        <v>0</v>
      </c>
      <c r="G50" s="580">
        <v>1</v>
      </c>
      <c r="H50" s="581">
        <f t="shared" si="3"/>
        <v>1</v>
      </c>
      <c r="I50" s="40"/>
      <c r="J50" s="89"/>
      <c r="K50" s="359"/>
    </row>
    <row r="51" spans="6:11">
      <c r="F51" s="40">
        <f t="shared" si="2"/>
        <v>0</v>
      </c>
      <c r="G51" s="580">
        <v>1</v>
      </c>
      <c r="H51" s="581">
        <f t="shared" si="3"/>
        <v>1</v>
      </c>
      <c r="I51" s="40"/>
      <c r="J51" s="89"/>
      <c r="K51" s="359"/>
    </row>
    <row r="52" spans="6:11">
      <c r="F52" s="40">
        <f t="shared" si="2"/>
        <v>0</v>
      </c>
      <c r="G52" s="580">
        <v>1</v>
      </c>
      <c r="H52" s="581">
        <f t="shared" si="3"/>
        <v>1</v>
      </c>
      <c r="I52" s="40"/>
      <c r="J52" s="89"/>
      <c r="K52" s="359"/>
    </row>
    <row r="53" spans="6:11">
      <c r="F53" s="40">
        <f t="shared" si="2"/>
        <v>0</v>
      </c>
      <c r="G53" s="580">
        <v>1</v>
      </c>
      <c r="H53" s="581">
        <f t="shared" si="3"/>
        <v>1</v>
      </c>
      <c r="I53" s="40"/>
      <c r="J53" s="89"/>
      <c r="K53" s="359"/>
    </row>
    <row r="54" spans="6:11">
      <c r="F54" s="40">
        <f t="shared" si="2"/>
        <v>0</v>
      </c>
      <c r="G54" s="580">
        <v>1</v>
      </c>
      <c r="H54" s="581">
        <f t="shared" si="3"/>
        <v>1</v>
      </c>
      <c r="I54" s="40"/>
      <c r="J54" s="89"/>
      <c r="K54" s="359"/>
    </row>
    <row r="55" spans="6:11">
      <c r="F55" s="40">
        <f t="shared" si="2"/>
        <v>0</v>
      </c>
      <c r="G55" s="580">
        <v>1</v>
      </c>
      <c r="H55" s="581">
        <f t="shared" si="3"/>
        <v>1</v>
      </c>
      <c r="I55" s="40"/>
      <c r="J55" s="89"/>
      <c r="K55" s="359"/>
    </row>
    <row r="56" spans="6:11">
      <c r="I56" s="40"/>
      <c r="J56" s="89"/>
      <c r="K56" s="359"/>
    </row>
    <row r="57" spans="6:11">
      <c r="I57" s="40"/>
      <c r="J57" s="89"/>
      <c r="K57" s="359"/>
    </row>
    <row r="58" spans="6:11">
      <c r="I58" s="40"/>
      <c r="J58" s="89"/>
      <c r="K58" s="359"/>
    </row>
    <row r="59" spans="6:11">
      <c r="I59" s="40"/>
      <c r="J59" s="89"/>
      <c r="K59" s="359"/>
    </row>
    <row r="60" spans="6:11">
      <c r="I60" s="40"/>
      <c r="J60" s="89"/>
      <c r="K60" s="359"/>
    </row>
    <row r="61" spans="6:11">
      <c r="I61" s="40"/>
      <c r="J61" s="89"/>
      <c r="K61" s="359"/>
    </row>
    <row r="62" spans="6:11">
      <c r="I62" s="40"/>
      <c r="J62" s="89"/>
      <c r="K62" s="359"/>
    </row>
    <row r="63" spans="6:11">
      <c r="I63" s="40"/>
      <c r="J63" s="89"/>
      <c r="K63" s="359"/>
    </row>
    <row r="64" spans="6:11">
      <c r="I64" s="40"/>
      <c r="J64" s="89"/>
      <c r="K64" s="359"/>
    </row>
    <row r="65" spans="9:11">
      <c r="I65" s="40"/>
      <c r="J65" s="89"/>
      <c r="K65" s="359"/>
    </row>
    <row r="66" spans="9:11">
      <c r="I66" s="40"/>
      <c r="J66" s="89"/>
      <c r="K66" s="359"/>
    </row>
    <row r="67" spans="9:11">
      <c r="I67" s="40"/>
      <c r="J67" s="89"/>
      <c r="K67" s="359"/>
    </row>
    <row r="68" spans="9:11">
      <c r="I68" s="40"/>
      <c r="J68" s="89"/>
      <c r="K68" s="359"/>
    </row>
  </sheetData>
  <autoFilter ref="A1:M15">
    <filterColumn colId="6" showButton="0"/>
  </autoFilter>
  <sortState ref="A15:M28">
    <sortCondition ref="J15:J28"/>
    <sortCondition ref="K15:K28"/>
  </sortState>
  <mergeCells count="1">
    <mergeCell ref="G1:H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27"/>
  <sheetViews>
    <sheetView zoomScaleNormal="100" workbookViewId="0">
      <selection activeCell="L6" sqref="L6"/>
    </sheetView>
  </sheetViews>
  <sheetFormatPr baseColWidth="10" defaultRowHeight="15"/>
  <cols>
    <col min="1" max="1" width="5.7109375" style="359" bestFit="1" customWidth="1"/>
    <col min="2" max="2" width="33.28515625" style="359" bestFit="1" customWidth="1"/>
    <col min="3" max="3" width="9" style="359" bestFit="1" customWidth="1"/>
    <col min="4" max="4" width="10.7109375" style="89" bestFit="1" customWidth="1"/>
    <col min="5" max="5" width="11.42578125" style="89" bestFit="1" customWidth="1"/>
    <col min="6" max="6" width="11" style="359" bestFit="1" customWidth="1"/>
    <col min="7" max="7" width="2" style="40" bestFit="1" customWidth="1"/>
    <col min="8" max="8" width="2" style="359" bestFit="1" customWidth="1"/>
    <col min="9" max="9" width="11" style="40" bestFit="1" customWidth="1"/>
    <col min="10" max="10" width="10.7109375" style="89" bestFit="1" customWidth="1"/>
    <col min="11" max="11" width="8.140625" style="359" bestFit="1" customWidth="1"/>
    <col min="12" max="12" width="13.85546875" style="359" bestFit="1" customWidth="1"/>
    <col min="13" max="16384" width="11.42578125" style="359"/>
  </cols>
  <sheetData>
    <row r="1" spans="1:12" s="567" customFormat="1" ht="12.75">
      <c r="A1" s="561" t="s">
        <v>781</v>
      </c>
      <c r="B1" s="561" t="s">
        <v>782</v>
      </c>
      <c r="C1" s="562" t="s">
        <v>783</v>
      </c>
      <c r="D1" s="563" t="s">
        <v>784</v>
      </c>
      <c r="E1" s="563" t="s">
        <v>785</v>
      </c>
      <c r="F1" s="579" t="s">
        <v>786</v>
      </c>
      <c r="G1" s="859" t="s">
        <v>787</v>
      </c>
      <c r="H1" s="859"/>
      <c r="I1" s="565" t="s">
        <v>788</v>
      </c>
      <c r="J1" s="563" t="s">
        <v>10</v>
      </c>
      <c r="K1" s="566" t="s">
        <v>789</v>
      </c>
      <c r="L1" s="566" t="s">
        <v>790</v>
      </c>
    </row>
    <row r="2" spans="1:12">
      <c r="A2" s="359" t="s">
        <v>791</v>
      </c>
      <c r="B2" s="359" t="s">
        <v>826</v>
      </c>
      <c r="C2" s="559" t="s">
        <v>895</v>
      </c>
      <c r="D2" s="89">
        <v>43287</v>
      </c>
      <c r="F2" s="40">
        <f t="shared" ref="F2:F27" si="0">SUM(I2*G2)</f>
        <v>532.61300000000006</v>
      </c>
      <c r="G2" s="580">
        <v>1</v>
      </c>
      <c r="H2" s="581">
        <f t="shared" ref="H2:H27" si="1">IF(E2="",1,0)</f>
        <v>1</v>
      </c>
      <c r="I2" s="40">
        <v>532.61300000000006</v>
      </c>
      <c r="J2" s="89">
        <f>D2</f>
        <v>43287</v>
      </c>
      <c r="K2" s="559" t="s">
        <v>896</v>
      </c>
      <c r="L2" s="582" t="s">
        <v>1295</v>
      </c>
    </row>
    <row r="3" spans="1:12">
      <c r="A3" s="359" t="s">
        <v>791</v>
      </c>
      <c r="B3" s="359" t="s">
        <v>1016</v>
      </c>
      <c r="C3" s="559" t="s">
        <v>1092</v>
      </c>
      <c r="D3" s="89">
        <v>43385</v>
      </c>
      <c r="F3" s="40">
        <f t="shared" si="0"/>
        <v>156.49600000000001</v>
      </c>
      <c r="G3" s="580">
        <v>1</v>
      </c>
      <c r="H3" s="581">
        <f t="shared" si="1"/>
        <v>1</v>
      </c>
      <c r="I3" s="40">
        <v>156.49600000000001</v>
      </c>
      <c r="J3" s="89">
        <f>+D3</f>
        <v>43385</v>
      </c>
      <c r="K3" s="559" t="s">
        <v>1096</v>
      </c>
      <c r="L3" s="582" t="s">
        <v>1295</v>
      </c>
    </row>
    <row r="4" spans="1:12">
      <c r="A4" s="359" t="s">
        <v>791</v>
      </c>
      <c r="B4" s="359" t="s">
        <v>929</v>
      </c>
      <c r="C4" s="559" t="s">
        <v>1286</v>
      </c>
      <c r="D4" s="89">
        <v>43409</v>
      </c>
      <c r="F4" s="40">
        <f t="shared" si="0"/>
        <v>1436.9259999999999</v>
      </c>
      <c r="G4" s="580">
        <v>1</v>
      </c>
      <c r="H4" s="581">
        <f t="shared" si="1"/>
        <v>1</v>
      </c>
      <c r="I4" s="40">
        <v>1436.9259999999999</v>
      </c>
      <c r="J4" s="89">
        <f>+D4</f>
        <v>43409</v>
      </c>
      <c r="K4" s="559" t="s">
        <v>1291</v>
      </c>
      <c r="L4" s="359" t="s">
        <v>1295</v>
      </c>
    </row>
    <row r="5" spans="1:12">
      <c r="A5" s="359" t="s">
        <v>818</v>
      </c>
      <c r="B5" s="359" t="s">
        <v>1083</v>
      </c>
      <c r="C5" s="559" t="s">
        <v>1285</v>
      </c>
      <c r="D5" s="89">
        <v>43409</v>
      </c>
      <c r="F5" s="40">
        <f t="shared" si="0"/>
        <v>549.96299999999997</v>
      </c>
      <c r="G5" s="580">
        <v>1</v>
      </c>
      <c r="H5" s="581">
        <f t="shared" si="1"/>
        <v>1</v>
      </c>
      <c r="I5" s="40">
        <v>549.96299999999997</v>
      </c>
      <c r="J5" s="89">
        <v>43480</v>
      </c>
      <c r="K5" s="559" t="s">
        <v>1290</v>
      </c>
      <c r="L5" s="359" t="s">
        <v>1295</v>
      </c>
    </row>
    <row r="6" spans="1:12">
      <c r="A6" s="359" t="s">
        <v>791</v>
      </c>
      <c r="B6" s="359" t="s">
        <v>1400</v>
      </c>
      <c r="C6" s="559" t="s">
        <v>1441</v>
      </c>
      <c r="D6" s="89">
        <v>43430</v>
      </c>
      <c r="E6" s="89">
        <v>43440</v>
      </c>
      <c r="F6" s="40">
        <f t="shared" si="0"/>
        <v>1123.5930000000001</v>
      </c>
      <c r="G6" s="580">
        <v>1</v>
      </c>
      <c r="H6" s="581">
        <f t="shared" si="1"/>
        <v>0</v>
      </c>
      <c r="I6" s="40">
        <v>1123.5930000000001</v>
      </c>
      <c r="J6" s="89">
        <v>43430</v>
      </c>
      <c r="K6" s="559" t="s">
        <v>1018</v>
      </c>
    </row>
    <row r="7" spans="1:12">
      <c r="A7" s="359" t="s">
        <v>791</v>
      </c>
      <c r="B7" s="359" t="s">
        <v>1445</v>
      </c>
      <c r="C7" s="559" t="s">
        <v>1440</v>
      </c>
      <c r="D7" s="89">
        <v>43430</v>
      </c>
      <c r="F7" s="40">
        <f t="shared" si="0"/>
        <v>5626.9110000000001</v>
      </c>
      <c r="G7" s="580">
        <v>1</v>
      </c>
      <c r="H7" s="581">
        <f t="shared" si="1"/>
        <v>1</v>
      </c>
      <c r="I7" s="40">
        <v>5626.9110000000001</v>
      </c>
      <c r="J7" s="89">
        <v>43430</v>
      </c>
      <c r="K7" s="559" t="s">
        <v>1444</v>
      </c>
      <c r="L7" s="359" t="s">
        <v>1295</v>
      </c>
    </row>
    <row r="8" spans="1:12">
      <c r="A8" s="359" t="s">
        <v>791</v>
      </c>
      <c r="B8" s="359" t="s">
        <v>1016</v>
      </c>
      <c r="C8" s="559" t="s">
        <v>1439</v>
      </c>
      <c r="D8" s="89">
        <v>43430</v>
      </c>
      <c r="F8" s="40">
        <f t="shared" si="0"/>
        <v>274.88299999999998</v>
      </c>
      <c r="G8" s="580">
        <v>1</v>
      </c>
      <c r="H8" s="581">
        <f t="shared" si="1"/>
        <v>1</v>
      </c>
      <c r="I8" s="40">
        <v>274.88299999999998</v>
      </c>
      <c r="J8" s="89">
        <v>43430</v>
      </c>
      <c r="K8" s="559" t="s">
        <v>1443</v>
      </c>
      <c r="L8" s="359" t="s">
        <v>1295</v>
      </c>
    </row>
    <row r="9" spans="1:12">
      <c r="A9" s="359" t="s">
        <v>818</v>
      </c>
      <c r="B9" s="359" t="s">
        <v>898</v>
      </c>
      <c r="C9" s="559" t="s">
        <v>1438</v>
      </c>
      <c r="D9" s="89">
        <v>43430</v>
      </c>
      <c r="E9" s="89">
        <v>43440</v>
      </c>
      <c r="F9" s="40">
        <f t="shared" si="0"/>
        <v>3875.9589999999998</v>
      </c>
      <c r="G9" s="580">
        <v>1</v>
      </c>
      <c r="H9" s="581">
        <f t="shared" si="1"/>
        <v>0</v>
      </c>
      <c r="I9" s="40">
        <v>3875.9589999999998</v>
      </c>
      <c r="J9" s="89">
        <v>43555</v>
      </c>
      <c r="K9" s="559" t="s">
        <v>1442</v>
      </c>
    </row>
    <row r="10" spans="1:12">
      <c r="A10" s="359" t="s">
        <v>791</v>
      </c>
      <c r="B10" s="359" t="s">
        <v>1445</v>
      </c>
      <c r="C10" s="559" t="s">
        <v>1593</v>
      </c>
      <c r="D10" s="89">
        <v>43438</v>
      </c>
      <c r="F10" s="40">
        <f t="shared" si="0"/>
        <v>2813.7510000000002</v>
      </c>
      <c r="G10" s="580">
        <v>1</v>
      </c>
      <c r="H10" s="581">
        <f t="shared" si="1"/>
        <v>1</v>
      </c>
      <c r="I10" s="40">
        <v>2813.7510000000002</v>
      </c>
      <c r="J10" s="89">
        <f>+D10</f>
        <v>43438</v>
      </c>
      <c r="K10" s="559" t="s">
        <v>1594</v>
      </c>
      <c r="L10" s="359" t="s">
        <v>1295</v>
      </c>
    </row>
    <row r="11" spans="1:12">
      <c r="A11" s="359" t="s">
        <v>791</v>
      </c>
      <c r="B11" s="359" t="s">
        <v>929</v>
      </c>
      <c r="C11" s="559" t="s">
        <v>950</v>
      </c>
      <c r="D11" s="89">
        <v>43355</v>
      </c>
      <c r="E11" s="89">
        <v>43439</v>
      </c>
      <c r="F11" s="40">
        <f t="shared" si="0"/>
        <v>405.596</v>
      </c>
      <c r="G11" s="580">
        <v>1</v>
      </c>
      <c r="H11" s="581">
        <f t="shared" si="1"/>
        <v>0</v>
      </c>
      <c r="I11" s="40">
        <v>405.596</v>
      </c>
      <c r="J11" s="89">
        <f>+D11</f>
        <v>43355</v>
      </c>
      <c r="K11" s="559" t="s">
        <v>951</v>
      </c>
      <c r="L11" s="582"/>
    </row>
    <row r="12" spans="1:12">
      <c r="A12" s="359" t="s">
        <v>791</v>
      </c>
      <c r="B12" s="359" t="s">
        <v>929</v>
      </c>
      <c r="C12" s="559" t="s">
        <v>1042</v>
      </c>
      <c r="D12" s="89">
        <v>43376</v>
      </c>
      <c r="E12" s="89">
        <v>43439</v>
      </c>
      <c r="F12" s="40">
        <f t="shared" si="0"/>
        <v>474.577</v>
      </c>
      <c r="G12" s="580">
        <v>1</v>
      </c>
      <c r="H12" s="581">
        <f t="shared" si="1"/>
        <v>0</v>
      </c>
      <c r="I12" s="40">
        <v>474.577</v>
      </c>
      <c r="J12" s="89">
        <v>43376</v>
      </c>
      <c r="K12" s="559" t="s">
        <v>1043</v>
      </c>
      <c r="L12" s="582"/>
    </row>
    <row r="13" spans="1:12">
      <c r="A13" s="359" t="s">
        <v>818</v>
      </c>
      <c r="B13" s="359" t="s">
        <v>898</v>
      </c>
      <c r="C13" s="559" t="s">
        <v>899</v>
      </c>
      <c r="D13" s="89">
        <v>43313</v>
      </c>
      <c r="E13" s="89">
        <v>43322</v>
      </c>
      <c r="F13" s="40">
        <f t="shared" si="0"/>
        <v>16867.731</v>
      </c>
      <c r="G13" s="580">
        <v>1</v>
      </c>
      <c r="H13" s="581">
        <f t="shared" si="1"/>
        <v>0</v>
      </c>
      <c r="I13" s="40">
        <v>16867.731</v>
      </c>
      <c r="J13" s="89">
        <v>43449</v>
      </c>
      <c r="K13" s="559" t="s">
        <v>900</v>
      </c>
      <c r="L13" s="582"/>
    </row>
    <row r="14" spans="1:12">
      <c r="A14" s="359" t="s">
        <v>818</v>
      </c>
      <c r="B14" s="359" t="s">
        <v>1083</v>
      </c>
      <c r="C14" s="559" t="s">
        <v>1089</v>
      </c>
      <c r="D14" s="89">
        <v>43385</v>
      </c>
      <c r="E14" s="89">
        <v>43404</v>
      </c>
      <c r="F14" s="40">
        <f t="shared" si="0"/>
        <v>297.68900000000002</v>
      </c>
      <c r="G14" s="580">
        <v>1</v>
      </c>
      <c r="H14" s="581">
        <f t="shared" si="1"/>
        <v>0</v>
      </c>
      <c r="I14" s="40">
        <v>297.68900000000002</v>
      </c>
      <c r="J14" s="89">
        <v>43454</v>
      </c>
      <c r="K14" s="559" t="s">
        <v>1093</v>
      </c>
      <c r="L14" s="582"/>
    </row>
    <row r="15" spans="1:12">
      <c r="A15" s="359" t="s">
        <v>818</v>
      </c>
      <c r="B15" s="359" t="s">
        <v>837</v>
      </c>
      <c r="C15" s="559" t="s">
        <v>1091</v>
      </c>
      <c r="D15" s="89">
        <v>43385</v>
      </c>
      <c r="E15" s="89">
        <v>43411</v>
      </c>
      <c r="F15" s="40">
        <f t="shared" si="0"/>
        <v>459.94</v>
      </c>
      <c r="G15" s="580">
        <v>1</v>
      </c>
      <c r="H15" s="581">
        <f t="shared" si="1"/>
        <v>0</v>
      </c>
      <c r="I15" s="40">
        <v>459.94</v>
      </c>
      <c r="J15" s="89">
        <v>43470</v>
      </c>
      <c r="K15" s="559" t="s">
        <v>1095</v>
      </c>
      <c r="L15" s="582"/>
    </row>
    <row r="16" spans="1:12">
      <c r="A16" s="359" t="s">
        <v>818</v>
      </c>
      <c r="B16" s="359" t="s">
        <v>898</v>
      </c>
      <c r="C16" s="559" t="s">
        <v>1090</v>
      </c>
      <c r="D16" s="89">
        <v>43385</v>
      </c>
      <c r="E16" s="89">
        <v>43400</v>
      </c>
      <c r="F16" s="40">
        <f t="shared" si="0"/>
        <v>12611.944</v>
      </c>
      <c r="G16" s="580">
        <v>1</v>
      </c>
      <c r="H16" s="581">
        <f t="shared" si="1"/>
        <v>0</v>
      </c>
      <c r="I16" s="40">
        <v>12611.944</v>
      </c>
      <c r="J16" s="89">
        <v>43485</v>
      </c>
      <c r="K16" s="559" t="s">
        <v>1094</v>
      </c>
      <c r="L16" s="582"/>
    </row>
    <row r="17" spans="1:11">
      <c r="A17" s="359" t="s">
        <v>818</v>
      </c>
      <c r="B17" s="359" t="s">
        <v>837</v>
      </c>
      <c r="C17" s="559" t="s">
        <v>1287</v>
      </c>
      <c r="D17" s="89">
        <v>43409</v>
      </c>
      <c r="E17" s="89">
        <v>43411</v>
      </c>
      <c r="F17" s="40">
        <f t="shared" si="0"/>
        <v>1222.9739999999999</v>
      </c>
      <c r="G17" s="580">
        <v>1</v>
      </c>
      <c r="H17" s="581">
        <f t="shared" si="1"/>
        <v>0</v>
      </c>
      <c r="I17" s="40">
        <v>1222.9739999999999</v>
      </c>
      <c r="J17" s="89">
        <v>43490</v>
      </c>
      <c r="K17" s="559" t="s">
        <v>1292</v>
      </c>
    </row>
    <row r="18" spans="1:11">
      <c r="A18" s="359" t="s">
        <v>818</v>
      </c>
      <c r="B18" s="359" t="s">
        <v>898</v>
      </c>
      <c r="C18" s="559" t="s">
        <v>1289</v>
      </c>
      <c r="D18" s="89">
        <v>43409</v>
      </c>
      <c r="E18" s="89">
        <v>43427</v>
      </c>
      <c r="F18" s="40">
        <f t="shared" si="0"/>
        <v>13743.58</v>
      </c>
      <c r="G18" s="580">
        <v>1</v>
      </c>
      <c r="H18" s="581">
        <f t="shared" si="1"/>
        <v>0</v>
      </c>
      <c r="I18" s="40">
        <v>13743.58</v>
      </c>
      <c r="J18" s="89">
        <v>43511</v>
      </c>
      <c r="K18" s="559" t="s">
        <v>1294</v>
      </c>
    </row>
    <row r="19" spans="1:11">
      <c r="A19" s="359" t="s">
        <v>818</v>
      </c>
      <c r="B19" s="359" t="s">
        <v>898</v>
      </c>
      <c r="C19" s="559" t="s">
        <v>1288</v>
      </c>
      <c r="D19" s="89">
        <v>43409</v>
      </c>
      <c r="E19" s="89">
        <v>43427</v>
      </c>
      <c r="F19" s="40">
        <f t="shared" si="0"/>
        <v>12997.391</v>
      </c>
      <c r="G19" s="580">
        <v>1</v>
      </c>
      <c r="H19" s="581">
        <f t="shared" si="1"/>
        <v>0</v>
      </c>
      <c r="I19" s="40">
        <v>12997.391</v>
      </c>
      <c r="J19" s="89">
        <v>43539</v>
      </c>
      <c r="K19" s="559" t="s">
        <v>1293</v>
      </c>
    </row>
    <row r="20" spans="1:11">
      <c r="F20" s="40">
        <f t="shared" si="0"/>
        <v>0</v>
      </c>
      <c r="G20" s="580">
        <v>1</v>
      </c>
      <c r="H20" s="581">
        <f t="shared" si="1"/>
        <v>1</v>
      </c>
    </row>
    <row r="21" spans="1:11">
      <c r="F21" s="40">
        <f t="shared" si="0"/>
        <v>0</v>
      </c>
      <c r="G21" s="580">
        <v>1</v>
      </c>
      <c r="H21" s="581">
        <f t="shared" si="1"/>
        <v>1</v>
      </c>
    </row>
    <row r="22" spans="1:11">
      <c r="F22" s="40">
        <f t="shared" si="0"/>
        <v>0</v>
      </c>
      <c r="G22" s="580">
        <v>1</v>
      </c>
      <c r="H22" s="581">
        <f t="shared" si="1"/>
        <v>1</v>
      </c>
    </row>
    <row r="23" spans="1:11">
      <c r="F23" s="40">
        <f t="shared" si="0"/>
        <v>0</v>
      </c>
      <c r="G23" s="580">
        <v>1</v>
      </c>
      <c r="H23" s="581">
        <f t="shared" si="1"/>
        <v>1</v>
      </c>
    </row>
    <row r="24" spans="1:11">
      <c r="F24" s="40">
        <f t="shared" si="0"/>
        <v>0</v>
      </c>
      <c r="G24" s="580">
        <v>1</v>
      </c>
      <c r="H24" s="581">
        <f t="shared" si="1"/>
        <v>1</v>
      </c>
    </row>
    <row r="25" spans="1:11">
      <c r="F25" s="40">
        <f t="shared" si="0"/>
        <v>0</v>
      </c>
      <c r="G25" s="580">
        <v>1</v>
      </c>
      <c r="H25" s="581">
        <f t="shared" si="1"/>
        <v>1</v>
      </c>
    </row>
    <row r="26" spans="1:11">
      <c r="F26" s="40">
        <f t="shared" si="0"/>
        <v>0</v>
      </c>
      <c r="G26" s="580">
        <v>1</v>
      </c>
      <c r="H26" s="581">
        <f t="shared" si="1"/>
        <v>1</v>
      </c>
    </row>
    <row r="27" spans="1:11">
      <c r="F27" s="40">
        <f t="shared" si="0"/>
        <v>0</v>
      </c>
      <c r="G27" s="580">
        <v>1</v>
      </c>
      <c r="H27" s="581">
        <f t="shared" si="1"/>
        <v>1</v>
      </c>
    </row>
  </sheetData>
  <autoFilter ref="A1:L18">
    <filterColumn colId="1"/>
    <filterColumn colId="6" showButton="0"/>
  </autoFilter>
  <sortState ref="A11:L19">
    <sortCondition ref="J11:J19"/>
  </sortState>
  <mergeCells count="1">
    <mergeCell ref="G1:H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L21"/>
  <sheetViews>
    <sheetView zoomScaleNormal="100" workbookViewId="0">
      <selection activeCell="I4" sqref="I4"/>
    </sheetView>
  </sheetViews>
  <sheetFormatPr baseColWidth="10" defaultRowHeight="15"/>
  <cols>
    <col min="1" max="1" width="5.7109375" style="359" bestFit="1" customWidth="1"/>
    <col min="2" max="2" width="32.28515625" style="359" bestFit="1" customWidth="1"/>
    <col min="3" max="3" width="9" style="359" bestFit="1" customWidth="1"/>
    <col min="4" max="4" width="10.7109375" style="359" bestFit="1" customWidth="1"/>
    <col min="5" max="5" width="11.42578125" style="89"/>
    <col min="6" max="6" width="11" style="359" bestFit="1" customWidth="1"/>
    <col min="7" max="8" width="2" style="359" bestFit="1" customWidth="1"/>
    <col min="9" max="9" width="11" style="40" bestFit="1" customWidth="1"/>
    <col min="10" max="10" width="10.7109375" style="359" bestFit="1" customWidth="1"/>
    <col min="11" max="11" width="8.140625" style="359" bestFit="1" customWidth="1"/>
    <col min="12" max="12" width="13.85546875" style="359" bestFit="1" customWidth="1"/>
    <col min="13" max="16384" width="11.42578125" style="359"/>
  </cols>
  <sheetData>
    <row r="1" spans="1:12" s="567" customFormat="1" ht="12.75">
      <c r="A1" s="561" t="s">
        <v>781</v>
      </c>
      <c r="B1" s="561" t="s">
        <v>782</v>
      </c>
      <c r="C1" s="562" t="s">
        <v>783</v>
      </c>
      <c r="D1" s="563" t="s">
        <v>784</v>
      </c>
      <c r="E1" s="563" t="s">
        <v>785</v>
      </c>
      <c r="F1" s="579" t="s">
        <v>786</v>
      </c>
      <c r="G1" s="859" t="s">
        <v>787</v>
      </c>
      <c r="H1" s="859"/>
      <c r="I1" s="565" t="s">
        <v>788</v>
      </c>
      <c r="J1" s="563" t="s">
        <v>10</v>
      </c>
      <c r="K1" s="566" t="s">
        <v>789</v>
      </c>
      <c r="L1" s="566" t="s">
        <v>790</v>
      </c>
    </row>
    <row r="2" spans="1:12" s="568" customFormat="1">
      <c r="A2" s="359" t="s">
        <v>818</v>
      </c>
      <c r="B2" s="359" t="s">
        <v>1591</v>
      </c>
      <c r="C2" s="559"/>
      <c r="D2" s="89"/>
      <c r="E2" s="570">
        <v>43439</v>
      </c>
      <c r="F2" s="571">
        <f>SUM(I2*G2)</f>
        <v>67432.035999999993</v>
      </c>
      <c r="G2" s="713">
        <v>1</v>
      </c>
      <c r="H2" s="572">
        <f>IF(E2="",1,0)</f>
        <v>0</v>
      </c>
      <c r="I2" s="40">
        <v>67432.035999999993</v>
      </c>
      <c r="J2" s="570">
        <v>43448</v>
      </c>
      <c r="K2" s="559" t="s">
        <v>1589</v>
      </c>
    </row>
    <row r="3" spans="1:12" s="568" customFormat="1">
      <c r="A3" s="359" t="s">
        <v>818</v>
      </c>
      <c r="B3" s="359" t="s">
        <v>1591</v>
      </c>
      <c r="C3" s="559"/>
      <c r="D3" s="89"/>
      <c r="E3" s="570">
        <v>43439</v>
      </c>
      <c r="F3" s="571">
        <f>SUM(I3*G3)</f>
        <v>72060.974000000002</v>
      </c>
      <c r="G3" s="713">
        <v>1</v>
      </c>
      <c r="H3" s="572">
        <f>IF(E3="",1,0)</f>
        <v>0</v>
      </c>
      <c r="I3" s="40">
        <v>72060.974000000002</v>
      </c>
      <c r="J3" s="570">
        <v>43449</v>
      </c>
      <c r="K3" s="559" t="s">
        <v>1588</v>
      </c>
    </row>
    <row r="4" spans="1:12">
      <c r="F4" s="40">
        <f t="shared" ref="F4:F21" si="0">SUM(I4*G4)</f>
        <v>0</v>
      </c>
      <c r="G4" s="580">
        <v>1</v>
      </c>
      <c r="H4" s="581">
        <f t="shared" ref="H4:H21" si="1">IF(E4="",1,0)</f>
        <v>1</v>
      </c>
    </row>
    <row r="5" spans="1:12">
      <c r="F5" s="40">
        <f t="shared" si="0"/>
        <v>0</v>
      </c>
      <c r="G5" s="580">
        <v>1</v>
      </c>
      <c r="H5" s="581">
        <f t="shared" si="1"/>
        <v>1</v>
      </c>
    </row>
    <row r="6" spans="1:12">
      <c r="F6" s="40">
        <f t="shared" si="0"/>
        <v>0</v>
      </c>
      <c r="G6" s="580">
        <v>1</v>
      </c>
      <c r="H6" s="581">
        <f t="shared" si="1"/>
        <v>1</v>
      </c>
    </row>
    <row r="7" spans="1:12">
      <c r="F7" s="40">
        <f t="shared" si="0"/>
        <v>0</v>
      </c>
      <c r="G7" s="580">
        <v>1</v>
      </c>
      <c r="H7" s="581">
        <f t="shared" si="1"/>
        <v>1</v>
      </c>
    </row>
    <row r="8" spans="1:12">
      <c r="F8" s="40">
        <f t="shared" si="0"/>
        <v>0</v>
      </c>
      <c r="G8" s="580">
        <v>1</v>
      </c>
      <c r="H8" s="581">
        <f t="shared" si="1"/>
        <v>1</v>
      </c>
    </row>
    <row r="9" spans="1:12">
      <c r="F9" s="40">
        <f t="shared" si="0"/>
        <v>0</v>
      </c>
      <c r="G9" s="580">
        <v>1</v>
      </c>
      <c r="H9" s="581">
        <f t="shared" si="1"/>
        <v>1</v>
      </c>
    </row>
    <row r="10" spans="1:12">
      <c r="F10" s="40">
        <f t="shared" si="0"/>
        <v>0</v>
      </c>
      <c r="G10" s="580">
        <v>1</v>
      </c>
      <c r="H10" s="581">
        <f t="shared" si="1"/>
        <v>1</v>
      </c>
    </row>
    <row r="11" spans="1:12">
      <c r="F11" s="40">
        <f t="shared" si="0"/>
        <v>0</v>
      </c>
      <c r="G11" s="580">
        <v>1</v>
      </c>
      <c r="H11" s="581">
        <f t="shared" si="1"/>
        <v>1</v>
      </c>
    </row>
    <row r="12" spans="1:12">
      <c r="F12" s="40">
        <f t="shared" si="0"/>
        <v>0</v>
      </c>
      <c r="G12" s="580">
        <v>1</v>
      </c>
      <c r="H12" s="581">
        <f t="shared" si="1"/>
        <v>1</v>
      </c>
    </row>
    <row r="13" spans="1:12">
      <c r="F13" s="40">
        <f t="shared" si="0"/>
        <v>0</v>
      </c>
      <c r="G13" s="580">
        <v>1</v>
      </c>
      <c r="H13" s="581">
        <f t="shared" si="1"/>
        <v>1</v>
      </c>
    </row>
    <row r="14" spans="1:12">
      <c r="F14" s="40">
        <f t="shared" si="0"/>
        <v>0</v>
      </c>
      <c r="G14" s="580">
        <v>1</v>
      </c>
      <c r="H14" s="581">
        <f t="shared" si="1"/>
        <v>1</v>
      </c>
    </row>
    <row r="15" spans="1:12">
      <c r="F15" s="40">
        <f t="shared" si="0"/>
        <v>0</v>
      </c>
      <c r="G15" s="580">
        <v>1</v>
      </c>
      <c r="H15" s="581">
        <f t="shared" si="1"/>
        <v>1</v>
      </c>
    </row>
    <row r="16" spans="1:12">
      <c r="F16" s="40">
        <f t="shared" si="0"/>
        <v>0</v>
      </c>
      <c r="G16" s="580">
        <v>1</v>
      </c>
      <c r="H16" s="581">
        <f t="shared" si="1"/>
        <v>1</v>
      </c>
    </row>
    <row r="17" spans="6:8">
      <c r="F17" s="40">
        <f t="shared" si="0"/>
        <v>0</v>
      </c>
      <c r="G17" s="580">
        <v>1</v>
      </c>
      <c r="H17" s="581">
        <f t="shared" si="1"/>
        <v>1</v>
      </c>
    </row>
    <row r="18" spans="6:8">
      <c r="F18" s="40">
        <f t="shared" si="0"/>
        <v>0</v>
      </c>
      <c r="G18" s="580">
        <v>1</v>
      </c>
      <c r="H18" s="581">
        <f t="shared" si="1"/>
        <v>1</v>
      </c>
    </row>
    <row r="19" spans="6:8">
      <c r="F19" s="40">
        <f t="shared" si="0"/>
        <v>0</v>
      </c>
      <c r="G19" s="580">
        <v>1</v>
      </c>
      <c r="H19" s="581">
        <f t="shared" si="1"/>
        <v>1</v>
      </c>
    </row>
    <row r="20" spans="6:8">
      <c r="F20" s="40">
        <f t="shared" si="0"/>
        <v>0</v>
      </c>
      <c r="G20" s="580">
        <v>1</v>
      </c>
      <c r="H20" s="581">
        <f t="shared" si="1"/>
        <v>1</v>
      </c>
    </row>
    <row r="21" spans="6:8">
      <c r="F21" s="40">
        <f t="shared" si="0"/>
        <v>0</v>
      </c>
      <c r="G21" s="580">
        <v>1</v>
      </c>
      <c r="H21" s="581">
        <f t="shared" si="1"/>
        <v>1</v>
      </c>
    </row>
  </sheetData>
  <mergeCells count="1">
    <mergeCell ref="G1:H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L24"/>
  <sheetViews>
    <sheetView workbookViewId="0">
      <selection activeCell="D21" sqref="D21"/>
    </sheetView>
  </sheetViews>
  <sheetFormatPr baseColWidth="10" defaultRowHeight="15"/>
  <cols>
    <col min="1" max="1" width="5.7109375" style="359" bestFit="1" customWidth="1"/>
    <col min="2" max="2" width="32.28515625" style="359" bestFit="1" customWidth="1"/>
    <col min="3" max="3" width="9" style="359" bestFit="1" customWidth="1"/>
    <col min="4" max="4" width="10.7109375" style="89" bestFit="1" customWidth="1"/>
    <col min="5" max="5" width="11.42578125" style="89"/>
    <col min="6" max="6" width="11" style="359" bestFit="1" customWidth="1"/>
    <col min="7" max="8" width="2" style="359" bestFit="1" customWidth="1"/>
    <col min="9" max="9" width="11" style="359" bestFit="1" customWidth="1"/>
    <col min="10" max="10" width="10.7109375" style="89" bestFit="1" customWidth="1"/>
    <col min="11" max="11" width="8.140625" style="359" bestFit="1" customWidth="1"/>
    <col min="12" max="12" width="13.85546875" style="359" bestFit="1" customWidth="1"/>
    <col min="13" max="16384" width="11.42578125" style="359"/>
  </cols>
  <sheetData>
    <row r="1" spans="1:12" s="567" customFormat="1" ht="12.75">
      <c r="A1" s="561" t="s">
        <v>781</v>
      </c>
      <c r="B1" s="561" t="s">
        <v>782</v>
      </c>
      <c r="C1" s="562" t="s">
        <v>783</v>
      </c>
      <c r="D1" s="563" t="s">
        <v>784</v>
      </c>
      <c r="E1" s="563" t="s">
        <v>785</v>
      </c>
      <c r="F1" s="579" t="s">
        <v>786</v>
      </c>
      <c r="G1" s="859" t="s">
        <v>787</v>
      </c>
      <c r="H1" s="859"/>
      <c r="I1" s="565" t="s">
        <v>788</v>
      </c>
      <c r="J1" s="563" t="s">
        <v>10</v>
      </c>
      <c r="K1" s="566" t="s">
        <v>789</v>
      </c>
      <c r="L1" s="566" t="s">
        <v>790</v>
      </c>
    </row>
    <row r="2" spans="1:12">
      <c r="A2" s="359" t="s">
        <v>791</v>
      </c>
      <c r="B2" s="359" t="s">
        <v>949</v>
      </c>
      <c r="C2" s="559" t="s">
        <v>948</v>
      </c>
      <c r="D2" s="89">
        <v>43360</v>
      </c>
      <c r="F2" s="40">
        <f t="shared" ref="F2:F24" si="0">SUM(I2*G2)</f>
        <v>27.315000000000001</v>
      </c>
      <c r="G2" s="580">
        <v>1</v>
      </c>
      <c r="H2" s="581">
        <f t="shared" ref="H2:H24" si="1">IF(E2="",1,0)</f>
        <v>1</v>
      </c>
      <c r="I2" s="40">
        <v>27.315000000000001</v>
      </c>
      <c r="J2" s="89">
        <v>43360</v>
      </c>
      <c r="K2" s="559" t="s">
        <v>739</v>
      </c>
      <c r="L2" s="359" t="s">
        <v>897</v>
      </c>
    </row>
    <row r="3" spans="1:12">
      <c r="A3" s="359" t="s">
        <v>818</v>
      </c>
      <c r="B3" s="359" t="s">
        <v>837</v>
      </c>
      <c r="C3" s="559" t="s">
        <v>1097</v>
      </c>
      <c r="D3" s="89">
        <v>43385</v>
      </c>
      <c r="E3" s="89">
        <v>43411</v>
      </c>
      <c r="F3" s="40">
        <f t="shared" si="0"/>
        <v>1386.6690000000001</v>
      </c>
      <c r="G3" s="580">
        <v>1</v>
      </c>
      <c r="H3" s="581">
        <f t="shared" si="1"/>
        <v>0</v>
      </c>
      <c r="I3" s="40">
        <v>1386.6690000000001</v>
      </c>
      <c r="J3" s="89">
        <v>43470</v>
      </c>
      <c r="K3" s="559" t="s">
        <v>1098</v>
      </c>
    </row>
    <row r="4" spans="1:12">
      <c r="F4" s="40">
        <f t="shared" si="0"/>
        <v>0</v>
      </c>
      <c r="G4" s="580">
        <v>1</v>
      </c>
      <c r="H4" s="581">
        <f t="shared" si="1"/>
        <v>1</v>
      </c>
    </row>
    <row r="5" spans="1:12">
      <c r="F5" s="40">
        <f t="shared" si="0"/>
        <v>0</v>
      </c>
      <c r="G5" s="580">
        <v>1</v>
      </c>
      <c r="H5" s="581">
        <f t="shared" si="1"/>
        <v>1</v>
      </c>
    </row>
    <row r="6" spans="1:12">
      <c r="F6" s="40">
        <f t="shared" si="0"/>
        <v>0</v>
      </c>
      <c r="G6" s="580">
        <v>1</v>
      </c>
      <c r="H6" s="581">
        <f t="shared" si="1"/>
        <v>1</v>
      </c>
    </row>
    <row r="7" spans="1:12">
      <c r="F7" s="40">
        <f t="shared" si="0"/>
        <v>0</v>
      </c>
      <c r="G7" s="580">
        <v>1</v>
      </c>
      <c r="H7" s="581">
        <f t="shared" si="1"/>
        <v>1</v>
      </c>
    </row>
    <row r="8" spans="1:12">
      <c r="F8" s="40">
        <f t="shared" si="0"/>
        <v>0</v>
      </c>
      <c r="G8" s="580">
        <v>1</v>
      </c>
      <c r="H8" s="581">
        <f t="shared" si="1"/>
        <v>1</v>
      </c>
    </row>
    <row r="9" spans="1:12">
      <c r="F9" s="40">
        <f t="shared" si="0"/>
        <v>0</v>
      </c>
      <c r="G9" s="580">
        <v>1</v>
      </c>
      <c r="H9" s="581">
        <f t="shared" si="1"/>
        <v>1</v>
      </c>
    </row>
    <row r="10" spans="1:12">
      <c r="F10" s="40">
        <f t="shared" si="0"/>
        <v>0</v>
      </c>
      <c r="G10" s="580">
        <v>1</v>
      </c>
      <c r="H10" s="581">
        <f t="shared" si="1"/>
        <v>1</v>
      </c>
    </row>
    <row r="11" spans="1:12">
      <c r="F11" s="40">
        <f t="shared" si="0"/>
        <v>0</v>
      </c>
      <c r="G11" s="580">
        <v>1</v>
      </c>
      <c r="H11" s="581">
        <f t="shared" si="1"/>
        <v>1</v>
      </c>
    </row>
    <row r="12" spans="1:12">
      <c r="F12" s="40">
        <f t="shared" si="0"/>
        <v>0</v>
      </c>
      <c r="G12" s="580">
        <v>1</v>
      </c>
      <c r="H12" s="581">
        <f t="shared" si="1"/>
        <v>1</v>
      </c>
    </row>
    <row r="13" spans="1:12">
      <c r="F13" s="40">
        <f t="shared" si="0"/>
        <v>0</v>
      </c>
      <c r="G13" s="580">
        <v>1</v>
      </c>
      <c r="H13" s="581">
        <f t="shared" si="1"/>
        <v>1</v>
      </c>
    </row>
    <row r="14" spans="1:12">
      <c r="F14" s="40">
        <f t="shared" si="0"/>
        <v>0</v>
      </c>
      <c r="G14" s="580">
        <v>1</v>
      </c>
      <c r="H14" s="581">
        <f t="shared" si="1"/>
        <v>1</v>
      </c>
    </row>
    <row r="15" spans="1:12">
      <c r="F15" s="40">
        <f t="shared" si="0"/>
        <v>0</v>
      </c>
      <c r="G15" s="580">
        <v>1</v>
      </c>
      <c r="H15" s="581">
        <f t="shared" si="1"/>
        <v>1</v>
      </c>
    </row>
    <row r="16" spans="1:12">
      <c r="F16" s="40">
        <f t="shared" si="0"/>
        <v>0</v>
      </c>
      <c r="G16" s="580">
        <v>1</v>
      </c>
      <c r="H16" s="581">
        <f t="shared" si="1"/>
        <v>1</v>
      </c>
    </row>
    <row r="17" spans="6:8">
      <c r="F17" s="40">
        <f t="shared" si="0"/>
        <v>0</v>
      </c>
      <c r="G17" s="580">
        <v>1</v>
      </c>
      <c r="H17" s="581">
        <f t="shared" si="1"/>
        <v>1</v>
      </c>
    </row>
    <row r="18" spans="6:8">
      <c r="F18" s="40">
        <f t="shared" si="0"/>
        <v>0</v>
      </c>
      <c r="G18" s="580">
        <v>1</v>
      </c>
      <c r="H18" s="581">
        <f t="shared" si="1"/>
        <v>1</v>
      </c>
    </row>
    <row r="19" spans="6:8">
      <c r="F19" s="40">
        <f t="shared" si="0"/>
        <v>0</v>
      </c>
      <c r="G19" s="580">
        <v>1</v>
      </c>
      <c r="H19" s="581">
        <f t="shared" si="1"/>
        <v>1</v>
      </c>
    </row>
    <row r="20" spans="6:8">
      <c r="F20" s="40">
        <f t="shared" si="0"/>
        <v>0</v>
      </c>
      <c r="G20" s="580">
        <v>1</v>
      </c>
      <c r="H20" s="581">
        <f t="shared" si="1"/>
        <v>1</v>
      </c>
    </row>
    <row r="21" spans="6:8">
      <c r="F21" s="40">
        <f t="shared" si="0"/>
        <v>0</v>
      </c>
      <c r="G21" s="580">
        <v>1</v>
      </c>
      <c r="H21" s="581">
        <f t="shared" si="1"/>
        <v>1</v>
      </c>
    </row>
    <row r="22" spans="6:8">
      <c r="F22" s="40">
        <f t="shared" si="0"/>
        <v>0</v>
      </c>
      <c r="G22" s="580">
        <v>1</v>
      </c>
      <c r="H22" s="581">
        <f t="shared" si="1"/>
        <v>1</v>
      </c>
    </row>
    <row r="23" spans="6:8">
      <c r="F23" s="40">
        <f t="shared" si="0"/>
        <v>0</v>
      </c>
      <c r="G23" s="580">
        <v>1</v>
      </c>
      <c r="H23" s="581">
        <f t="shared" si="1"/>
        <v>1</v>
      </c>
    </row>
    <row r="24" spans="6:8">
      <c r="F24" s="40">
        <f t="shared" si="0"/>
        <v>0</v>
      </c>
      <c r="G24" s="580">
        <v>1</v>
      </c>
      <c r="H24" s="581">
        <f t="shared" si="1"/>
        <v>1</v>
      </c>
    </row>
  </sheetData>
  <autoFilter ref="A1:L24">
    <filterColumn colId="6" showButton="0"/>
  </autoFilter>
  <sortState ref="A4:L7">
    <sortCondition ref="J4:J7"/>
  </sortState>
  <mergeCells count="1">
    <mergeCell ref="G1:H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3"/>
  <sheetViews>
    <sheetView workbookViewId="0">
      <selection activeCell="H33" sqref="H33"/>
    </sheetView>
  </sheetViews>
  <sheetFormatPr baseColWidth="10" defaultRowHeight="15"/>
  <cols>
    <col min="1" max="1" width="9.7109375" style="359" bestFit="1" customWidth="1"/>
    <col min="2" max="2" width="5.5703125" style="359" bestFit="1" customWidth="1"/>
    <col min="3" max="13" width="13.7109375" style="359" customWidth="1"/>
    <col min="14" max="16384" width="11.42578125" style="359"/>
  </cols>
  <sheetData>
    <row r="1" spans="1:13" ht="15.75" thickBot="1"/>
    <row r="2" spans="1:13" ht="16.5" thickBot="1">
      <c r="C2" s="584" t="s">
        <v>45</v>
      </c>
      <c r="D2" s="585" t="s">
        <v>46</v>
      </c>
      <c r="E2" s="585" t="s">
        <v>116</v>
      </c>
      <c r="F2" s="585" t="s">
        <v>103</v>
      </c>
      <c r="G2" s="585" t="s">
        <v>113</v>
      </c>
      <c r="H2" s="585" t="s">
        <v>901</v>
      </c>
      <c r="I2" s="586" t="s">
        <v>118</v>
      </c>
      <c r="J2" s="585" t="s">
        <v>186</v>
      </c>
      <c r="K2" s="585" t="s">
        <v>902</v>
      </c>
      <c r="L2" s="586" t="s">
        <v>903</v>
      </c>
      <c r="M2" s="586" t="s">
        <v>904</v>
      </c>
    </row>
    <row r="3" spans="1:13" ht="16.5" thickBot="1">
      <c r="A3" s="864" t="s">
        <v>45</v>
      </c>
      <c r="B3" s="587" t="s">
        <v>905</v>
      </c>
      <c r="C3" s="588"/>
      <c r="D3" s="644">
        <v>-30525.861000000001</v>
      </c>
      <c r="E3" s="590"/>
      <c r="F3" s="590"/>
      <c r="G3" s="644">
        <v>-10968.5</v>
      </c>
      <c r="H3" s="590"/>
      <c r="I3" s="591"/>
      <c r="J3" s="590"/>
      <c r="K3" s="590"/>
      <c r="L3" s="591"/>
      <c r="M3" s="591"/>
    </row>
    <row r="4" spans="1:13" ht="16.5" thickBot="1">
      <c r="A4" s="861"/>
      <c r="B4" s="592" t="s">
        <v>906</v>
      </c>
      <c r="C4" s="588"/>
      <c r="D4" s="590"/>
      <c r="E4" s="590"/>
      <c r="F4" s="593"/>
      <c r="G4" s="594"/>
      <c r="H4" s="593">
        <v>351245.995</v>
      </c>
      <c r="I4" s="595"/>
      <c r="J4" s="590"/>
      <c r="K4" s="590"/>
      <c r="L4" s="591"/>
      <c r="M4" s="596">
        <v>-286625.59600000002</v>
      </c>
    </row>
    <row r="5" spans="1:13" ht="16.5" thickBot="1">
      <c r="A5" s="862"/>
      <c r="B5" s="597" t="s">
        <v>907</v>
      </c>
      <c r="C5" s="588"/>
      <c r="D5" s="644">
        <v>-96401.595000000001</v>
      </c>
      <c r="E5" s="590"/>
      <c r="F5" s="598"/>
      <c r="G5" s="589">
        <v>-871857.09499999997</v>
      </c>
      <c r="H5" s="599">
        <v>25000</v>
      </c>
      <c r="I5" s="596">
        <v>-235885.55</v>
      </c>
      <c r="J5" s="590"/>
      <c r="K5" s="590"/>
      <c r="L5" s="591"/>
      <c r="M5" s="596">
        <v>9500</v>
      </c>
    </row>
    <row r="6" spans="1:13" ht="16.5" thickBot="1">
      <c r="A6" s="860" t="s">
        <v>46</v>
      </c>
      <c r="B6" s="600" t="s">
        <v>905</v>
      </c>
      <c r="C6" s="594"/>
      <c r="D6" s="601"/>
      <c r="E6" s="593">
        <v>-450000</v>
      </c>
      <c r="F6" s="594"/>
      <c r="G6" s="590"/>
      <c r="H6" s="590"/>
      <c r="I6" s="591"/>
      <c r="J6" s="590"/>
      <c r="K6" s="590"/>
      <c r="L6" s="591"/>
      <c r="M6" s="591"/>
    </row>
    <row r="7" spans="1:13" ht="16.5" thickBot="1">
      <c r="A7" s="861"/>
      <c r="B7" s="592" t="s">
        <v>906</v>
      </c>
      <c r="C7" s="602">
        <v>30525.861000000001</v>
      </c>
      <c r="D7" s="601"/>
      <c r="E7" s="598"/>
      <c r="F7" s="589"/>
      <c r="G7" s="589"/>
      <c r="H7" s="590"/>
      <c r="I7" s="591"/>
      <c r="J7" s="589">
        <v>15931.5</v>
      </c>
      <c r="K7" s="590"/>
      <c r="L7" s="591"/>
      <c r="M7" s="591"/>
    </row>
    <row r="8" spans="1:13" ht="16.5" thickBot="1">
      <c r="A8" s="862"/>
      <c r="B8" s="597" t="s">
        <v>907</v>
      </c>
      <c r="C8" s="602">
        <v>96401.595000000001</v>
      </c>
      <c r="D8" s="601"/>
      <c r="E8" s="590"/>
      <c r="F8" s="590"/>
      <c r="G8" s="590"/>
      <c r="H8" s="590"/>
      <c r="I8" s="591"/>
      <c r="J8" s="590"/>
      <c r="K8" s="590"/>
      <c r="L8" s="591"/>
      <c r="M8" s="591"/>
    </row>
    <row r="9" spans="1:13" ht="16.5" thickBot="1">
      <c r="A9" s="860" t="s">
        <v>908</v>
      </c>
      <c r="B9" s="600" t="s">
        <v>905</v>
      </c>
      <c r="C9" s="594"/>
      <c r="D9" s="590"/>
      <c r="E9" s="601"/>
      <c r="F9" s="590"/>
      <c r="G9" s="590"/>
      <c r="H9" s="590"/>
      <c r="I9" s="591"/>
      <c r="J9" s="590"/>
      <c r="K9" s="590"/>
      <c r="L9" s="591"/>
      <c r="M9" s="591"/>
    </row>
    <row r="10" spans="1:13" ht="16.5" thickBot="1">
      <c r="A10" s="861"/>
      <c r="B10" s="592" t="s">
        <v>906</v>
      </c>
      <c r="C10" s="594"/>
      <c r="D10" s="589">
        <v>450000</v>
      </c>
      <c r="E10" s="601"/>
      <c r="F10" s="590"/>
      <c r="G10" s="589"/>
      <c r="H10" s="593">
        <v>113133</v>
      </c>
      <c r="I10" s="595"/>
      <c r="J10" s="590"/>
      <c r="K10" s="590"/>
      <c r="L10" s="591"/>
      <c r="M10" s="591"/>
    </row>
    <row r="11" spans="1:13" ht="16.5" thickBot="1">
      <c r="A11" s="862"/>
      <c r="B11" s="597" t="s">
        <v>907</v>
      </c>
      <c r="C11" s="594">
        <v>500000</v>
      </c>
      <c r="D11" s="590"/>
      <c r="E11" s="601"/>
      <c r="F11" s="590"/>
      <c r="G11" s="590"/>
      <c r="H11" s="598"/>
      <c r="I11" s="591"/>
      <c r="J11" s="590"/>
      <c r="K11" s="590"/>
      <c r="L11" s="596">
        <v>40000</v>
      </c>
      <c r="M11" s="591"/>
    </row>
    <row r="12" spans="1:13" ht="16.5" thickBot="1">
      <c r="A12" s="860" t="s">
        <v>103</v>
      </c>
      <c r="B12" s="600" t="s">
        <v>905</v>
      </c>
      <c r="C12" s="594"/>
      <c r="D12" s="589"/>
      <c r="E12" s="590"/>
      <c r="F12" s="601"/>
      <c r="G12" s="590"/>
      <c r="H12" s="590"/>
      <c r="I12" s="591"/>
      <c r="J12" s="590"/>
      <c r="K12" s="590"/>
      <c r="L12" s="591"/>
      <c r="M12" s="591"/>
    </row>
    <row r="13" spans="1:13" ht="16.5" thickBot="1">
      <c r="A13" s="861"/>
      <c r="B13" s="592" t="s">
        <v>906</v>
      </c>
      <c r="C13" s="602"/>
      <c r="D13" s="590"/>
      <c r="E13" s="590"/>
      <c r="F13" s="601"/>
      <c r="G13" s="590"/>
      <c r="H13" s="590"/>
      <c r="I13" s="591"/>
      <c r="J13" s="590"/>
      <c r="K13" s="590"/>
      <c r="L13" s="591"/>
      <c r="M13" s="591"/>
    </row>
    <row r="14" spans="1:13" ht="16.5" thickBot="1">
      <c r="A14" s="862"/>
      <c r="B14" s="597" t="s">
        <v>907</v>
      </c>
      <c r="C14" s="594"/>
      <c r="D14" s="590"/>
      <c r="E14" s="590"/>
      <c r="F14" s="601"/>
      <c r="G14" s="590"/>
      <c r="H14" s="590"/>
      <c r="I14" s="591"/>
      <c r="J14" s="590"/>
      <c r="K14" s="590"/>
      <c r="L14" s="591"/>
      <c r="M14" s="591"/>
    </row>
    <row r="15" spans="1:13" ht="16.5" thickBot="1">
      <c r="A15" s="860" t="s">
        <v>113</v>
      </c>
      <c r="B15" s="600" t="s">
        <v>905</v>
      </c>
      <c r="C15" s="594"/>
      <c r="D15" s="593"/>
      <c r="E15" s="602"/>
      <c r="F15" s="590"/>
      <c r="G15" s="601"/>
      <c r="H15" s="590"/>
      <c r="I15" s="591"/>
      <c r="J15" s="590"/>
      <c r="K15" s="590"/>
      <c r="L15" s="591"/>
      <c r="M15" s="591"/>
    </row>
    <row r="16" spans="1:13" ht="16.5" thickBot="1">
      <c r="A16" s="861"/>
      <c r="B16" s="592" t="s">
        <v>906</v>
      </c>
      <c r="C16" s="603">
        <v>10968.5</v>
      </c>
      <c r="D16" s="598"/>
      <c r="E16" s="590"/>
      <c r="F16" s="590"/>
      <c r="G16" s="601"/>
      <c r="H16" s="593">
        <v>61381.4</v>
      </c>
      <c r="I16" s="595"/>
      <c r="J16" s="590"/>
      <c r="K16" s="590"/>
      <c r="L16" s="591"/>
      <c r="M16" s="591"/>
    </row>
    <row r="17" spans="1:13" ht="16.5" thickBot="1">
      <c r="A17" s="862"/>
      <c r="B17" s="597" t="s">
        <v>907</v>
      </c>
      <c r="C17" s="602">
        <v>871857.09499999997</v>
      </c>
      <c r="D17" s="590"/>
      <c r="E17" s="590"/>
      <c r="F17" s="590"/>
      <c r="G17" s="601"/>
      <c r="H17" s="598"/>
      <c r="I17" s="591"/>
      <c r="J17" s="590"/>
      <c r="K17" s="590"/>
      <c r="L17" s="591"/>
      <c r="M17" s="591"/>
    </row>
    <row r="18" spans="1:13" ht="16.5" thickBot="1">
      <c r="A18" s="860" t="s">
        <v>901</v>
      </c>
      <c r="B18" s="600" t="s">
        <v>905</v>
      </c>
      <c r="C18" s="594"/>
      <c r="D18" s="590"/>
      <c r="E18" s="593">
        <v>-113133</v>
      </c>
      <c r="F18" s="594"/>
      <c r="G18" s="593">
        <v>-61381.4</v>
      </c>
      <c r="H18" s="588"/>
      <c r="I18" s="591"/>
      <c r="J18" s="590"/>
      <c r="K18" s="590"/>
      <c r="L18" s="591"/>
      <c r="M18" s="591"/>
    </row>
    <row r="19" spans="1:13" ht="16.5" thickBot="1">
      <c r="A19" s="861"/>
      <c r="B19" s="592" t="s">
        <v>906</v>
      </c>
      <c r="C19" s="594"/>
      <c r="D19" s="590"/>
      <c r="E19" s="598"/>
      <c r="F19" s="590"/>
      <c r="G19" s="598"/>
      <c r="H19" s="601"/>
      <c r="I19" s="591"/>
      <c r="J19" s="590"/>
      <c r="K19" s="590"/>
      <c r="L19" s="591"/>
      <c r="M19" s="591"/>
    </row>
    <row r="20" spans="1:13" ht="16.5" thickBot="1">
      <c r="A20" s="862"/>
      <c r="B20" s="597" t="s">
        <v>907</v>
      </c>
      <c r="C20" s="602">
        <v>-25000</v>
      </c>
      <c r="D20" s="590"/>
      <c r="E20" s="590"/>
      <c r="F20" s="590"/>
      <c r="G20" s="590"/>
      <c r="H20" s="601"/>
      <c r="I20" s="591"/>
      <c r="J20" s="590"/>
      <c r="K20" s="590"/>
      <c r="L20" s="591"/>
      <c r="M20" s="591"/>
    </row>
    <row r="21" spans="1:13" ht="16.5" thickBot="1">
      <c r="A21" s="860" t="s">
        <v>118</v>
      </c>
      <c r="B21" s="600" t="s">
        <v>905</v>
      </c>
      <c r="C21" s="594"/>
      <c r="D21" s="590"/>
      <c r="E21" s="590"/>
      <c r="F21" s="590"/>
      <c r="G21" s="590"/>
      <c r="H21" s="590"/>
      <c r="I21" s="591"/>
      <c r="J21" s="590"/>
      <c r="K21" s="590"/>
      <c r="L21" s="591"/>
      <c r="M21" s="591"/>
    </row>
    <row r="22" spans="1:13" ht="16.5" thickBot="1">
      <c r="A22" s="861"/>
      <c r="B22" s="592" t="s">
        <v>906</v>
      </c>
      <c r="C22" s="594"/>
      <c r="D22" s="590"/>
      <c r="E22" s="590"/>
      <c r="F22" s="590"/>
      <c r="G22" s="590"/>
      <c r="H22" s="590"/>
      <c r="I22" s="591"/>
      <c r="J22" s="590"/>
      <c r="K22" s="590"/>
      <c r="L22" s="591"/>
      <c r="M22" s="591"/>
    </row>
    <row r="23" spans="1:13" ht="16.5" thickBot="1">
      <c r="A23" s="862"/>
      <c r="B23" s="597" t="s">
        <v>907</v>
      </c>
      <c r="C23" s="602">
        <v>235885.55</v>
      </c>
      <c r="D23" s="590"/>
      <c r="E23" s="590"/>
      <c r="F23" s="590"/>
      <c r="G23" s="590"/>
      <c r="H23" s="590"/>
      <c r="I23" s="591"/>
      <c r="J23" s="589">
        <v>203555.242</v>
      </c>
      <c r="K23" s="589">
        <v>314440.09000000003</v>
      </c>
      <c r="L23" s="596">
        <v>40000</v>
      </c>
      <c r="M23" s="591"/>
    </row>
    <row r="24" spans="1:13" ht="16.5" thickBot="1">
      <c r="A24" s="860" t="s">
        <v>186</v>
      </c>
      <c r="B24" s="600" t="s">
        <v>905</v>
      </c>
      <c r="C24" s="594"/>
      <c r="D24" s="590"/>
      <c r="E24" s="590"/>
      <c r="F24" s="590"/>
      <c r="G24" s="590"/>
      <c r="H24" s="590"/>
      <c r="I24" s="591"/>
      <c r="J24" s="601"/>
      <c r="K24" s="590"/>
      <c r="L24" s="591"/>
      <c r="M24" s="591"/>
    </row>
    <row r="25" spans="1:13" ht="16.5" thickBot="1">
      <c r="A25" s="861"/>
      <c r="B25" s="592" t="s">
        <v>906</v>
      </c>
      <c r="C25" s="594"/>
      <c r="D25" s="590"/>
      <c r="E25" s="590"/>
      <c r="F25" s="590"/>
      <c r="G25" s="590"/>
      <c r="H25" s="590"/>
      <c r="I25" s="591"/>
      <c r="J25" s="601"/>
      <c r="K25" s="590"/>
      <c r="L25" s="591"/>
      <c r="M25" s="591"/>
    </row>
    <row r="26" spans="1:13" ht="16.5" thickBot="1">
      <c r="A26" s="862"/>
      <c r="B26" s="597" t="s">
        <v>907</v>
      </c>
      <c r="C26" s="594"/>
      <c r="D26" s="590"/>
      <c r="E26" s="590"/>
      <c r="F26" s="590"/>
      <c r="G26" s="590"/>
      <c r="H26" s="590"/>
      <c r="I26" s="596">
        <v>-203555.242</v>
      </c>
      <c r="J26" s="601"/>
      <c r="K26" s="590"/>
      <c r="L26" s="591"/>
      <c r="M26" s="591"/>
    </row>
    <row r="27" spans="1:13" ht="16.5" thickBot="1">
      <c r="A27" s="860" t="s">
        <v>902</v>
      </c>
      <c r="B27" s="600" t="s">
        <v>905</v>
      </c>
      <c r="C27" s="594"/>
      <c r="D27" s="590"/>
      <c r="E27" s="590"/>
      <c r="F27" s="590"/>
      <c r="G27" s="590"/>
      <c r="H27" s="590"/>
      <c r="I27" s="591"/>
      <c r="J27" s="590"/>
      <c r="K27" s="601"/>
      <c r="L27" s="591"/>
      <c r="M27" s="591"/>
    </row>
    <row r="28" spans="1:13" ht="16.5" thickBot="1">
      <c r="A28" s="861"/>
      <c r="B28" s="592" t="s">
        <v>906</v>
      </c>
      <c r="C28" s="594"/>
      <c r="D28" s="590"/>
      <c r="E28" s="590"/>
      <c r="F28" s="590"/>
      <c r="G28" s="590"/>
      <c r="H28" s="590"/>
      <c r="I28" s="591"/>
      <c r="J28" s="590"/>
      <c r="K28" s="601"/>
      <c r="L28" s="591"/>
      <c r="M28" s="591"/>
    </row>
    <row r="29" spans="1:13" ht="16.5" thickBot="1">
      <c r="A29" s="863"/>
      <c r="B29" s="604" t="s">
        <v>907</v>
      </c>
      <c r="C29" s="605"/>
      <c r="D29" s="606"/>
      <c r="E29" s="606"/>
      <c r="F29" s="606"/>
      <c r="G29" s="606"/>
      <c r="H29" s="606"/>
      <c r="I29" s="607">
        <v>-314440.09000000003</v>
      </c>
      <c r="J29" s="606"/>
      <c r="K29" s="608"/>
      <c r="L29" s="609"/>
      <c r="M29" s="609"/>
    </row>
    <row r="30" spans="1:13" ht="16.5" thickBot="1">
      <c r="A30" s="610" t="s">
        <v>909</v>
      </c>
      <c r="B30" s="611" t="s">
        <v>907</v>
      </c>
      <c r="C30" s="598"/>
      <c r="D30" s="598"/>
      <c r="E30" s="598"/>
      <c r="F30" s="598"/>
      <c r="G30" s="598"/>
      <c r="H30" s="598"/>
      <c r="I30" s="612">
        <v>61530.858</v>
      </c>
      <c r="J30" s="598"/>
      <c r="K30" s="599">
        <v>-3080</v>
      </c>
      <c r="L30" s="612">
        <v>-20000</v>
      </c>
      <c r="M30" s="612">
        <v>-26986.692999999999</v>
      </c>
    </row>
    <row r="33" spans="10:10">
      <c r="J33" s="90"/>
    </row>
  </sheetData>
  <mergeCells count="9">
    <mergeCell ref="A21:A23"/>
    <mergeCell ref="A24:A26"/>
    <mergeCell ref="A27:A29"/>
    <mergeCell ref="A3:A5"/>
    <mergeCell ref="A6:A8"/>
    <mergeCell ref="A9:A11"/>
    <mergeCell ref="A12:A14"/>
    <mergeCell ref="A15:A17"/>
    <mergeCell ref="A18:A20"/>
  </mergeCells>
  <pageMargins left="0.70866141732283472" right="0.70866141732283472" top="0.74803149606299213" bottom="0.74803149606299213" header="0.31496062992125984" footer="0.31496062992125984"/>
  <pageSetup paperSize="9" scale="80" orientation="landscape" horizontalDpi="180" verticalDpi="18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41"/>
  <sheetViews>
    <sheetView workbookViewId="0">
      <selection activeCell="I37" sqref="I37"/>
    </sheetView>
  </sheetViews>
  <sheetFormatPr baseColWidth="10" defaultRowHeight="15"/>
  <cols>
    <col min="1" max="1" width="22.85546875" style="359" bestFit="1" customWidth="1"/>
    <col min="2" max="3" width="9.85546875" style="359" bestFit="1" customWidth="1"/>
    <col min="4" max="4" width="9" style="359" bestFit="1" customWidth="1"/>
    <col min="5" max="5" width="10.140625" style="359" bestFit="1" customWidth="1"/>
    <col min="6" max="6" width="10.42578125" style="359" customWidth="1"/>
    <col min="7" max="7" width="9.85546875" style="359" customWidth="1"/>
    <col min="8" max="8" width="7.42578125" style="359" bestFit="1" customWidth="1"/>
    <col min="9" max="9" width="9.85546875" style="359" bestFit="1" customWidth="1"/>
    <col min="10" max="10" width="10.42578125" style="359" bestFit="1" customWidth="1"/>
    <col min="11" max="11" width="9.42578125" style="359" customWidth="1"/>
    <col min="12" max="12" width="9" style="359" bestFit="1" customWidth="1"/>
    <col min="13" max="13" width="11.7109375" style="359" bestFit="1" customWidth="1"/>
    <col min="14" max="14" width="10.5703125" style="359" bestFit="1" customWidth="1"/>
    <col min="15" max="15" width="0.85546875" style="359" customWidth="1"/>
    <col min="16" max="16" width="10.42578125" style="359" bestFit="1" customWidth="1"/>
    <col min="17" max="16384" width="11.42578125" style="359"/>
  </cols>
  <sheetData>
    <row r="1" spans="1:16" ht="15.75" thickBot="1"/>
    <row r="2" spans="1:16">
      <c r="A2" s="796" t="s">
        <v>174</v>
      </c>
      <c r="B2" s="799" t="s">
        <v>16</v>
      </c>
      <c r="C2" s="865">
        <v>335000</v>
      </c>
      <c r="D2" s="384">
        <v>42898</v>
      </c>
      <c r="E2" s="304">
        <v>71000</v>
      </c>
    </row>
    <row r="3" spans="1:16">
      <c r="A3" s="797"/>
      <c r="B3" s="800"/>
      <c r="C3" s="866"/>
      <c r="D3" s="480">
        <v>42927</v>
      </c>
      <c r="E3" s="305">
        <v>40000</v>
      </c>
    </row>
    <row r="4" spans="1:16">
      <c r="A4" s="797"/>
      <c r="B4" s="800"/>
      <c r="C4" s="866"/>
      <c r="D4" s="480">
        <v>43004</v>
      </c>
      <c r="E4" s="305">
        <v>15000</v>
      </c>
    </row>
    <row r="5" spans="1:16">
      <c r="A5" s="797"/>
      <c r="B5" s="800"/>
      <c r="C5" s="866"/>
      <c r="D5" s="480">
        <v>43006</v>
      </c>
      <c r="E5" s="305">
        <v>16000</v>
      </c>
    </row>
    <row r="6" spans="1:16">
      <c r="A6" s="797"/>
      <c r="B6" s="800"/>
      <c r="C6" s="866"/>
      <c r="D6" s="480">
        <v>43020</v>
      </c>
      <c r="E6" s="305">
        <v>25000</v>
      </c>
    </row>
    <row r="7" spans="1:16">
      <c r="A7" s="798"/>
      <c r="B7" s="801"/>
      <c r="C7" s="867"/>
      <c r="D7" s="480">
        <v>43208</v>
      </c>
      <c r="E7" s="305">
        <v>45000</v>
      </c>
    </row>
    <row r="8" spans="1:16">
      <c r="A8" s="235" t="s">
        <v>174</v>
      </c>
      <c r="B8" s="253" t="s">
        <v>16</v>
      </c>
      <c r="C8" s="254">
        <f>65000</f>
        <v>65000</v>
      </c>
      <c r="D8" s="480">
        <v>43189</v>
      </c>
      <c r="E8" s="305">
        <v>59500</v>
      </c>
    </row>
    <row r="9" spans="1:16">
      <c r="A9" s="235"/>
      <c r="B9" s="253"/>
      <c r="C9" s="254"/>
      <c r="D9" s="480"/>
      <c r="E9" s="305"/>
    </row>
    <row r="10" spans="1:16" ht="15.75" thickBot="1">
      <c r="A10" s="150" t="s">
        <v>174</v>
      </c>
      <c r="B10" s="230" t="s">
        <v>16</v>
      </c>
      <c r="C10" s="151">
        <f>14477.06+837.73</f>
        <v>15314.789999999999</v>
      </c>
      <c r="D10" s="385"/>
      <c r="E10" s="240"/>
    </row>
    <row r="11" spans="1:16" ht="15.75" thickBot="1">
      <c r="A11" s="545" t="s">
        <v>77</v>
      </c>
      <c r="B11" s="546"/>
      <c r="C11" s="269">
        <f>SUM(C2:C10)</f>
        <v>415314.79</v>
      </c>
      <c r="D11" s="38"/>
      <c r="E11" s="269">
        <f>SUM(E2:E10)</f>
        <v>271500</v>
      </c>
    </row>
    <row r="12" spans="1:16" ht="15.75" thickBot="1"/>
    <row r="13" spans="1:16" ht="15.75" thickBot="1">
      <c r="A13" s="868" t="s">
        <v>45</v>
      </c>
      <c r="B13" s="869"/>
      <c r="C13" s="869"/>
      <c r="D13" s="869"/>
      <c r="E13" s="869"/>
      <c r="F13" s="869"/>
      <c r="G13" s="869"/>
      <c r="H13" s="869"/>
      <c r="I13" s="869"/>
      <c r="J13" s="869"/>
      <c r="K13" s="869"/>
      <c r="L13" s="869"/>
      <c r="M13" s="870"/>
    </row>
    <row r="14" spans="1:16" ht="15.75" thickBot="1">
      <c r="A14" s="832" t="s">
        <v>0</v>
      </c>
      <c r="B14" s="834" t="s">
        <v>1</v>
      </c>
      <c r="C14" s="834"/>
      <c r="D14" s="834"/>
      <c r="E14" s="834"/>
      <c r="F14" s="834"/>
      <c r="G14" s="834"/>
      <c r="H14" s="835" t="s">
        <v>2</v>
      </c>
      <c r="I14" s="835"/>
      <c r="J14" s="835"/>
      <c r="K14" s="835" t="s">
        <v>3</v>
      </c>
      <c r="L14" s="835"/>
      <c r="M14" s="832" t="s">
        <v>4</v>
      </c>
    </row>
    <row r="15" spans="1:16" ht="15.75" thickBot="1">
      <c r="A15" s="833"/>
      <c r="B15" s="547" t="s">
        <v>5</v>
      </c>
      <c r="C15" s="547" t="s">
        <v>6</v>
      </c>
      <c r="D15" s="547" t="s">
        <v>7</v>
      </c>
      <c r="E15" s="28" t="s">
        <v>8</v>
      </c>
      <c r="F15" s="27" t="s">
        <v>9</v>
      </c>
      <c r="G15" s="548" t="s">
        <v>10</v>
      </c>
      <c r="H15" s="27" t="s">
        <v>11</v>
      </c>
      <c r="I15" s="547" t="s">
        <v>12</v>
      </c>
      <c r="J15" s="548" t="s">
        <v>13</v>
      </c>
      <c r="K15" s="28" t="s">
        <v>11</v>
      </c>
      <c r="L15" s="29" t="s">
        <v>14</v>
      </c>
      <c r="M15" s="833"/>
      <c r="N15" s="359" t="s">
        <v>268</v>
      </c>
      <c r="P15" s="359" t="s">
        <v>276</v>
      </c>
    </row>
    <row r="16" spans="1:16">
      <c r="A16" s="55" t="s">
        <v>232</v>
      </c>
      <c r="B16" s="56" t="s">
        <v>242</v>
      </c>
      <c r="C16" s="57">
        <v>43147</v>
      </c>
      <c r="D16" s="61" t="s">
        <v>16</v>
      </c>
      <c r="E16" s="58">
        <v>73120.639999999999</v>
      </c>
      <c r="F16" s="59">
        <f>+E16*2.9473</f>
        <v>215508.46227199998</v>
      </c>
      <c r="G16" s="60">
        <f t="shared" ref="G16:G20" si="0">+C16+60</f>
        <v>43207</v>
      </c>
      <c r="H16" s="192"/>
      <c r="I16" s="61"/>
      <c r="J16" s="191"/>
      <c r="K16" s="63">
        <v>70000</v>
      </c>
      <c r="L16" s="62"/>
      <c r="M16" s="238">
        <f t="shared" ref="M16:M20" si="1">E16-K16</f>
        <v>3120.6399999999994</v>
      </c>
      <c r="N16" s="58">
        <v>95143.039999999994</v>
      </c>
      <c r="P16" s="90">
        <f>E16-N16</f>
        <v>-22022.399999999994</v>
      </c>
    </row>
    <row r="17" spans="1:17">
      <c r="A17" s="55" t="s">
        <v>244</v>
      </c>
      <c r="B17" s="56" t="s">
        <v>245</v>
      </c>
      <c r="C17" s="57">
        <v>43174</v>
      </c>
      <c r="D17" s="61" t="s">
        <v>16</v>
      </c>
      <c r="E17" s="58">
        <v>74078.350000000006</v>
      </c>
      <c r="F17" s="59">
        <f>+E17*2.9419</f>
        <v>217931.09786500002</v>
      </c>
      <c r="G17" s="60">
        <f t="shared" si="0"/>
        <v>43234</v>
      </c>
      <c r="H17" s="192"/>
      <c r="I17" s="61"/>
      <c r="J17" s="191"/>
      <c r="K17" s="63"/>
      <c r="L17" s="62"/>
      <c r="M17" s="238">
        <f t="shared" si="1"/>
        <v>74078.350000000006</v>
      </c>
      <c r="N17" s="58">
        <v>89078.35</v>
      </c>
      <c r="P17" s="90">
        <f t="shared" ref="P17:P18" si="2">E17-N17</f>
        <v>-15000</v>
      </c>
    </row>
    <row r="18" spans="1:17">
      <c r="A18" s="55" t="s">
        <v>244</v>
      </c>
      <c r="B18" s="56" t="s">
        <v>250</v>
      </c>
      <c r="C18" s="57">
        <v>43213</v>
      </c>
      <c r="D18" s="61" t="s">
        <v>16</v>
      </c>
      <c r="E18" s="58">
        <v>70110.52</v>
      </c>
      <c r="F18" s="59">
        <f>+E18*2.95395</f>
        <v>207102.970554</v>
      </c>
      <c r="G18" s="60">
        <f t="shared" si="0"/>
        <v>43273</v>
      </c>
      <c r="H18" s="192"/>
      <c r="I18" s="61"/>
      <c r="J18" s="191"/>
      <c r="K18" s="63"/>
      <c r="L18" s="62"/>
      <c r="M18" s="238">
        <f t="shared" si="1"/>
        <v>70110.52</v>
      </c>
      <c r="N18" s="58">
        <v>80110.509999999995</v>
      </c>
      <c r="P18" s="90">
        <f t="shared" si="2"/>
        <v>-9999.9899999999907</v>
      </c>
    </row>
    <row r="19" spans="1:17">
      <c r="A19" s="55" t="s">
        <v>244</v>
      </c>
      <c r="B19" s="56" t="s">
        <v>263</v>
      </c>
      <c r="C19" s="57">
        <v>43235</v>
      </c>
      <c r="D19" s="61" t="s">
        <v>16</v>
      </c>
      <c r="E19" s="58">
        <v>59539.5</v>
      </c>
      <c r="F19" s="59">
        <f>E19*2.97945</f>
        <v>177394.96327499999</v>
      </c>
      <c r="G19" s="60">
        <f t="shared" si="0"/>
        <v>43295</v>
      </c>
      <c r="H19" s="192"/>
      <c r="I19" s="61"/>
      <c r="J19" s="191"/>
      <c r="K19" s="63"/>
      <c r="L19" s="62"/>
      <c r="M19" s="238">
        <f t="shared" si="1"/>
        <v>59539.5</v>
      </c>
      <c r="N19" s="549"/>
      <c r="P19" s="90"/>
    </row>
    <row r="20" spans="1:17">
      <c r="A20" s="55" t="s">
        <v>244</v>
      </c>
      <c r="B20" s="56" t="s">
        <v>265</v>
      </c>
      <c r="C20" s="57">
        <v>43243</v>
      </c>
      <c r="D20" s="61" t="s">
        <v>16</v>
      </c>
      <c r="E20" s="58">
        <v>64244.86</v>
      </c>
      <c r="F20" s="59">
        <f>+E20*2.97525</f>
        <v>191144.519715</v>
      </c>
      <c r="G20" s="60">
        <f t="shared" si="0"/>
        <v>43303</v>
      </c>
      <c r="H20" s="192"/>
      <c r="I20" s="61"/>
      <c r="J20" s="191"/>
      <c r="K20" s="63"/>
      <c r="L20" s="62"/>
      <c r="M20" s="238">
        <f t="shared" si="1"/>
        <v>64244.86</v>
      </c>
      <c r="N20" s="549"/>
      <c r="P20" s="90"/>
    </row>
    <row r="21" spans="1:17" s="65" customFormat="1" ht="12.75">
      <c r="A21" s="55" t="s">
        <v>244</v>
      </c>
      <c r="B21" s="56" t="s">
        <v>272</v>
      </c>
      <c r="C21" s="57">
        <v>43262</v>
      </c>
      <c r="D21" s="61" t="s">
        <v>16</v>
      </c>
      <c r="E21" s="58">
        <v>62886.3</v>
      </c>
      <c r="F21" s="59">
        <v>189416.67991500002</v>
      </c>
      <c r="G21" s="60">
        <v>43322</v>
      </c>
      <c r="H21" s="192"/>
      <c r="I21" s="61"/>
      <c r="J21" s="191"/>
      <c r="K21" s="63"/>
      <c r="L21" s="62"/>
      <c r="M21" s="238">
        <v>62886.3</v>
      </c>
      <c r="N21" s="257"/>
      <c r="O21" s="53"/>
      <c r="Q21" s="397"/>
    </row>
    <row r="22" spans="1:17" s="65" customFormat="1" ht="12.75">
      <c r="A22" s="55" t="s">
        <v>244</v>
      </c>
      <c r="B22" s="56" t="s">
        <v>275</v>
      </c>
      <c r="C22" s="57">
        <v>43291</v>
      </c>
      <c r="D22" s="61" t="s">
        <v>16</v>
      </c>
      <c r="E22" s="58">
        <v>70446.11</v>
      </c>
      <c r="F22" s="59">
        <v>216417.494531</v>
      </c>
      <c r="G22" s="60">
        <v>43351</v>
      </c>
      <c r="H22" s="192"/>
      <c r="I22" s="61"/>
      <c r="J22" s="191"/>
      <c r="K22" s="63"/>
      <c r="L22" s="62"/>
      <c r="M22" s="238">
        <v>70446.11</v>
      </c>
      <c r="N22" s="257"/>
      <c r="O22" s="53"/>
      <c r="Q22" s="397"/>
    </row>
    <row r="23" spans="1:17">
      <c r="A23" s="55"/>
      <c r="B23" s="56"/>
      <c r="C23" s="57"/>
      <c r="D23" s="61"/>
      <c r="E23" s="58"/>
      <c r="F23" s="59"/>
      <c r="G23" s="60"/>
      <c r="H23" s="192"/>
      <c r="I23" s="61"/>
      <c r="J23" s="191"/>
      <c r="K23" s="63"/>
      <c r="L23" s="62"/>
      <c r="M23" s="238"/>
      <c r="N23" s="549"/>
      <c r="P23" s="90"/>
    </row>
    <row r="24" spans="1:17" ht="15.75" thickBot="1">
      <c r="A24" s="66"/>
      <c r="B24" s="67"/>
      <c r="C24" s="68"/>
      <c r="D24" s="68"/>
      <c r="E24" s="69"/>
      <c r="F24" s="70"/>
      <c r="G24" s="71"/>
      <c r="H24" s="72"/>
      <c r="I24" s="68"/>
      <c r="J24" s="73"/>
      <c r="K24" s="74"/>
      <c r="L24" s="73"/>
      <c r="M24" s="255"/>
    </row>
    <row r="25" spans="1:17" ht="15.75" thickBot="1">
      <c r="A25" s="1"/>
      <c r="B25" s="1"/>
      <c r="C25" s="1"/>
      <c r="D25" s="1"/>
      <c r="E25" s="2"/>
      <c r="F25" s="3"/>
      <c r="G25" s="232"/>
      <c r="H25" s="3"/>
      <c r="I25" s="1"/>
      <c r="J25" s="1"/>
      <c r="K25" s="2"/>
      <c r="L25" s="1"/>
      <c r="M25" s="1"/>
    </row>
    <row r="26" spans="1:17" ht="15.75" thickBot="1">
      <c r="A26" s="871" t="s">
        <v>181</v>
      </c>
      <c r="B26" s="872"/>
      <c r="C26" s="872"/>
      <c r="D26" s="872"/>
      <c r="E26" s="872"/>
      <c r="F26" s="872"/>
      <c r="G26" s="872"/>
      <c r="H26" s="872"/>
      <c r="I26" s="872"/>
      <c r="J26" s="872"/>
      <c r="K26" s="872"/>
      <c r="L26" s="872"/>
      <c r="M26" s="873"/>
    </row>
    <row r="27" spans="1:17" ht="15.75" thickBot="1">
      <c r="A27" s="836" t="s">
        <v>0</v>
      </c>
      <c r="B27" s="834" t="s">
        <v>1</v>
      </c>
      <c r="C27" s="834"/>
      <c r="D27" s="834"/>
      <c r="E27" s="834"/>
      <c r="F27" s="834"/>
      <c r="G27" s="834"/>
      <c r="H27" s="835" t="s">
        <v>2</v>
      </c>
      <c r="I27" s="835"/>
      <c r="J27" s="835"/>
      <c r="K27" s="835" t="s">
        <v>3</v>
      </c>
      <c r="L27" s="835"/>
      <c r="M27" s="836" t="s">
        <v>4</v>
      </c>
    </row>
    <row r="28" spans="1:17" ht="15.75" thickBot="1">
      <c r="A28" s="836"/>
      <c r="B28" s="547" t="s">
        <v>5</v>
      </c>
      <c r="C28" s="547" t="s">
        <v>6</v>
      </c>
      <c r="D28" s="547" t="s">
        <v>7</v>
      </c>
      <c r="E28" s="28" t="s">
        <v>8</v>
      </c>
      <c r="F28" s="27" t="s">
        <v>9</v>
      </c>
      <c r="G28" s="548" t="s">
        <v>10</v>
      </c>
      <c r="H28" s="27" t="s">
        <v>11</v>
      </c>
      <c r="I28" s="547" t="s">
        <v>12</v>
      </c>
      <c r="J28" s="548" t="s">
        <v>13</v>
      </c>
      <c r="K28" s="28" t="s">
        <v>11</v>
      </c>
      <c r="L28" s="548" t="s">
        <v>14</v>
      </c>
      <c r="M28" s="836"/>
    </row>
    <row r="29" spans="1:17">
      <c r="A29" s="295" t="s">
        <v>181</v>
      </c>
      <c r="B29" s="260" t="s">
        <v>194</v>
      </c>
      <c r="C29" s="296">
        <v>42965</v>
      </c>
      <c r="D29" s="297" t="s">
        <v>16</v>
      </c>
      <c r="E29" s="298">
        <v>15050</v>
      </c>
      <c r="F29" s="261">
        <f>+E29*2.80865</f>
        <v>42270.182500000003</v>
      </c>
      <c r="G29" s="299">
        <f t="shared" ref="G29:G34" si="3">+C29+60</f>
        <v>43025</v>
      </c>
      <c r="H29" s="300"/>
      <c r="I29" s="296"/>
      <c r="J29" s="299"/>
      <c r="K29" s="301"/>
      <c r="L29" s="302"/>
      <c r="M29" s="303">
        <f t="shared" ref="M29:M34" si="4">E29-K29</f>
        <v>15050</v>
      </c>
    </row>
    <row r="30" spans="1:17">
      <c r="A30" s="295" t="s">
        <v>181</v>
      </c>
      <c r="B30" s="260" t="s">
        <v>196</v>
      </c>
      <c r="C30" s="296">
        <v>42977</v>
      </c>
      <c r="D30" s="297" t="s">
        <v>16</v>
      </c>
      <c r="E30" s="298">
        <v>30250</v>
      </c>
      <c r="F30" s="261">
        <f>+E30*2.889</f>
        <v>87392.25</v>
      </c>
      <c r="G30" s="299">
        <f t="shared" si="3"/>
        <v>43037</v>
      </c>
      <c r="H30" s="300"/>
      <c r="I30" s="296"/>
      <c r="J30" s="299"/>
      <c r="K30" s="301"/>
      <c r="L30" s="302"/>
      <c r="M30" s="303">
        <f t="shared" si="4"/>
        <v>30250</v>
      </c>
    </row>
    <row r="31" spans="1:17">
      <c r="A31" s="295" t="s">
        <v>181</v>
      </c>
      <c r="B31" s="260" t="s">
        <v>198</v>
      </c>
      <c r="C31" s="296">
        <v>42992</v>
      </c>
      <c r="D31" s="297" t="s">
        <v>16</v>
      </c>
      <c r="E31" s="298">
        <v>34946.269999999997</v>
      </c>
      <c r="F31" s="261">
        <f>+E31*2.899</f>
        <v>101309.23672999999</v>
      </c>
      <c r="G31" s="299">
        <f t="shared" si="3"/>
        <v>43052</v>
      </c>
      <c r="H31" s="300"/>
      <c r="I31" s="296"/>
      <c r="J31" s="299"/>
      <c r="K31" s="301"/>
      <c r="L31" s="302"/>
      <c r="M31" s="303">
        <f t="shared" si="4"/>
        <v>34946.269999999997</v>
      </c>
    </row>
    <row r="32" spans="1:17">
      <c r="A32" s="295" t="s">
        <v>181</v>
      </c>
      <c r="B32" s="260" t="s">
        <v>201</v>
      </c>
      <c r="C32" s="296">
        <v>43006</v>
      </c>
      <c r="D32" s="297" t="s">
        <v>16</v>
      </c>
      <c r="E32" s="298">
        <v>44550</v>
      </c>
      <c r="F32" s="261">
        <f>+E32*2.893</f>
        <v>128883.15</v>
      </c>
      <c r="G32" s="299">
        <f t="shared" si="3"/>
        <v>43066</v>
      </c>
      <c r="H32" s="300"/>
      <c r="I32" s="296"/>
      <c r="J32" s="299"/>
      <c r="K32" s="301"/>
      <c r="L32" s="302"/>
      <c r="M32" s="303">
        <f t="shared" si="4"/>
        <v>44550</v>
      </c>
    </row>
    <row r="33" spans="1:13">
      <c r="A33" s="295" t="s">
        <v>181</v>
      </c>
      <c r="B33" s="260" t="s">
        <v>203</v>
      </c>
      <c r="C33" s="296">
        <v>43019</v>
      </c>
      <c r="D33" s="297" t="s">
        <v>16</v>
      </c>
      <c r="E33" s="298">
        <v>27337.5</v>
      </c>
      <c r="F33" s="261">
        <f>+E33*2.9093</f>
        <v>79532.988750000004</v>
      </c>
      <c r="G33" s="299">
        <f t="shared" si="3"/>
        <v>43079</v>
      </c>
      <c r="H33" s="300"/>
      <c r="I33" s="296"/>
      <c r="J33" s="299"/>
      <c r="K33" s="301"/>
      <c r="L33" s="302"/>
      <c r="M33" s="303">
        <f t="shared" si="4"/>
        <v>27337.5</v>
      </c>
    </row>
    <row r="34" spans="1:13">
      <c r="A34" s="295" t="s">
        <v>181</v>
      </c>
      <c r="B34" s="260" t="s">
        <v>208</v>
      </c>
      <c r="C34" s="296">
        <v>43034</v>
      </c>
      <c r="D34" s="297" t="s">
        <v>16</v>
      </c>
      <c r="E34" s="298">
        <v>15386.35</v>
      </c>
      <c r="F34" s="261">
        <f>+E34*2.9096</f>
        <v>44768.123960000004</v>
      </c>
      <c r="G34" s="299">
        <f t="shared" si="3"/>
        <v>43094</v>
      </c>
      <c r="H34" s="300"/>
      <c r="I34" s="296"/>
      <c r="J34" s="299"/>
      <c r="K34" s="301"/>
      <c r="L34" s="302"/>
      <c r="M34" s="303">
        <f t="shared" si="4"/>
        <v>15386.35</v>
      </c>
    </row>
    <row r="35" spans="1:13" ht="15.75" thickBot="1">
      <c r="A35" s="9"/>
      <c r="B35" s="10"/>
      <c r="C35" s="11"/>
      <c r="D35" s="12"/>
      <c r="E35" s="13"/>
      <c r="F35" s="14"/>
      <c r="G35" s="15"/>
      <c r="H35" s="16"/>
      <c r="I35" s="11"/>
      <c r="J35" s="15"/>
      <c r="K35" s="17"/>
      <c r="L35" s="18"/>
      <c r="M35" s="19"/>
    </row>
    <row r="36" spans="1:13" ht="15.75" thickBot="1">
      <c r="A36" s="1"/>
      <c r="B36" s="1"/>
      <c r="C36" s="1"/>
      <c r="D36" s="1"/>
      <c r="E36" s="2"/>
      <c r="F36" s="3"/>
      <c r="G36" s="231"/>
      <c r="H36" s="3"/>
      <c r="I36" s="1"/>
      <c r="J36" s="1"/>
      <c r="K36" s="2"/>
      <c r="L36" s="1"/>
      <c r="M36" s="1"/>
    </row>
    <row r="37" spans="1:13" ht="15.75" thickBot="1">
      <c r="A37" s="1"/>
      <c r="B37" s="550" t="s">
        <v>47</v>
      </c>
      <c r="C37" s="3"/>
      <c r="D37" s="1"/>
      <c r="E37" s="3"/>
      <c r="F37" s="1"/>
      <c r="G37" s="1"/>
      <c r="H37" s="2"/>
      <c r="I37" s="1"/>
      <c r="J37" s="1"/>
    </row>
    <row r="38" spans="1:13">
      <c r="A38" s="551" t="s">
        <v>232</v>
      </c>
      <c r="B38" s="552">
        <f>M16</f>
        <v>3120.6399999999994</v>
      </c>
      <c r="C38" s="3"/>
      <c r="D38" s="1"/>
      <c r="E38" s="3"/>
      <c r="F38" s="1"/>
      <c r="G38" s="1"/>
      <c r="H38" s="2"/>
      <c r="I38" s="1"/>
      <c r="J38" s="1"/>
    </row>
    <row r="39" spans="1:13">
      <c r="A39" s="553" t="s">
        <v>247</v>
      </c>
      <c r="B39" s="554">
        <f>+E17+E18+E19+E20+E21+E22</f>
        <v>401305.63999999996</v>
      </c>
      <c r="C39" s="3"/>
      <c r="D39" s="1"/>
      <c r="E39" s="3"/>
      <c r="F39" s="1"/>
      <c r="G39" s="1"/>
      <c r="H39" s="2"/>
      <c r="I39" s="1"/>
      <c r="J39" s="1"/>
    </row>
    <row r="40" spans="1:13" ht="15.75" thickBot="1">
      <c r="A40" s="555" t="s">
        <v>174</v>
      </c>
      <c r="B40" s="556">
        <f>M29+M30+M31+M32+M33+M34</f>
        <v>167520.12</v>
      </c>
      <c r="C40" s="3"/>
      <c r="D40" s="1"/>
      <c r="E40" s="3"/>
      <c r="F40" s="1"/>
      <c r="G40" s="1"/>
      <c r="H40" s="2"/>
      <c r="I40" s="1"/>
      <c r="J40" s="1"/>
    </row>
    <row r="41" spans="1:13" ht="15.75" thickBot="1">
      <c r="A41" s="1"/>
      <c r="B41" s="557">
        <f>SUM(B38:B40)</f>
        <v>571946.39999999991</v>
      </c>
      <c r="C41" s="3"/>
      <c r="D41" s="1"/>
      <c r="E41" s="3"/>
      <c r="F41" s="1"/>
      <c r="G41" s="1"/>
      <c r="H41" s="2"/>
      <c r="I41" s="1"/>
      <c r="J41" s="1"/>
    </row>
  </sheetData>
  <mergeCells count="15">
    <mergeCell ref="A26:M26"/>
    <mergeCell ref="A27:A28"/>
    <mergeCell ref="B27:G27"/>
    <mergeCell ref="H27:J27"/>
    <mergeCell ref="K27:L27"/>
    <mergeCell ref="M27:M28"/>
    <mergeCell ref="A2:A7"/>
    <mergeCell ref="B2:B7"/>
    <mergeCell ref="C2:C7"/>
    <mergeCell ref="A13:M13"/>
    <mergeCell ref="A14:A15"/>
    <mergeCell ref="B14:G14"/>
    <mergeCell ref="H14:J14"/>
    <mergeCell ref="K14:L14"/>
    <mergeCell ref="M14:M15"/>
  </mergeCells>
  <pageMargins left="0.70866141732283472" right="0.70866141732283472" top="0.74803149606299213" bottom="0.74803149606299213" header="0.31496062992125984" footer="0.31496062992125984"/>
  <pageSetup paperSize="9" scale="82" orientation="landscape" horizontalDpi="180" verticalDpi="180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2:P30"/>
  <sheetViews>
    <sheetView workbookViewId="0">
      <selection activeCell="K1" sqref="K1:M1048576"/>
    </sheetView>
  </sheetViews>
  <sheetFormatPr baseColWidth="10" defaultRowHeight="12.75"/>
  <cols>
    <col min="1" max="1" width="9.7109375" style="239" bestFit="1" customWidth="1"/>
    <col min="2" max="2" width="4.7109375" style="338" bestFit="1" customWidth="1"/>
    <col min="3" max="3" width="17" style="239" bestFit="1" customWidth="1"/>
    <col min="4" max="4" width="3.42578125" style="239" bestFit="1" customWidth="1"/>
    <col min="5" max="5" width="8.85546875" style="239" bestFit="1" customWidth="1"/>
    <col min="6" max="6" width="5.7109375" style="239" bestFit="1" customWidth="1"/>
    <col min="7" max="7" width="10.85546875" style="239" bestFit="1" customWidth="1"/>
    <col min="8" max="8" width="9.85546875" style="239" bestFit="1" customWidth="1"/>
    <col min="9" max="9" width="10.85546875" style="239" bestFit="1" customWidth="1"/>
    <col min="10" max="10" width="1.85546875" style="239" customWidth="1"/>
    <col min="11" max="11" width="11.42578125" style="250"/>
    <col min="12" max="12" width="1.140625" style="239" customWidth="1"/>
    <col min="13" max="13" width="11.42578125" style="716"/>
    <col min="14" max="15" width="11.42578125" style="239"/>
    <col min="16" max="16" width="11.42578125" style="250"/>
    <col min="17" max="16384" width="11.42578125" style="239"/>
  </cols>
  <sheetData>
    <row r="2" spans="1:11">
      <c r="A2" s="676"/>
      <c r="B2" s="337"/>
      <c r="D2" s="327"/>
      <c r="E2" s="692" t="s">
        <v>1232</v>
      </c>
      <c r="F2" s="693"/>
      <c r="G2" s="693" t="s">
        <v>1229</v>
      </c>
      <c r="H2" s="693" t="s">
        <v>1230</v>
      </c>
      <c r="I2" s="693" t="s">
        <v>1231</v>
      </c>
    </row>
    <row r="3" spans="1:11">
      <c r="A3" s="676">
        <v>43339</v>
      </c>
      <c r="B3" s="337" t="s">
        <v>908</v>
      </c>
      <c r="C3" s="239" t="s">
        <v>175</v>
      </c>
      <c r="D3" s="327" t="s">
        <v>168</v>
      </c>
      <c r="E3" s="328">
        <v>36163</v>
      </c>
      <c r="F3" s="250">
        <v>1.7</v>
      </c>
      <c r="G3" s="250">
        <f t="shared" ref="G3" si="0">+E3*F3</f>
        <v>61477.1</v>
      </c>
      <c r="H3" s="250">
        <f t="shared" ref="H3" si="1">+G3*0.19</f>
        <v>11680.648999999999</v>
      </c>
      <c r="I3" s="250">
        <f>+G3+H3+0.6</f>
        <v>73158.349000000002</v>
      </c>
    </row>
    <row r="4" spans="1:11">
      <c r="A4" s="676"/>
      <c r="B4" s="337"/>
      <c r="D4" s="327"/>
      <c r="E4" s="328"/>
      <c r="F4" s="250"/>
      <c r="G4" s="250"/>
      <c r="H4" s="250"/>
      <c r="I4" s="250"/>
    </row>
    <row r="5" spans="1:11">
      <c r="A5" s="676">
        <v>43371</v>
      </c>
      <c r="B5" s="337" t="s">
        <v>45</v>
      </c>
      <c r="C5" s="239" t="s">
        <v>1324</v>
      </c>
      <c r="D5" s="327" t="s">
        <v>168</v>
      </c>
      <c r="E5" s="328">
        <v>43430.9</v>
      </c>
      <c r="F5" s="250">
        <v>1.45</v>
      </c>
      <c r="G5" s="250">
        <f t="shared" ref="G5" si="2">+E5*F5</f>
        <v>62974.805</v>
      </c>
      <c r="H5" s="250">
        <f t="shared" ref="H5" si="3">+G5*0.19</f>
        <v>11965.212950000001</v>
      </c>
      <c r="I5" s="250">
        <f>+G5+H5+0.6</f>
        <v>74940.617950000014</v>
      </c>
    </row>
    <row r="6" spans="1:11">
      <c r="A6" s="676"/>
      <c r="B6" s="337"/>
      <c r="D6" s="327"/>
      <c r="E6" s="328"/>
      <c r="F6" s="250"/>
      <c r="G6" s="250"/>
      <c r="H6" s="250"/>
      <c r="I6" s="250"/>
    </row>
    <row r="7" spans="1:11">
      <c r="A7" s="676">
        <v>43371</v>
      </c>
      <c r="B7" s="337" t="s">
        <v>45</v>
      </c>
      <c r="C7" s="239" t="s">
        <v>1324</v>
      </c>
      <c r="D7" s="327" t="s">
        <v>168</v>
      </c>
      <c r="E7" s="328">
        <v>44340.69</v>
      </c>
      <c r="F7" s="250">
        <v>1.45</v>
      </c>
      <c r="G7" s="250">
        <f t="shared" ref="G7" si="4">+E7*F7</f>
        <v>64294.000500000002</v>
      </c>
      <c r="H7" s="250">
        <f t="shared" ref="H7" si="5">+G7*0.19</f>
        <v>12215.860095</v>
      </c>
      <c r="I7" s="250">
        <f>+G7+H7+0.6</f>
        <v>76510.460595000011</v>
      </c>
    </row>
    <row r="8" spans="1:11">
      <c r="A8" s="676"/>
      <c r="B8" s="337"/>
      <c r="D8" s="327"/>
      <c r="E8" s="328"/>
      <c r="F8" s="250"/>
      <c r="G8" s="250"/>
      <c r="H8" s="250"/>
      <c r="I8" s="250"/>
    </row>
    <row r="9" spans="1:11">
      <c r="A9" s="676">
        <v>43393</v>
      </c>
      <c r="B9" s="337" t="s">
        <v>908</v>
      </c>
      <c r="C9" s="239" t="s">
        <v>175</v>
      </c>
      <c r="D9" s="327" t="s">
        <v>168</v>
      </c>
      <c r="E9" s="328">
        <v>33840</v>
      </c>
      <c r="F9" s="250">
        <v>1.7</v>
      </c>
      <c r="G9" s="250">
        <f t="shared" ref="G9" si="6">+E9*F9</f>
        <v>57528</v>
      </c>
      <c r="H9" s="250">
        <f t="shared" ref="H9" si="7">+G9*0.19</f>
        <v>10930.32</v>
      </c>
      <c r="I9" s="250">
        <f>+G9+H9+0.6</f>
        <v>68458.920000000013</v>
      </c>
    </row>
    <row r="10" spans="1:11">
      <c r="A10" s="676"/>
      <c r="B10" s="337"/>
      <c r="D10" s="327"/>
      <c r="E10" s="328"/>
      <c r="F10" s="250"/>
      <c r="G10" s="250"/>
      <c r="H10" s="250"/>
      <c r="I10" s="250"/>
    </row>
    <row r="11" spans="1:11">
      <c r="A11" s="676">
        <v>43398</v>
      </c>
      <c r="B11" s="337" t="s">
        <v>45</v>
      </c>
      <c r="C11" s="239" t="s">
        <v>1324</v>
      </c>
      <c r="D11" s="327" t="s">
        <v>168</v>
      </c>
      <c r="E11" s="328">
        <v>44504.83</v>
      </c>
      <c r="F11" s="250">
        <v>1.45</v>
      </c>
      <c r="G11" s="250">
        <f t="shared" ref="G11" si="8">+E11*F11</f>
        <v>64532.003499999999</v>
      </c>
      <c r="H11" s="250">
        <f t="shared" ref="H11" si="9">+G11*0.19</f>
        <v>12261.080664999999</v>
      </c>
      <c r="I11" s="250">
        <f>+G11+H11+0.6</f>
        <v>76793.684164999999</v>
      </c>
    </row>
    <row r="12" spans="1:11">
      <c r="A12" s="676"/>
      <c r="B12" s="337"/>
      <c r="D12" s="327"/>
      <c r="E12" s="328"/>
      <c r="F12" s="250"/>
      <c r="G12" s="250"/>
      <c r="H12" s="250"/>
      <c r="I12" s="250"/>
    </row>
    <row r="13" spans="1:11">
      <c r="A13" s="676">
        <v>43404</v>
      </c>
      <c r="B13" s="337" t="s">
        <v>45</v>
      </c>
      <c r="C13" s="239" t="s">
        <v>1324</v>
      </c>
      <c r="D13" s="327" t="s">
        <v>168</v>
      </c>
      <c r="E13" s="328">
        <v>22825.09</v>
      </c>
      <c r="F13" s="250">
        <v>1.45</v>
      </c>
      <c r="G13" s="250">
        <f t="shared" ref="G13" si="10">+E13*F13</f>
        <v>33096.380499999999</v>
      </c>
      <c r="H13" s="250">
        <f t="shared" ref="H13" si="11">+G13*0.19</f>
        <v>6288.3122949999997</v>
      </c>
      <c r="I13" s="250">
        <f>+G13+H13+0.6</f>
        <v>39385.292794999994</v>
      </c>
    </row>
    <row r="14" spans="1:11">
      <c r="A14" s="676"/>
      <c r="B14" s="337"/>
      <c r="D14" s="327"/>
      <c r="E14" s="328"/>
      <c r="F14" s="250"/>
      <c r="G14" s="250"/>
      <c r="H14" s="250"/>
      <c r="I14" s="250"/>
    </row>
    <row r="15" spans="1:11">
      <c r="A15" s="676">
        <v>43416</v>
      </c>
      <c r="B15" s="337" t="s">
        <v>45</v>
      </c>
      <c r="C15" s="239" t="s">
        <v>1324</v>
      </c>
      <c r="D15" s="327" t="s">
        <v>168</v>
      </c>
      <c r="E15" s="328">
        <v>43142.93</v>
      </c>
      <c r="F15" s="250">
        <v>1.45</v>
      </c>
      <c r="G15" s="250">
        <f t="shared" ref="G15" si="12">+E15*F15</f>
        <v>62557.248500000002</v>
      </c>
      <c r="H15" s="250">
        <f t="shared" ref="H15" si="13">+G15*0.19</f>
        <v>11885.877215</v>
      </c>
      <c r="I15" s="250">
        <f>+G15+H15+0.6</f>
        <v>74443.725715000008</v>
      </c>
      <c r="K15" s="714"/>
    </row>
    <row r="17" spans="1:9">
      <c r="A17" s="676">
        <v>43434</v>
      </c>
      <c r="B17" s="337" t="s">
        <v>45</v>
      </c>
      <c r="C17" s="239" t="s">
        <v>1324</v>
      </c>
      <c r="D17" s="327" t="s">
        <v>168</v>
      </c>
      <c r="E17" s="328">
        <v>41909.480000000003</v>
      </c>
      <c r="F17" s="250">
        <v>1.45</v>
      </c>
      <c r="G17" s="250">
        <f t="shared" ref="G17" si="14">+E17*F17</f>
        <v>60768.745999999999</v>
      </c>
      <c r="H17" s="250">
        <f t="shared" ref="H17" si="15">+G17*0.19</f>
        <v>11546.061739999999</v>
      </c>
      <c r="I17" s="250">
        <f>+G17+H17+0.6</f>
        <v>72315.40774000001</v>
      </c>
    </row>
    <row r="19" spans="1:9">
      <c r="A19" s="676">
        <v>43437</v>
      </c>
      <c r="B19" s="337" t="s">
        <v>45</v>
      </c>
      <c r="C19" s="239" t="s">
        <v>1324</v>
      </c>
      <c r="D19" s="327" t="s">
        <v>168</v>
      </c>
      <c r="E19" s="328">
        <v>37892.93</v>
      </c>
      <c r="F19" s="250">
        <v>1.45</v>
      </c>
      <c r="G19" s="250">
        <f t="shared" ref="G19" si="16">+E19*F19</f>
        <v>54944.748500000002</v>
      </c>
      <c r="H19" s="250">
        <f t="shared" ref="H19" si="17">+G19*0.19</f>
        <v>10439.502215</v>
      </c>
      <c r="I19" s="250">
        <f>+G19+H19+0.6</f>
        <v>65384.850715</v>
      </c>
    </row>
    <row r="20" spans="1:9">
      <c r="G20" s="250"/>
      <c r="H20" s="250"/>
      <c r="I20" s="250"/>
    </row>
    <row r="21" spans="1:9">
      <c r="E21" s="328">
        <f>E3+E5+E7+E9+E11+E15+E17+E19</f>
        <v>325224.75999999995</v>
      </c>
      <c r="G21" s="250">
        <f>+G19+G17+G15+G11+G9+G7+G5+G3+G13</f>
        <v>522173.03249999997</v>
      </c>
      <c r="H21" s="250">
        <f t="shared" ref="H21:I21" si="18">+H19+H17+H15+H11+H9+H7+H5+H3+H13</f>
        <v>99212.876174999998</v>
      </c>
      <c r="I21" s="250">
        <f t="shared" si="18"/>
        <v>621391.30867500009</v>
      </c>
    </row>
    <row r="22" spans="1:9">
      <c r="G22" s="250"/>
      <c r="H22" s="250"/>
      <c r="I22" s="250"/>
    </row>
    <row r="23" spans="1:9">
      <c r="C23" s="874" t="s">
        <v>1233</v>
      </c>
      <c r="D23" s="874"/>
      <c r="E23" s="874"/>
      <c r="F23" s="715">
        <v>0.16</v>
      </c>
      <c r="H23" s="250">
        <f>+F23*(G3+G5+G7+G9+G11+G13)</f>
        <v>55024.366319999994</v>
      </c>
    </row>
    <row r="24" spans="1:9">
      <c r="F24" s="715">
        <v>0.16</v>
      </c>
      <c r="H24" s="250">
        <f>+F24*(G15+G17+G19)</f>
        <v>28523.318880000003</v>
      </c>
    </row>
    <row r="25" spans="1:9">
      <c r="H25" s="250">
        <f>SUM(H23:H24)</f>
        <v>83547.685199999993</v>
      </c>
    </row>
    <row r="27" spans="1:9">
      <c r="I27" s="250"/>
    </row>
    <row r="28" spans="1:9">
      <c r="E28" s="328"/>
    </row>
    <row r="30" spans="1:9">
      <c r="E30" s="328"/>
    </row>
  </sheetData>
  <mergeCells count="1">
    <mergeCell ref="C23:E23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2:P24"/>
  <sheetViews>
    <sheetView workbookViewId="0">
      <selection activeCell="M44" sqref="M44"/>
    </sheetView>
  </sheetViews>
  <sheetFormatPr baseColWidth="10" defaultRowHeight="12.75"/>
  <cols>
    <col min="1" max="1" width="9.7109375" style="679" bestFit="1" customWidth="1"/>
    <col min="2" max="2" width="4.7109375" style="680" bestFit="1" customWidth="1"/>
    <col min="3" max="3" width="17" style="679" bestFit="1" customWidth="1"/>
    <col min="4" max="4" width="3.42578125" style="679" bestFit="1" customWidth="1"/>
    <col min="5" max="5" width="8.85546875" style="679" bestFit="1" customWidth="1"/>
    <col min="6" max="6" width="5.7109375" style="679" bestFit="1" customWidth="1"/>
    <col min="7" max="7" width="10.85546875" style="679" bestFit="1" customWidth="1"/>
    <col min="8" max="8" width="9.85546875" style="679" bestFit="1" customWidth="1"/>
    <col min="9" max="9" width="10.85546875" style="679" bestFit="1" customWidth="1"/>
    <col min="10" max="15" width="11.42578125" style="679"/>
    <col min="16" max="16" width="11.42578125" style="688"/>
    <col min="17" max="16384" width="11.42578125" style="679"/>
  </cols>
  <sheetData>
    <row r="2" spans="1:16">
      <c r="A2" s="676"/>
      <c r="B2" s="677"/>
      <c r="C2" s="239"/>
      <c r="D2" s="327"/>
      <c r="E2" s="692" t="s">
        <v>1232</v>
      </c>
      <c r="F2" s="693"/>
      <c r="G2" s="693" t="s">
        <v>1229</v>
      </c>
      <c r="H2" s="693" t="s">
        <v>1230</v>
      </c>
      <c r="I2" s="693" t="s">
        <v>1231</v>
      </c>
    </row>
    <row r="3" spans="1:16" s="681" customFormat="1">
      <c r="A3" s="683">
        <v>43399</v>
      </c>
      <c r="B3" s="678" t="s">
        <v>45</v>
      </c>
      <c r="C3" s="684" t="s">
        <v>175</v>
      </c>
      <c r="D3" s="685" t="s">
        <v>168</v>
      </c>
      <c r="E3" s="686">
        <v>37000</v>
      </c>
      <c r="F3" s="687">
        <v>1.8</v>
      </c>
      <c r="G3" s="687">
        <f t="shared" ref="G3" si="0">+E3*F3</f>
        <v>66600</v>
      </c>
      <c r="H3" s="687">
        <f t="shared" ref="H3" si="1">+G3*0.19</f>
        <v>12654</v>
      </c>
      <c r="I3" s="687">
        <f>+G3+H3+0.6</f>
        <v>79254.600000000006</v>
      </c>
      <c r="K3" s="681">
        <f>+I3*0.985</f>
        <v>78065.781000000003</v>
      </c>
      <c r="P3" s="682"/>
    </row>
    <row r="4" spans="1:16">
      <c r="A4" s="676"/>
      <c r="B4" s="677"/>
      <c r="C4" s="239"/>
      <c r="D4" s="327"/>
      <c r="E4" s="328"/>
      <c r="F4" s="250"/>
      <c r="G4" s="250"/>
      <c r="H4" s="250"/>
      <c r="I4" s="250"/>
      <c r="K4" s="681">
        <f t="shared" ref="K4:K13" si="2">+I4*0.985</f>
        <v>0</v>
      </c>
    </row>
    <row r="5" spans="1:16" s="681" customFormat="1">
      <c r="A5" s="683">
        <v>43404</v>
      </c>
      <c r="B5" s="678" t="s">
        <v>45</v>
      </c>
      <c r="C5" s="684" t="s">
        <v>175</v>
      </c>
      <c r="D5" s="685" t="s">
        <v>168</v>
      </c>
      <c r="E5" s="686">
        <v>36500</v>
      </c>
      <c r="F5" s="687">
        <v>1.8</v>
      </c>
      <c r="G5" s="687">
        <f t="shared" ref="G5" si="3">+E5*F5</f>
        <v>65700</v>
      </c>
      <c r="H5" s="687">
        <f t="shared" ref="H5" si="4">+G5*0.19</f>
        <v>12483</v>
      </c>
      <c r="I5" s="687">
        <f>+G5+H5+0.6</f>
        <v>78183.600000000006</v>
      </c>
      <c r="K5" s="681">
        <f t="shared" si="2"/>
        <v>77010.846000000005</v>
      </c>
      <c r="P5" s="682"/>
    </row>
    <row r="6" spans="1:16">
      <c r="A6" s="676"/>
      <c r="B6" s="677"/>
      <c r="C6" s="239"/>
      <c r="D6" s="327"/>
      <c r="E6" s="328"/>
      <c r="F6" s="250"/>
      <c r="G6" s="250"/>
      <c r="H6" s="250"/>
      <c r="I6" s="250"/>
      <c r="K6" s="681">
        <f t="shared" si="2"/>
        <v>0</v>
      </c>
    </row>
    <row r="7" spans="1:16" s="681" customFormat="1">
      <c r="A7" s="683">
        <v>43419</v>
      </c>
      <c r="B7" s="678" t="s">
        <v>45</v>
      </c>
      <c r="C7" s="684" t="s">
        <v>175</v>
      </c>
      <c r="D7" s="685" t="s">
        <v>168</v>
      </c>
      <c r="E7" s="686">
        <v>37500</v>
      </c>
      <c r="F7" s="687">
        <v>1.8</v>
      </c>
      <c r="G7" s="687">
        <f t="shared" ref="G7" si="5">+E7*F7</f>
        <v>67500</v>
      </c>
      <c r="H7" s="687">
        <f t="shared" ref="H7" si="6">+G7*0.19</f>
        <v>12825</v>
      </c>
      <c r="I7" s="687">
        <f>+G7+H7+0.6</f>
        <v>80325.600000000006</v>
      </c>
      <c r="K7" s="681">
        <f t="shared" si="2"/>
        <v>79120.716</v>
      </c>
      <c r="P7" s="682"/>
    </row>
    <row r="8" spans="1:16">
      <c r="A8" s="676"/>
      <c r="B8" s="677"/>
      <c r="C8" s="239"/>
      <c r="D8" s="327"/>
      <c r="E8" s="328"/>
      <c r="F8" s="250"/>
      <c r="G8" s="250"/>
      <c r="H8" s="250"/>
      <c r="I8" s="250"/>
      <c r="K8" s="681">
        <f t="shared" si="2"/>
        <v>0</v>
      </c>
    </row>
    <row r="9" spans="1:16" s="681" customFormat="1">
      <c r="A9" s="683">
        <v>43427</v>
      </c>
      <c r="B9" s="678" t="s">
        <v>45</v>
      </c>
      <c r="C9" s="684" t="s">
        <v>175</v>
      </c>
      <c r="D9" s="685" t="s">
        <v>168</v>
      </c>
      <c r="E9" s="686">
        <v>36800</v>
      </c>
      <c r="F9" s="687">
        <v>1.8</v>
      </c>
      <c r="G9" s="687">
        <f t="shared" ref="G9" si="7">+E9*F9</f>
        <v>66240</v>
      </c>
      <c r="H9" s="687">
        <f t="shared" ref="H9" si="8">+G9*0.19</f>
        <v>12585.6</v>
      </c>
      <c r="I9" s="687">
        <f>+G9+H9+0.6</f>
        <v>78826.200000000012</v>
      </c>
      <c r="K9" s="681">
        <f t="shared" si="2"/>
        <v>77643.807000000015</v>
      </c>
      <c r="P9" s="682"/>
    </row>
    <row r="10" spans="1:16" s="251" customFormat="1">
      <c r="A10" s="721"/>
      <c r="B10" s="677"/>
      <c r="D10" s="248"/>
      <c r="E10" s="249"/>
      <c r="F10" s="246"/>
      <c r="G10" s="246"/>
      <c r="H10" s="246"/>
      <c r="I10" s="246"/>
      <c r="P10" s="246"/>
    </row>
    <row r="11" spans="1:16" s="681" customFormat="1">
      <c r="A11" s="683"/>
      <c r="B11" s="678"/>
      <c r="C11" s="684"/>
      <c r="D11" s="685"/>
      <c r="E11" s="686">
        <v>38000</v>
      </c>
      <c r="F11" s="687">
        <v>1.8</v>
      </c>
      <c r="G11" s="687">
        <f t="shared" ref="G11" si="9">+E11*F11</f>
        <v>68400</v>
      </c>
      <c r="H11" s="687">
        <f t="shared" ref="H11" si="10">+G11*0.19</f>
        <v>12996</v>
      </c>
      <c r="I11" s="687">
        <f>+G11+H11+0.6</f>
        <v>81396.600000000006</v>
      </c>
      <c r="P11" s="682"/>
    </row>
    <row r="12" spans="1:16">
      <c r="A12" s="676"/>
      <c r="B12" s="677"/>
      <c r="C12" s="239"/>
      <c r="D12" s="327"/>
      <c r="E12" s="328"/>
      <c r="F12" s="250"/>
      <c r="G12" s="250"/>
      <c r="H12" s="250"/>
      <c r="I12" s="250"/>
      <c r="K12" s="681">
        <f t="shared" si="2"/>
        <v>0</v>
      </c>
    </row>
    <row r="13" spans="1:16" hidden="1">
      <c r="A13" s="683">
        <v>43403</v>
      </c>
      <c r="B13" s="678" t="s">
        <v>45</v>
      </c>
      <c r="C13" s="684" t="s">
        <v>1324</v>
      </c>
      <c r="D13" s="685" t="s">
        <v>168</v>
      </c>
      <c r="E13" s="686">
        <v>10080</v>
      </c>
      <c r="F13" s="687">
        <v>1.2</v>
      </c>
      <c r="G13" s="687">
        <f>+E13*F13*1.01</f>
        <v>12216.960000000001</v>
      </c>
      <c r="H13" s="687">
        <f t="shared" ref="H13" si="11">+G13*0.19</f>
        <v>2321.2224000000001</v>
      </c>
      <c r="I13" s="687">
        <f>+G13+H13+0.6</f>
        <v>14538.782400000002</v>
      </c>
      <c r="K13" s="681">
        <f t="shared" si="2"/>
        <v>14320.700664000002</v>
      </c>
    </row>
    <row r="14" spans="1:16" hidden="1">
      <c r="B14" s="694"/>
      <c r="G14" s="688"/>
      <c r="H14" s="688"/>
      <c r="I14" s="688"/>
    </row>
    <row r="15" spans="1:16">
      <c r="E15" s="695">
        <f>E3+E5+E7+E9</f>
        <v>147800</v>
      </c>
      <c r="G15" s="688">
        <f>+G9+G7+G5+G3</f>
        <v>266040</v>
      </c>
      <c r="H15" s="688">
        <f t="shared" ref="H15" si="12">+H9+H7+H5+H3</f>
        <v>50547.6</v>
      </c>
      <c r="I15" s="688">
        <f>+I9+I7+I5+I3+I11</f>
        <v>397986.6</v>
      </c>
    </row>
    <row r="16" spans="1:16">
      <c r="G16" s="688"/>
      <c r="H16" s="688"/>
      <c r="I16" s="688"/>
    </row>
    <row r="17" spans="3:8">
      <c r="C17" s="875" t="s">
        <v>1233</v>
      </c>
      <c r="D17" s="875"/>
      <c r="E17" s="875"/>
      <c r="F17" s="701">
        <v>0.16</v>
      </c>
      <c r="G17" s="681"/>
      <c r="H17" s="682">
        <f>+F17*(G3+G5+G7+G9+G11)</f>
        <v>53510.400000000001</v>
      </c>
    </row>
    <row r="18" spans="3:8">
      <c r="C18" s="681"/>
      <c r="D18" s="681"/>
      <c r="E18" s="681"/>
      <c r="F18" s="689"/>
      <c r="G18" s="681"/>
      <c r="H18" s="682"/>
    </row>
    <row r="19" spans="3:8">
      <c r="C19" s="681"/>
      <c r="D19" s="681"/>
      <c r="E19" s="681"/>
      <c r="F19" s="681"/>
      <c r="G19" s="681"/>
      <c r="H19" s="682">
        <f>SUM(H17:H18)</f>
        <v>53510.400000000001</v>
      </c>
    </row>
    <row r="22" spans="3:8">
      <c r="E22" s="695"/>
    </row>
    <row r="24" spans="3:8">
      <c r="E24" s="695"/>
    </row>
  </sheetData>
  <mergeCells count="1">
    <mergeCell ref="C17:E17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J15"/>
  <sheetViews>
    <sheetView workbookViewId="0">
      <selection activeCell="I15" sqref="I15"/>
    </sheetView>
  </sheetViews>
  <sheetFormatPr baseColWidth="10" defaultRowHeight="15"/>
  <cols>
    <col min="1" max="1" width="9.7109375" bestFit="1" customWidth="1"/>
    <col min="2" max="2" width="4.7109375" bestFit="1" customWidth="1"/>
    <col min="3" max="3" width="17.28515625" bestFit="1" customWidth="1"/>
    <col min="4" max="4" width="3.5703125" bestFit="1" customWidth="1"/>
    <col min="5" max="5" width="8.85546875" bestFit="1" customWidth="1"/>
    <col min="6" max="6" width="5.42578125" bestFit="1" customWidth="1"/>
    <col min="7" max="7" width="11" bestFit="1" customWidth="1"/>
    <col min="8" max="8" width="10" bestFit="1" customWidth="1"/>
    <col min="9" max="9" width="11" bestFit="1" customWidth="1"/>
    <col min="10" max="10" width="8.5703125" bestFit="1" customWidth="1"/>
  </cols>
  <sheetData>
    <row r="1" spans="1:10">
      <c r="A1" s="676"/>
      <c r="B1" s="677"/>
      <c r="C1" s="239"/>
      <c r="D1" s="327"/>
      <c r="E1" s="692" t="s">
        <v>1232</v>
      </c>
      <c r="F1" s="693"/>
      <c r="G1" s="693" t="s">
        <v>1229</v>
      </c>
      <c r="H1" s="693" t="s">
        <v>1230</v>
      </c>
      <c r="I1" s="693" t="s">
        <v>1231</v>
      </c>
      <c r="J1" s="92"/>
    </row>
    <row r="2" spans="1:10" ht="5.25" customHeight="1" thickBot="1">
      <c r="A2" s="676"/>
      <c r="B2" s="677"/>
      <c r="C2" s="239"/>
      <c r="D2" s="327"/>
      <c r="E2" s="328"/>
      <c r="F2" s="250"/>
      <c r="G2" s="250"/>
      <c r="H2" s="250"/>
      <c r="I2" s="250"/>
      <c r="J2" s="92"/>
    </row>
    <row r="3" spans="1:10" ht="15.75" thickBot="1">
      <c r="A3" s="704">
        <v>43371</v>
      </c>
      <c r="B3" s="705" t="s">
        <v>45</v>
      </c>
      <c r="C3" s="706" t="s">
        <v>175</v>
      </c>
      <c r="D3" s="703" t="s">
        <v>168</v>
      </c>
      <c r="E3" s="707">
        <v>37044</v>
      </c>
      <c r="F3" s="708">
        <v>1.7</v>
      </c>
      <c r="G3" s="708">
        <f t="shared" ref="G3" si="0">+E3*F3</f>
        <v>62974.799999999996</v>
      </c>
      <c r="H3" s="708">
        <f t="shared" ref="H3" si="1">+G3*0.19</f>
        <v>11965.212</v>
      </c>
      <c r="I3" s="709">
        <f>+G3+H3+0.6</f>
        <v>74940.611999999994</v>
      </c>
      <c r="J3" s="92" t="s">
        <v>1472</v>
      </c>
    </row>
    <row r="4" spans="1:10" ht="5.25" customHeight="1" thickBot="1">
      <c r="A4" s="676"/>
      <c r="B4" s="677"/>
      <c r="C4" s="239"/>
      <c r="D4" s="327"/>
      <c r="E4" s="328"/>
      <c r="F4" s="250"/>
      <c r="G4" s="250"/>
      <c r="H4" s="250"/>
      <c r="I4" s="250"/>
      <c r="J4" s="92"/>
    </row>
    <row r="5" spans="1:10" ht="15.75" thickBot="1">
      <c r="A5" s="704">
        <v>43371</v>
      </c>
      <c r="B5" s="705" t="s">
        <v>45</v>
      </c>
      <c r="C5" s="706" t="s">
        <v>175</v>
      </c>
      <c r="D5" s="703" t="s">
        <v>168</v>
      </c>
      <c r="E5" s="707">
        <v>37820</v>
      </c>
      <c r="F5" s="708">
        <v>1.7</v>
      </c>
      <c r="G5" s="708">
        <f t="shared" ref="G5" si="2">+E5*F5</f>
        <v>64294</v>
      </c>
      <c r="H5" s="708">
        <f t="shared" ref="H5" si="3">+G5*0.19</f>
        <v>12215.86</v>
      </c>
      <c r="I5" s="709">
        <f>+G5+H5+0.6</f>
        <v>76510.460000000006</v>
      </c>
      <c r="J5" s="92" t="s">
        <v>1472</v>
      </c>
    </row>
    <row r="6" spans="1:10" ht="5.25" customHeight="1" thickBot="1">
      <c r="A6" s="676"/>
      <c r="B6" s="677"/>
      <c r="C6" s="239"/>
      <c r="D6" s="327"/>
      <c r="E6" s="328"/>
      <c r="F6" s="250"/>
      <c r="G6" s="250"/>
      <c r="H6" s="250"/>
      <c r="I6" s="250"/>
      <c r="J6" s="92"/>
    </row>
    <row r="7" spans="1:10" ht="15.75" thickBot="1">
      <c r="A7" s="704">
        <v>43398</v>
      </c>
      <c r="B7" s="705" t="s">
        <v>45</v>
      </c>
      <c r="C7" s="706" t="s">
        <v>175</v>
      </c>
      <c r="D7" s="703" t="s">
        <v>168</v>
      </c>
      <c r="E7" s="707">
        <v>37960</v>
      </c>
      <c r="F7" s="708">
        <v>1.7</v>
      </c>
      <c r="G7" s="708">
        <f t="shared" ref="G7" si="4">+E7*F7</f>
        <v>64532</v>
      </c>
      <c r="H7" s="708">
        <f t="shared" ref="H7" si="5">+G7*0.19</f>
        <v>12261.08</v>
      </c>
      <c r="I7" s="709">
        <f>+G7+H7+0.6</f>
        <v>76793.680000000008</v>
      </c>
      <c r="J7" s="92" t="s">
        <v>1472</v>
      </c>
    </row>
    <row r="8" spans="1:10" ht="5.25" customHeight="1" thickBot="1">
      <c r="A8" s="676"/>
      <c r="B8" s="677"/>
      <c r="C8" s="239"/>
      <c r="D8" s="327"/>
      <c r="E8" s="328"/>
      <c r="F8" s="250"/>
      <c r="G8" s="250"/>
      <c r="H8" s="250"/>
      <c r="I8" s="250"/>
      <c r="J8" s="92"/>
    </row>
    <row r="9" spans="1:10" ht="15.75" thickBot="1">
      <c r="A9" s="704">
        <v>43404</v>
      </c>
      <c r="B9" s="705" t="s">
        <v>45</v>
      </c>
      <c r="C9" s="706" t="s">
        <v>1324</v>
      </c>
      <c r="D9" s="703" t="s">
        <v>168</v>
      </c>
      <c r="E9" s="707">
        <v>30225</v>
      </c>
      <c r="F9" s="708">
        <v>1.095</v>
      </c>
      <c r="G9" s="708">
        <f t="shared" ref="G9" si="6">+E9*F9</f>
        <v>33096.375</v>
      </c>
      <c r="H9" s="708">
        <f t="shared" ref="H9" si="7">+G9*0.19</f>
        <v>6288.3112499999997</v>
      </c>
      <c r="I9" s="709">
        <f>+G9+H9+0.6</f>
        <v>39385.286249999997</v>
      </c>
      <c r="J9" s="92" t="s">
        <v>1472</v>
      </c>
    </row>
    <row r="10" spans="1:10" ht="5.25" customHeight="1" thickBot="1">
      <c r="A10" s="676"/>
      <c r="B10" s="677"/>
      <c r="C10" s="239"/>
      <c r="D10" s="327"/>
      <c r="E10" s="328"/>
      <c r="F10" s="250"/>
      <c r="G10" s="250"/>
      <c r="H10" s="250"/>
      <c r="I10" s="250"/>
      <c r="J10" s="92"/>
    </row>
    <row r="11" spans="1:10" ht="15.75" thickBot="1">
      <c r="A11" s="704">
        <v>43416</v>
      </c>
      <c r="B11" s="705" t="s">
        <v>45</v>
      </c>
      <c r="C11" s="706" t="s">
        <v>175</v>
      </c>
      <c r="D11" s="703" t="s">
        <v>168</v>
      </c>
      <c r="E11" s="707">
        <v>35747</v>
      </c>
      <c r="F11" s="708">
        <v>1.75</v>
      </c>
      <c r="G11" s="708">
        <f t="shared" ref="G11" si="8">+E11*F11</f>
        <v>62557.25</v>
      </c>
      <c r="H11" s="708">
        <f t="shared" ref="H11" si="9">+G11*0.19</f>
        <v>11885.877500000001</v>
      </c>
      <c r="I11" s="709">
        <f>+G11+H11+0.6</f>
        <v>74443.727500000008</v>
      </c>
      <c r="J11" s="92" t="s">
        <v>1472</v>
      </c>
    </row>
    <row r="12" spans="1:10" ht="5.25" customHeight="1" thickBot="1">
      <c r="A12" s="92"/>
      <c r="B12" s="92"/>
      <c r="C12" s="92"/>
      <c r="D12" s="92"/>
      <c r="E12" s="92"/>
      <c r="F12" s="92"/>
      <c r="G12" s="92"/>
      <c r="H12" s="92"/>
      <c r="I12" s="92"/>
      <c r="J12" s="92"/>
    </row>
    <row r="13" spans="1:10" ht="15.75" thickBot="1">
      <c r="A13" s="704">
        <v>43403</v>
      </c>
      <c r="B13" s="705" t="s">
        <v>45</v>
      </c>
      <c r="C13" s="706" t="s">
        <v>1324</v>
      </c>
      <c r="D13" s="703" t="s">
        <v>168</v>
      </c>
      <c r="E13" s="707">
        <v>10080</v>
      </c>
      <c r="F13" s="708">
        <v>1.2</v>
      </c>
      <c r="G13" s="708">
        <f>+E13*F13*1.01</f>
        <v>12216.960000000001</v>
      </c>
      <c r="H13" s="708">
        <f t="shared" ref="H13" si="10">+G13*0.19</f>
        <v>2321.2224000000001</v>
      </c>
      <c r="I13" s="709">
        <f>+G13+H13+0.6</f>
        <v>14538.782400000002</v>
      </c>
      <c r="J13" s="92" t="s">
        <v>1279</v>
      </c>
    </row>
    <row r="14" spans="1:10" ht="5.25" customHeight="1" thickBot="1">
      <c r="A14" s="92"/>
      <c r="B14" s="92"/>
      <c r="C14" s="92"/>
      <c r="D14" s="92"/>
      <c r="E14" s="92"/>
      <c r="F14" s="92"/>
      <c r="G14" s="92"/>
      <c r="H14" s="92"/>
      <c r="I14" s="92"/>
      <c r="J14" s="92"/>
    </row>
    <row r="15" spans="1:10" ht="15.75" thickBot="1">
      <c r="A15" s="92"/>
      <c r="B15" s="92"/>
      <c r="C15" s="92"/>
      <c r="D15" s="92"/>
      <c r="E15" s="92"/>
      <c r="F15" s="92"/>
      <c r="G15" s="710">
        <f>SUM(G2:G13)</f>
        <v>299671.38500000001</v>
      </c>
      <c r="H15" s="711">
        <f>SUM(H2:H13)</f>
        <v>56937.563150000002</v>
      </c>
      <c r="I15" s="712">
        <f>SUM(I2:I13)</f>
        <v>356612.54815000005</v>
      </c>
      <c r="J15" s="9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18</vt:i4>
      </vt:variant>
      <vt:variant>
        <vt:lpstr>Plages nommées</vt:lpstr>
      </vt:variant>
      <vt:variant>
        <vt:i4>10</vt:i4>
      </vt:variant>
    </vt:vector>
  </HeadingPairs>
  <TitlesOfParts>
    <vt:vector size="28" baseType="lpstr">
      <vt:lpstr>12-2018</vt:lpstr>
      <vt:lpstr>etranger</vt:lpstr>
      <vt:lpstr>CMT</vt:lpstr>
      <vt:lpstr>EXPORT</vt:lpstr>
      <vt:lpstr>PLOMB LOCAL</vt:lpstr>
      <vt:lpstr>CT</vt:lpstr>
      <vt:lpstr>TR</vt:lpstr>
      <vt:lpstr>SNA</vt:lpstr>
      <vt:lpstr>STA</vt:lpstr>
      <vt:lpstr>SND</vt:lpstr>
      <vt:lpstr>TIP</vt:lpstr>
      <vt:lpstr>FH</vt:lpstr>
      <vt:lpstr>NBI</vt:lpstr>
      <vt:lpstr>Feuil1</vt:lpstr>
      <vt:lpstr>HEMP</vt:lpstr>
      <vt:lpstr>FACT KAIS</vt:lpstr>
      <vt:lpstr>FACT SOTRAM</vt:lpstr>
      <vt:lpstr>Feuil2</vt:lpstr>
      <vt:lpstr>'12-2018'!Zone_d_impression</vt:lpstr>
      <vt:lpstr>CMT!Zone_d_impression</vt:lpstr>
      <vt:lpstr>CT!Zone_d_impression</vt:lpstr>
      <vt:lpstr>etranger!Zone_d_impression</vt:lpstr>
      <vt:lpstr>EXPORT!Zone_d_impression</vt:lpstr>
      <vt:lpstr>'FACT KAIS'!Zone_d_impression</vt:lpstr>
      <vt:lpstr>Feuil1!Zone_d_impression</vt:lpstr>
      <vt:lpstr>HEMP!Zone_d_impression</vt:lpstr>
      <vt:lpstr>'PLOMB LOCAL'!Zone_d_impression</vt:lpstr>
      <vt:lpstr>SNA!Zone_d_impression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AA</cp:lastModifiedBy>
  <cp:lastPrinted>2018-12-04T11:58:45Z</cp:lastPrinted>
  <dcterms:created xsi:type="dcterms:W3CDTF">2016-03-21T13:00:29Z</dcterms:created>
  <dcterms:modified xsi:type="dcterms:W3CDTF">2018-12-27T07:32:04Z</dcterms:modified>
</cp:coreProperties>
</file>