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ohamed_limaiem\Desktop\BUREAU\bureau\2 FOIS\"/>
    </mc:Choice>
  </mc:AlternateContent>
  <xr:revisionPtr revIDLastSave="0" documentId="13_ncr:1_{E8D529E1-20B8-4383-9EFC-2F58CAE84B30}" xr6:coauthVersionLast="47" xr6:coauthVersionMax="47" xr10:uidLastSave="{00000000-0000-0000-0000-000000000000}"/>
  <bookViews>
    <workbookView xWindow="-120" yWindow="-120" windowWidth="29040" windowHeight="15720" tabRatio="948" firstSheet="1" activeTab="8" xr2:uid="{00000000-000D-0000-FFFF-FFFF00000000}"/>
  </bookViews>
  <sheets>
    <sheet name="Summary Sheet" sheetId="18" state="hidden" r:id="rId1"/>
    <sheet name="Vertical_Cash_flow" sheetId="6" r:id="rId2"/>
    <sheet name="Maturing receivables" sheetId="32" r:id="rId3"/>
    <sheet name="AR invoice ageing" sheetId="43" state="hidden" r:id="rId4"/>
    <sheet name="Escompte tracking" sheetId="45" state="hidden" r:id="rId5"/>
    <sheet name="Sourcing &amp; MRP payments" sheetId="34" r:id="rId6"/>
    <sheet name="CAPEX payments" sheetId="36" r:id="rId7"/>
    <sheet name="Other Operational payments" sheetId="44" r:id="rId8"/>
    <sheet name="Bank &amp; Lease SNA" sheetId="52" r:id="rId9"/>
    <sheet name="Bank &amp; Lease SND" sheetId="53" r:id="rId10"/>
    <sheet name="intergroup companies" sheetId="54" r:id="rId11"/>
    <sheet name="MCNE" sheetId="51" r:id="rId12"/>
    <sheet name="Loans Overview" sheetId="46" state="hidden" r:id="rId13"/>
    <sheet name="CAPEX schedule" sheetId="48" state="hidden" r:id="rId14"/>
    <sheet name="Agreed Sourcing plan" sheetId="47" state="hidden" r:id="rId15"/>
    <sheet name="Mapping" sheetId="40" r:id="rId16"/>
    <sheet name="CMT" sheetId="49" state="hidden" r:id="rId17"/>
    <sheet name="Feuil1" sheetId="50" state="hidden" r:id="rId18"/>
  </sheets>
  <definedNames>
    <definedName name="_xlnm._FilterDatabase" localSheetId="6" hidden="1">'CAPEX payments'!$A$1:$R$36</definedName>
    <definedName name="_xlnm._FilterDatabase" localSheetId="12" hidden="1">'Loans Overview'!$B$2:$M$3</definedName>
    <definedName name="_xlnm._FilterDatabase" localSheetId="2" hidden="1">'Maturing receivables'!$A$1:$AB$1422</definedName>
    <definedName name="_xlnm._FilterDatabase" localSheetId="7" hidden="1">'Other Operational payments'!$A$1:$P$189</definedName>
    <definedName name="_xlnm._FilterDatabase" localSheetId="5" hidden="1">'Sourcing &amp; MRP payments'!$A$1:$S$65</definedName>
    <definedName name="_xlnm.Print_Titles" localSheetId="1">Vertical_Cash_flow!$B:$B</definedName>
    <definedName name="_xlnm.Print_Area" localSheetId="16">CMT!$E$18:$K$27</definedName>
    <definedName name="_xlnm.Print_Area" localSheetId="10">'intergroup companies'!$H$2:$M$28</definedName>
    <definedName name="_xlnm.Print_Area" localSheetId="11">MCNE!$D$1:$O$1</definedName>
  </definedNames>
  <calcPr calcId="191029"/>
  <pivotCaches>
    <pivotCache cacheId="0" r:id="rId1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N112" i="6" l="1"/>
  <c r="G93" i="34"/>
  <c r="G92" i="34"/>
  <c r="G91" i="34"/>
  <c r="G90" i="34"/>
  <c r="G89" i="34"/>
  <c r="G88" i="34"/>
  <c r="G87" i="34"/>
  <c r="G86" i="34"/>
  <c r="G69" i="34"/>
  <c r="G68" i="34"/>
  <c r="G67" i="34"/>
  <c r="G66" i="34"/>
  <c r="G65" i="34"/>
  <c r="G64" i="34"/>
  <c r="G63" i="34"/>
  <c r="G62" i="34"/>
  <c r="J112" i="6" l="1"/>
  <c r="O343" i="44"/>
  <c r="L343" i="44"/>
  <c r="H343" i="44"/>
  <c r="I343" i="44" s="1"/>
  <c r="O342" i="44"/>
  <c r="L342" i="44"/>
  <c r="H342" i="44"/>
  <c r="I342" i="44" s="1"/>
  <c r="O341" i="44"/>
  <c r="L341" i="44"/>
  <c r="H341" i="44"/>
  <c r="I341" i="44" s="1"/>
  <c r="O340" i="44"/>
  <c r="L340" i="44"/>
  <c r="H340" i="44"/>
  <c r="I340" i="44" s="1"/>
  <c r="O339" i="44"/>
  <c r="L339" i="44"/>
  <c r="H339" i="44"/>
  <c r="I339" i="44" s="1"/>
  <c r="O338" i="44"/>
  <c r="L338" i="44"/>
  <c r="H338" i="44"/>
  <c r="I338" i="44" s="1"/>
  <c r="O337" i="44"/>
  <c r="L337" i="44"/>
  <c r="H337" i="44"/>
  <c r="I337" i="44" s="1"/>
  <c r="O336" i="44"/>
  <c r="L336" i="44"/>
  <c r="H336" i="44"/>
  <c r="I336" i="44" s="1"/>
  <c r="O335" i="44"/>
  <c r="L335" i="44"/>
  <c r="H335" i="44"/>
  <c r="I335" i="44" s="1"/>
  <c r="O334" i="44"/>
  <c r="L334" i="44"/>
  <c r="H334" i="44"/>
  <c r="I334" i="44" s="1"/>
  <c r="O333" i="44"/>
  <c r="L333" i="44"/>
  <c r="H333" i="44"/>
  <c r="I333" i="44" s="1"/>
  <c r="O332" i="44"/>
  <c r="L332" i="44"/>
  <c r="H332" i="44"/>
  <c r="I332" i="44" s="1"/>
  <c r="O331" i="44"/>
  <c r="L331" i="44"/>
  <c r="H331" i="44"/>
  <c r="I331" i="44" s="1"/>
  <c r="O330" i="44"/>
  <c r="L330" i="44"/>
  <c r="H330" i="44"/>
  <c r="I330" i="44" s="1"/>
  <c r="O329" i="44"/>
  <c r="L329" i="44"/>
  <c r="H329" i="44"/>
  <c r="I329" i="44" s="1"/>
  <c r="O328" i="44"/>
  <c r="L328" i="44"/>
  <c r="H328" i="44"/>
  <c r="I328" i="44" s="1"/>
  <c r="O327" i="44"/>
  <c r="L327" i="44"/>
  <c r="H327" i="44"/>
  <c r="I327" i="44" s="1"/>
  <c r="O326" i="44"/>
  <c r="L326" i="44"/>
  <c r="H326" i="44"/>
  <c r="I326" i="44" s="1"/>
  <c r="O325" i="44"/>
  <c r="L325" i="44"/>
  <c r="H325" i="44"/>
  <c r="I325" i="44" s="1"/>
  <c r="O324" i="44"/>
  <c r="L324" i="44"/>
  <c r="H324" i="44"/>
  <c r="I324" i="44" s="1"/>
  <c r="O323" i="44"/>
  <c r="L323" i="44"/>
  <c r="H323" i="44"/>
  <c r="I323" i="44" s="1"/>
  <c r="O322" i="44"/>
  <c r="L322" i="44"/>
  <c r="H322" i="44"/>
  <c r="I322" i="44" s="1"/>
  <c r="O321" i="44"/>
  <c r="L321" i="44"/>
  <c r="H321" i="44"/>
  <c r="I321" i="44" s="1"/>
  <c r="O320" i="44"/>
  <c r="L320" i="44"/>
  <c r="H320" i="44"/>
  <c r="I320" i="44" s="1"/>
  <c r="O319" i="44"/>
  <c r="L319" i="44"/>
  <c r="H319" i="44"/>
  <c r="I319" i="44" s="1"/>
  <c r="O318" i="44"/>
  <c r="L318" i="44"/>
  <c r="H318" i="44"/>
  <c r="I318" i="44" s="1"/>
  <c r="O317" i="44"/>
  <c r="L317" i="44"/>
  <c r="H317" i="44"/>
  <c r="I317" i="44" s="1"/>
  <c r="O316" i="44"/>
  <c r="L316" i="44"/>
  <c r="H316" i="44"/>
  <c r="I316" i="44" s="1"/>
  <c r="O315" i="44"/>
  <c r="L315" i="44"/>
  <c r="H315" i="44"/>
  <c r="I315" i="44" s="1"/>
  <c r="O314" i="44"/>
  <c r="L314" i="44"/>
  <c r="H314" i="44"/>
  <c r="I314" i="44" s="1"/>
  <c r="O313" i="44"/>
  <c r="L313" i="44"/>
  <c r="H313" i="44"/>
  <c r="I313" i="44" s="1"/>
  <c r="O312" i="44"/>
  <c r="L312" i="44"/>
  <c r="H312" i="44"/>
  <c r="I312" i="44" s="1"/>
  <c r="O311" i="44"/>
  <c r="L311" i="44"/>
  <c r="H311" i="44"/>
  <c r="I311" i="44" s="1"/>
  <c r="O310" i="44"/>
  <c r="L310" i="44"/>
  <c r="H310" i="44"/>
  <c r="I310" i="44" s="1"/>
  <c r="O309" i="44"/>
  <c r="L309" i="44"/>
  <c r="H309" i="44"/>
  <c r="I309" i="44" s="1"/>
  <c r="O308" i="44"/>
  <c r="L308" i="44"/>
  <c r="H308" i="44"/>
  <c r="I308" i="44" s="1"/>
  <c r="O307" i="44"/>
  <c r="L307" i="44"/>
  <c r="H307" i="44"/>
  <c r="I307" i="44" s="1"/>
  <c r="O306" i="44"/>
  <c r="L306" i="44"/>
  <c r="H306" i="44"/>
  <c r="I306" i="44" s="1"/>
  <c r="O305" i="44"/>
  <c r="L305" i="44"/>
  <c r="H305" i="44"/>
  <c r="I305" i="44" s="1"/>
  <c r="O304" i="44"/>
  <c r="L304" i="44"/>
  <c r="H304" i="44"/>
  <c r="I304" i="44" s="1"/>
  <c r="O303" i="44"/>
  <c r="L303" i="44"/>
  <c r="H303" i="44"/>
  <c r="I303" i="44" s="1"/>
  <c r="O302" i="44"/>
  <c r="L302" i="44"/>
  <c r="H302" i="44"/>
  <c r="I302" i="44" s="1"/>
  <c r="O301" i="44"/>
  <c r="L301" i="44"/>
  <c r="H301" i="44"/>
  <c r="I301" i="44" s="1"/>
  <c r="O300" i="44"/>
  <c r="L300" i="44"/>
  <c r="H300" i="44"/>
  <c r="I300" i="44" s="1"/>
  <c r="O299" i="44"/>
  <c r="L299" i="44"/>
  <c r="H299" i="44"/>
  <c r="I299" i="44" s="1"/>
  <c r="O298" i="44"/>
  <c r="L298" i="44"/>
  <c r="H298" i="44"/>
  <c r="I298" i="44" s="1"/>
  <c r="O297" i="44"/>
  <c r="L297" i="44"/>
  <c r="H297" i="44"/>
  <c r="I297" i="44" s="1"/>
  <c r="O296" i="44"/>
  <c r="L296" i="44"/>
  <c r="H296" i="44"/>
  <c r="I296" i="44" s="1"/>
  <c r="O295" i="44"/>
  <c r="L295" i="44"/>
  <c r="H295" i="44"/>
  <c r="I295" i="44" s="1"/>
  <c r="O294" i="44"/>
  <c r="L294" i="44"/>
  <c r="H294" i="44"/>
  <c r="I294" i="44" s="1"/>
  <c r="O293" i="44"/>
  <c r="L293" i="44"/>
  <c r="H293" i="44"/>
  <c r="I293" i="44" s="1"/>
  <c r="O292" i="44"/>
  <c r="L292" i="44"/>
  <c r="H292" i="44"/>
  <c r="I292" i="44" s="1"/>
  <c r="O291" i="44"/>
  <c r="L291" i="44"/>
  <c r="H291" i="44"/>
  <c r="I291" i="44" s="1"/>
  <c r="O290" i="44"/>
  <c r="L290" i="44"/>
  <c r="H290" i="44"/>
  <c r="I290" i="44" s="1"/>
  <c r="O289" i="44"/>
  <c r="L289" i="44"/>
  <c r="H289" i="44"/>
  <c r="I289" i="44" s="1"/>
  <c r="O288" i="44"/>
  <c r="L288" i="44"/>
  <c r="H288" i="44"/>
  <c r="I288" i="44" s="1"/>
  <c r="O287" i="44"/>
  <c r="L287" i="44"/>
  <c r="H287" i="44"/>
  <c r="I287" i="44" s="1"/>
  <c r="O286" i="44"/>
  <c r="L286" i="44"/>
  <c r="H286" i="44"/>
  <c r="I286" i="44" s="1"/>
  <c r="O285" i="44"/>
  <c r="L285" i="44"/>
  <c r="H285" i="44"/>
  <c r="I285" i="44" s="1"/>
  <c r="O284" i="44"/>
  <c r="L284" i="44"/>
  <c r="H284" i="44"/>
  <c r="I284" i="44" s="1"/>
  <c r="O283" i="44"/>
  <c r="L283" i="44"/>
  <c r="H283" i="44"/>
  <c r="I283" i="44" s="1"/>
  <c r="O282" i="44"/>
  <c r="L282" i="44"/>
  <c r="H282" i="44"/>
  <c r="I282" i="44" s="1"/>
  <c r="O281" i="44"/>
  <c r="L281" i="44"/>
  <c r="H281" i="44"/>
  <c r="I281" i="44" s="1"/>
  <c r="O280" i="44"/>
  <c r="L280" i="44"/>
  <c r="H280" i="44"/>
  <c r="I280" i="44" s="1"/>
  <c r="O279" i="44"/>
  <c r="L279" i="44"/>
  <c r="H279" i="44"/>
  <c r="I279" i="44" s="1"/>
  <c r="O278" i="44"/>
  <c r="L278" i="44"/>
  <c r="H278" i="44"/>
  <c r="I278" i="44" s="1"/>
  <c r="O277" i="44"/>
  <c r="L277" i="44"/>
  <c r="H277" i="44"/>
  <c r="I277" i="44" s="1"/>
  <c r="O276" i="44"/>
  <c r="L276" i="44"/>
  <c r="H276" i="44"/>
  <c r="I276" i="44" s="1"/>
  <c r="O275" i="44"/>
  <c r="L275" i="44"/>
  <c r="H275" i="44"/>
  <c r="I275" i="44" s="1"/>
  <c r="O274" i="44"/>
  <c r="L274" i="44"/>
  <c r="H274" i="44"/>
  <c r="I274" i="44" s="1"/>
  <c r="O273" i="44"/>
  <c r="L273" i="44"/>
  <c r="H273" i="44"/>
  <c r="I273" i="44" s="1"/>
  <c r="O272" i="44"/>
  <c r="L272" i="44"/>
  <c r="H272" i="44"/>
  <c r="I272" i="44" s="1"/>
  <c r="O271" i="44"/>
  <c r="L271" i="44"/>
  <c r="H271" i="44"/>
  <c r="I271" i="44" s="1"/>
  <c r="O161" i="44"/>
  <c r="L161" i="44"/>
  <c r="H161" i="44"/>
  <c r="I161" i="44" s="1"/>
  <c r="O160" i="44"/>
  <c r="L160" i="44"/>
  <c r="H160" i="44"/>
  <c r="I160" i="44" s="1"/>
  <c r="O159" i="44"/>
  <c r="L159" i="44"/>
  <c r="H159" i="44"/>
  <c r="I159" i="44" s="1"/>
  <c r="O158" i="44"/>
  <c r="L158" i="44"/>
  <c r="H158" i="44"/>
  <c r="I158" i="44" s="1"/>
  <c r="O157" i="44"/>
  <c r="L157" i="44"/>
  <c r="H157" i="44"/>
  <c r="I157" i="44" s="1"/>
  <c r="O156" i="44"/>
  <c r="L156" i="44"/>
  <c r="H156" i="44"/>
  <c r="I156" i="44" s="1"/>
  <c r="O155" i="44"/>
  <c r="L155" i="44"/>
  <c r="H155" i="44"/>
  <c r="I155" i="44" s="1"/>
  <c r="O154" i="44"/>
  <c r="L154" i="44"/>
  <c r="H154" i="44"/>
  <c r="I154" i="44" s="1"/>
  <c r="O153" i="44"/>
  <c r="L153" i="44"/>
  <c r="H153" i="44"/>
  <c r="I153" i="44" s="1"/>
  <c r="O152" i="44"/>
  <c r="L152" i="44"/>
  <c r="H152" i="44"/>
  <c r="I152" i="44" s="1"/>
  <c r="O151" i="44"/>
  <c r="L151" i="44"/>
  <c r="H151" i="44"/>
  <c r="I151" i="44" s="1"/>
  <c r="O150" i="44"/>
  <c r="L150" i="44"/>
  <c r="H150" i="44"/>
  <c r="I150" i="44" s="1"/>
  <c r="O149" i="44"/>
  <c r="L149" i="44"/>
  <c r="H149" i="44"/>
  <c r="I149" i="44" s="1"/>
  <c r="O148" i="44"/>
  <c r="L148" i="44"/>
  <c r="H148" i="44"/>
  <c r="I148" i="44" s="1"/>
  <c r="O147" i="44"/>
  <c r="L147" i="44"/>
  <c r="H147" i="44"/>
  <c r="I147" i="44" s="1"/>
  <c r="O146" i="44"/>
  <c r="L146" i="44"/>
  <c r="H146" i="44"/>
  <c r="I146" i="44" s="1"/>
  <c r="O145" i="44"/>
  <c r="L145" i="44"/>
  <c r="H145" i="44"/>
  <c r="I145" i="44" s="1"/>
  <c r="O144" i="44"/>
  <c r="L144" i="44"/>
  <c r="H144" i="44"/>
  <c r="I144" i="44" s="1"/>
  <c r="O143" i="44"/>
  <c r="L143" i="44"/>
  <c r="H143" i="44"/>
  <c r="I143" i="44" s="1"/>
  <c r="O142" i="44"/>
  <c r="L142" i="44"/>
  <c r="H142" i="44"/>
  <c r="I142" i="44" s="1"/>
  <c r="O141" i="44"/>
  <c r="L141" i="44"/>
  <c r="H141" i="44"/>
  <c r="I141" i="44" s="1"/>
  <c r="O140" i="44"/>
  <c r="L140" i="44"/>
  <c r="H140" i="44"/>
  <c r="I140" i="44" s="1"/>
  <c r="O139" i="44"/>
  <c r="L139" i="44"/>
  <c r="H139" i="44"/>
  <c r="I139" i="44" s="1"/>
  <c r="O138" i="44"/>
  <c r="L138" i="44"/>
  <c r="H138" i="44"/>
  <c r="I138" i="44" s="1"/>
  <c r="O137" i="44"/>
  <c r="L137" i="44"/>
  <c r="H137" i="44"/>
  <c r="I137" i="44" s="1"/>
  <c r="O136" i="44"/>
  <c r="L136" i="44"/>
  <c r="H136" i="44"/>
  <c r="I136" i="44" s="1"/>
  <c r="O135" i="44"/>
  <c r="L135" i="44"/>
  <c r="H135" i="44"/>
  <c r="I135" i="44" s="1"/>
  <c r="O134" i="44"/>
  <c r="L134" i="44"/>
  <c r="H134" i="44"/>
  <c r="I134" i="44" s="1"/>
  <c r="O133" i="44"/>
  <c r="L133" i="44"/>
  <c r="H133" i="44"/>
  <c r="I133" i="44" s="1"/>
  <c r="O132" i="44"/>
  <c r="L132" i="44"/>
  <c r="H132" i="44"/>
  <c r="I132" i="44" s="1"/>
  <c r="O131" i="44"/>
  <c r="L131" i="44"/>
  <c r="H131" i="44"/>
  <c r="I131" i="44" s="1"/>
  <c r="O130" i="44"/>
  <c r="L130" i="44"/>
  <c r="H130" i="44"/>
  <c r="I130" i="44" s="1"/>
  <c r="O129" i="44"/>
  <c r="L129" i="44"/>
  <c r="H129" i="44"/>
  <c r="I129" i="44" s="1"/>
  <c r="O128" i="44"/>
  <c r="L128" i="44"/>
  <c r="H128" i="44"/>
  <c r="I128" i="44" s="1"/>
  <c r="O127" i="44"/>
  <c r="L127" i="44"/>
  <c r="H127" i="44"/>
  <c r="I127" i="44" s="1"/>
  <c r="O126" i="44"/>
  <c r="L126" i="44"/>
  <c r="H126" i="44"/>
  <c r="I126" i="44" s="1"/>
  <c r="O125" i="44"/>
  <c r="L125" i="44"/>
  <c r="H125" i="44"/>
  <c r="I125" i="44" s="1"/>
  <c r="O124" i="44"/>
  <c r="L124" i="44"/>
  <c r="H124" i="44"/>
  <c r="I124" i="44" s="1"/>
  <c r="O123" i="44"/>
  <c r="L123" i="44"/>
  <c r="H123" i="44"/>
  <c r="I123" i="44" s="1"/>
  <c r="O122" i="44"/>
  <c r="L122" i="44"/>
  <c r="H122" i="44"/>
  <c r="I122" i="44" s="1"/>
  <c r="O121" i="44"/>
  <c r="L121" i="44"/>
  <c r="H121" i="44"/>
  <c r="I121" i="44" s="1"/>
  <c r="O120" i="44"/>
  <c r="L120" i="44"/>
  <c r="H120" i="44"/>
  <c r="I120" i="44" s="1"/>
  <c r="O119" i="44"/>
  <c r="L119" i="44"/>
  <c r="H119" i="44"/>
  <c r="I119" i="44" s="1"/>
  <c r="O118" i="44"/>
  <c r="L118" i="44"/>
  <c r="H118" i="44"/>
  <c r="I118" i="44" s="1"/>
  <c r="O117" i="44"/>
  <c r="L117" i="44"/>
  <c r="H117" i="44"/>
  <c r="I117" i="44" s="1"/>
  <c r="O116" i="44"/>
  <c r="L116" i="44"/>
  <c r="H116" i="44"/>
  <c r="I116" i="44" s="1"/>
  <c r="O115" i="44"/>
  <c r="L115" i="44"/>
  <c r="H115" i="44"/>
  <c r="I115" i="44" s="1"/>
  <c r="O114" i="44"/>
  <c r="L114" i="44"/>
  <c r="H114" i="44"/>
  <c r="I114" i="44" s="1"/>
  <c r="O113" i="44"/>
  <c r="L113" i="44"/>
  <c r="H113" i="44"/>
  <c r="I113" i="44" s="1"/>
  <c r="O112" i="44"/>
  <c r="L112" i="44"/>
  <c r="H112" i="44"/>
  <c r="I112" i="44" s="1"/>
  <c r="O111" i="44"/>
  <c r="L111" i="44"/>
  <c r="H111" i="44"/>
  <c r="I111" i="44" s="1"/>
  <c r="O110" i="44"/>
  <c r="L110" i="44"/>
  <c r="H110" i="44"/>
  <c r="I110" i="44" s="1"/>
  <c r="O109" i="44"/>
  <c r="L109" i="44"/>
  <c r="H109" i="44"/>
  <c r="I109" i="44" s="1"/>
  <c r="O108" i="44"/>
  <c r="L108" i="44"/>
  <c r="H108" i="44"/>
  <c r="I108" i="44" s="1"/>
  <c r="O107" i="44"/>
  <c r="L107" i="44"/>
  <c r="H107" i="44"/>
  <c r="I107" i="44" s="1"/>
  <c r="O106" i="44"/>
  <c r="L106" i="44"/>
  <c r="H106" i="44"/>
  <c r="I106" i="44" s="1"/>
  <c r="O105" i="44"/>
  <c r="L105" i="44"/>
  <c r="H105" i="44"/>
  <c r="I105" i="44" s="1"/>
  <c r="O104" i="44"/>
  <c r="L104" i="44"/>
  <c r="H104" i="44"/>
  <c r="I104" i="44" s="1"/>
  <c r="O103" i="44"/>
  <c r="L103" i="44"/>
  <c r="H103" i="44"/>
  <c r="I103" i="44" s="1"/>
  <c r="O102" i="44"/>
  <c r="L102" i="44"/>
  <c r="H102" i="44"/>
  <c r="I102" i="44" s="1"/>
  <c r="O101" i="44"/>
  <c r="L101" i="44"/>
  <c r="H101" i="44"/>
  <c r="I101" i="44" s="1"/>
  <c r="O100" i="44"/>
  <c r="L100" i="44"/>
  <c r="H100" i="44"/>
  <c r="I100" i="44" s="1"/>
  <c r="O99" i="44"/>
  <c r="L99" i="44"/>
  <c r="H99" i="44"/>
  <c r="I99" i="44" s="1"/>
  <c r="O198" i="44"/>
  <c r="O199" i="44"/>
  <c r="O202" i="44"/>
  <c r="O200" i="44"/>
  <c r="O201" i="44"/>
  <c r="O254" i="44"/>
  <c r="O242" i="44"/>
  <c r="O250" i="44"/>
  <c r="O247" i="44"/>
  <c r="O253" i="44"/>
  <c r="O245" i="44"/>
  <c r="O240" i="44"/>
  <c r="O243" i="44"/>
  <c r="O248" i="44"/>
  <c r="O244" i="44"/>
  <c r="O249" i="44"/>
  <c r="O251" i="44"/>
  <c r="O241" i="44"/>
  <c r="O246" i="44"/>
  <c r="O252" i="44"/>
  <c r="O268" i="44"/>
  <c r="O261" i="44"/>
  <c r="O256" i="44"/>
  <c r="O269" i="44"/>
  <c r="O255" i="44"/>
  <c r="O264" i="44"/>
  <c r="O259" i="44"/>
  <c r="O262" i="44"/>
  <c r="O265" i="44"/>
  <c r="O270" i="44"/>
  <c r="O260" i="44"/>
  <c r="O263" i="44"/>
  <c r="O257" i="44"/>
  <c r="O266" i="44"/>
  <c r="O203" i="44"/>
  <c r="O206" i="44"/>
  <c r="O207" i="44"/>
  <c r="O208" i="44"/>
  <c r="O204" i="44"/>
  <c r="O205" i="44"/>
  <c r="O213" i="44"/>
  <c r="O215" i="44"/>
  <c r="O214" i="44"/>
  <c r="O209" i="44"/>
  <c r="O216" i="44"/>
  <c r="O217" i="44"/>
  <c r="O210" i="44"/>
  <c r="O211" i="44"/>
  <c r="O237" i="44"/>
  <c r="O238" i="44"/>
  <c r="O229" i="44"/>
  <c r="O231" i="44"/>
  <c r="O239" i="44"/>
  <c r="O218" i="44"/>
  <c r="O235" i="44"/>
  <c r="O234" i="44"/>
  <c r="O223" i="44"/>
  <c r="O230" i="44"/>
  <c r="O232" i="44"/>
  <c r="O233" i="44"/>
  <c r="O221" i="44"/>
  <c r="O225" i="44"/>
  <c r="O236" i="44"/>
  <c r="O227" i="44"/>
  <c r="O226" i="44"/>
  <c r="O228" i="44"/>
  <c r="O84" i="44"/>
  <c r="O64" i="44"/>
  <c r="O88" i="44"/>
  <c r="O90" i="44"/>
  <c r="O87" i="44"/>
  <c r="O79" i="44"/>
  <c r="O42" i="44"/>
  <c r="O65" i="44"/>
  <c r="O49" i="44"/>
  <c r="O51" i="44"/>
  <c r="O93" i="44"/>
  <c r="O98" i="44"/>
  <c r="O89" i="44"/>
  <c r="O85" i="44"/>
  <c r="O78" i="44"/>
  <c r="O58" i="44"/>
  <c r="O52" i="44"/>
  <c r="O53" i="44"/>
  <c r="O54" i="44"/>
  <c r="O55" i="44"/>
  <c r="O66" i="44"/>
  <c r="O56" i="44"/>
  <c r="O57" i="44"/>
  <c r="O67" i="44"/>
  <c r="O68" i="44"/>
  <c r="O69" i="44"/>
  <c r="O70" i="44"/>
  <c r="O71" i="44"/>
  <c r="O72" i="44"/>
  <c r="O73" i="44"/>
  <c r="O74" i="44"/>
  <c r="O81" i="44"/>
  <c r="O50" i="44"/>
  <c r="O61" i="44"/>
  <c r="O38" i="44"/>
  <c r="O60" i="44"/>
  <c r="O75" i="44"/>
  <c r="O76" i="44"/>
  <c r="O82" i="44"/>
  <c r="O41" i="44"/>
  <c r="O91" i="44"/>
  <c r="O63" i="44"/>
  <c r="O37" i="44"/>
  <c r="O77" i="44"/>
  <c r="O43" i="44"/>
  <c r="O80" i="44"/>
  <c r="O92" i="44"/>
  <c r="O44" i="44"/>
  <c r="O40" i="44"/>
  <c r="O59" i="44"/>
  <c r="O83" i="44"/>
  <c r="O180" i="44"/>
  <c r="O267" i="44"/>
  <c r="O258" i="44"/>
  <c r="O212" i="44"/>
  <c r="O222" i="44"/>
  <c r="O219" i="44"/>
  <c r="O220" i="44"/>
  <c r="O224" i="44"/>
  <c r="O39" i="44"/>
  <c r="O45" i="44"/>
  <c r="O46" i="44"/>
  <c r="O36" i="44"/>
  <c r="O94" i="44"/>
  <c r="O95" i="44"/>
  <c r="O96" i="44"/>
  <c r="O97" i="44"/>
  <c r="O47" i="44"/>
  <c r="O48" i="44"/>
  <c r="O86" i="44"/>
  <c r="O62" i="44"/>
  <c r="O188" i="44"/>
  <c r="O187" i="44"/>
  <c r="O193" i="44"/>
  <c r="O181" i="44"/>
  <c r="O164" i="44"/>
  <c r="O168" i="44"/>
  <c r="O178" i="44"/>
  <c r="O196" i="44"/>
  <c r="O163" i="44"/>
  <c r="O189" i="44"/>
  <c r="O194" i="44"/>
  <c r="O182" i="44"/>
  <c r="O183" i="44"/>
  <c r="O169" i="44"/>
  <c r="O172" i="44"/>
  <c r="O170" i="44"/>
  <c r="O190" i="44"/>
  <c r="O176" i="44"/>
  <c r="O177" i="44"/>
  <c r="O185" i="44"/>
  <c r="O195" i="44"/>
  <c r="O175" i="44"/>
  <c r="O184" i="44"/>
  <c r="O162" i="44"/>
  <c r="O173" i="44"/>
  <c r="O186" i="44"/>
  <c r="O179" i="44"/>
  <c r="O171" i="44"/>
  <c r="O191" i="44"/>
  <c r="O165" i="44"/>
  <c r="O174" i="44"/>
  <c r="O197" i="44"/>
  <c r="O192" i="44"/>
  <c r="O166" i="44"/>
  <c r="O167" i="44"/>
  <c r="L198" i="44"/>
  <c r="L199" i="44"/>
  <c r="L202" i="44"/>
  <c r="L200" i="44"/>
  <c r="L201" i="44"/>
  <c r="L254" i="44"/>
  <c r="L242" i="44"/>
  <c r="L250" i="44"/>
  <c r="L247" i="44"/>
  <c r="L253" i="44"/>
  <c r="L245" i="44"/>
  <c r="L240" i="44"/>
  <c r="L243" i="44"/>
  <c r="L248" i="44"/>
  <c r="L244" i="44"/>
  <c r="L249" i="44"/>
  <c r="L251" i="44"/>
  <c r="L241" i="44"/>
  <c r="L246" i="44"/>
  <c r="L252" i="44"/>
  <c r="L268" i="44"/>
  <c r="L261" i="44"/>
  <c r="L256" i="44"/>
  <c r="L269" i="44"/>
  <c r="L255" i="44"/>
  <c r="L264" i="44"/>
  <c r="L259" i="44"/>
  <c r="L262" i="44"/>
  <c r="L265" i="44"/>
  <c r="L270" i="44"/>
  <c r="L260" i="44"/>
  <c r="L263" i="44"/>
  <c r="L257" i="44"/>
  <c r="L266" i="44"/>
  <c r="L203" i="44"/>
  <c r="L206" i="44"/>
  <c r="L207" i="44"/>
  <c r="L208" i="44"/>
  <c r="L204" i="44"/>
  <c r="L205" i="44"/>
  <c r="L213" i="44"/>
  <c r="L215" i="44"/>
  <c r="L214" i="44"/>
  <c r="L209" i="44"/>
  <c r="L216" i="44"/>
  <c r="L217" i="44"/>
  <c r="L210" i="44"/>
  <c r="L211" i="44"/>
  <c r="L237" i="44"/>
  <c r="L238" i="44"/>
  <c r="L229" i="44"/>
  <c r="L231" i="44"/>
  <c r="L239" i="44"/>
  <c r="L218" i="44"/>
  <c r="L235" i="44"/>
  <c r="L234" i="44"/>
  <c r="L223" i="44"/>
  <c r="L230" i="44"/>
  <c r="L232" i="44"/>
  <c r="L233" i="44"/>
  <c r="L221" i="44"/>
  <c r="L225" i="44"/>
  <c r="L236" i="44"/>
  <c r="L227" i="44"/>
  <c r="L226" i="44"/>
  <c r="L228" i="44"/>
  <c r="L84" i="44"/>
  <c r="L64" i="44"/>
  <c r="L88" i="44"/>
  <c r="L90" i="44"/>
  <c r="L87" i="44"/>
  <c r="L79" i="44"/>
  <c r="L42" i="44"/>
  <c r="L65" i="44"/>
  <c r="L49" i="44"/>
  <c r="L51" i="44"/>
  <c r="L93" i="44"/>
  <c r="L98" i="44"/>
  <c r="L89" i="44"/>
  <c r="L85" i="44"/>
  <c r="L78" i="44"/>
  <c r="L58" i="44"/>
  <c r="L52" i="44"/>
  <c r="L53" i="44"/>
  <c r="L54" i="44"/>
  <c r="L55" i="44"/>
  <c r="L66" i="44"/>
  <c r="L56" i="44"/>
  <c r="L57" i="44"/>
  <c r="L67" i="44"/>
  <c r="L68" i="44"/>
  <c r="L69" i="44"/>
  <c r="L70" i="44"/>
  <c r="L71" i="44"/>
  <c r="L72" i="44"/>
  <c r="L73" i="44"/>
  <c r="L74" i="44"/>
  <c r="L81" i="44"/>
  <c r="L50" i="44"/>
  <c r="L61" i="44"/>
  <c r="L38" i="44"/>
  <c r="L60" i="44"/>
  <c r="L75" i="44"/>
  <c r="L76" i="44"/>
  <c r="L82" i="44"/>
  <c r="L41" i="44"/>
  <c r="L91" i="44"/>
  <c r="L63" i="44"/>
  <c r="L37" i="44"/>
  <c r="L77" i="44"/>
  <c r="L43" i="44"/>
  <c r="L80" i="44"/>
  <c r="L92" i="44"/>
  <c r="L44" i="44"/>
  <c r="L40" i="44"/>
  <c r="L59" i="44"/>
  <c r="L83" i="44"/>
  <c r="L180" i="44"/>
  <c r="L267" i="44"/>
  <c r="L258" i="44"/>
  <c r="L212" i="44"/>
  <c r="L222" i="44"/>
  <c r="L219" i="44"/>
  <c r="L220" i="44"/>
  <c r="L224" i="44"/>
  <c r="L39" i="44"/>
  <c r="L45" i="44"/>
  <c r="L46" i="44"/>
  <c r="L36" i="44"/>
  <c r="L94" i="44"/>
  <c r="L95" i="44"/>
  <c r="L96" i="44"/>
  <c r="L97" i="44"/>
  <c r="L47" i="44"/>
  <c r="L48" i="44"/>
  <c r="L86" i="44"/>
  <c r="L62" i="44"/>
  <c r="L188" i="44"/>
  <c r="L187" i="44"/>
  <c r="L193" i="44"/>
  <c r="L181" i="44"/>
  <c r="L164" i="44"/>
  <c r="L168" i="44"/>
  <c r="L178" i="44"/>
  <c r="L196" i="44"/>
  <c r="L163" i="44"/>
  <c r="L189" i="44"/>
  <c r="L194" i="44"/>
  <c r="L182" i="44"/>
  <c r="L183" i="44"/>
  <c r="L169" i="44"/>
  <c r="L172" i="44"/>
  <c r="L170" i="44"/>
  <c r="L190" i="44"/>
  <c r="L176" i="44"/>
  <c r="L177" i="44"/>
  <c r="L185" i="44"/>
  <c r="L195" i="44"/>
  <c r="L175" i="44"/>
  <c r="L184" i="44"/>
  <c r="L162" i="44"/>
  <c r="L173" i="44"/>
  <c r="L186" i="44"/>
  <c r="L179" i="44"/>
  <c r="L171" i="44"/>
  <c r="L191" i="44"/>
  <c r="L165" i="44"/>
  <c r="L174" i="44"/>
  <c r="L197" i="44"/>
  <c r="L192" i="44"/>
  <c r="L166" i="44"/>
  <c r="L167" i="44"/>
  <c r="H198" i="44"/>
  <c r="I198" i="44" s="1"/>
  <c r="H199" i="44"/>
  <c r="I199" i="44" s="1"/>
  <c r="H202" i="44"/>
  <c r="I202" i="44" s="1"/>
  <c r="H200" i="44"/>
  <c r="I200" i="44" s="1"/>
  <c r="H201" i="44"/>
  <c r="I201" i="44" s="1"/>
  <c r="H254" i="44"/>
  <c r="I254" i="44" s="1"/>
  <c r="H242" i="44"/>
  <c r="I242" i="44" s="1"/>
  <c r="H250" i="44"/>
  <c r="I250" i="44" s="1"/>
  <c r="H247" i="44"/>
  <c r="I247" i="44" s="1"/>
  <c r="H253" i="44"/>
  <c r="I253" i="44" s="1"/>
  <c r="H245" i="44"/>
  <c r="I245" i="44" s="1"/>
  <c r="H240" i="44"/>
  <c r="I240" i="44" s="1"/>
  <c r="H243" i="44"/>
  <c r="I243" i="44" s="1"/>
  <c r="H248" i="44"/>
  <c r="I248" i="44" s="1"/>
  <c r="H244" i="44"/>
  <c r="I244" i="44" s="1"/>
  <c r="H249" i="44"/>
  <c r="I249" i="44" s="1"/>
  <c r="H251" i="44"/>
  <c r="I251" i="44" s="1"/>
  <c r="H241" i="44"/>
  <c r="I241" i="44" s="1"/>
  <c r="H246" i="44"/>
  <c r="I246" i="44" s="1"/>
  <c r="H252" i="44"/>
  <c r="I252" i="44" s="1"/>
  <c r="H268" i="44"/>
  <c r="I268" i="44" s="1"/>
  <c r="H261" i="44"/>
  <c r="I261" i="44" s="1"/>
  <c r="H256" i="44"/>
  <c r="I256" i="44" s="1"/>
  <c r="H269" i="44"/>
  <c r="I269" i="44" s="1"/>
  <c r="H255" i="44"/>
  <c r="I255" i="44" s="1"/>
  <c r="H264" i="44"/>
  <c r="I264" i="44" s="1"/>
  <c r="H259" i="44"/>
  <c r="I259" i="44" s="1"/>
  <c r="H262" i="44"/>
  <c r="I262" i="44" s="1"/>
  <c r="H265" i="44"/>
  <c r="I265" i="44" s="1"/>
  <c r="H270" i="44"/>
  <c r="I270" i="44" s="1"/>
  <c r="H260" i="44"/>
  <c r="I260" i="44" s="1"/>
  <c r="H263" i="44"/>
  <c r="I263" i="44" s="1"/>
  <c r="H257" i="44"/>
  <c r="I257" i="44" s="1"/>
  <c r="H266" i="44"/>
  <c r="I266" i="44" s="1"/>
  <c r="H203" i="44"/>
  <c r="I203" i="44" s="1"/>
  <c r="H206" i="44"/>
  <c r="I206" i="44" s="1"/>
  <c r="H207" i="44"/>
  <c r="I207" i="44" s="1"/>
  <c r="H208" i="44"/>
  <c r="I208" i="44" s="1"/>
  <c r="H204" i="44"/>
  <c r="I204" i="44" s="1"/>
  <c r="H205" i="44"/>
  <c r="I205" i="44" s="1"/>
  <c r="H213" i="44"/>
  <c r="I213" i="44" s="1"/>
  <c r="H215" i="44"/>
  <c r="I215" i="44" s="1"/>
  <c r="H214" i="44"/>
  <c r="I214" i="44" s="1"/>
  <c r="H209" i="44"/>
  <c r="I209" i="44" s="1"/>
  <c r="H216" i="44"/>
  <c r="I216" i="44" s="1"/>
  <c r="H217" i="44"/>
  <c r="I217" i="44" s="1"/>
  <c r="H210" i="44"/>
  <c r="I210" i="44" s="1"/>
  <c r="H211" i="44"/>
  <c r="I211" i="44" s="1"/>
  <c r="H237" i="44"/>
  <c r="I237" i="44" s="1"/>
  <c r="H238" i="44"/>
  <c r="I238" i="44" s="1"/>
  <c r="H229" i="44"/>
  <c r="I229" i="44" s="1"/>
  <c r="H231" i="44"/>
  <c r="I231" i="44" s="1"/>
  <c r="H239" i="44"/>
  <c r="I239" i="44" s="1"/>
  <c r="H218" i="44"/>
  <c r="I218" i="44" s="1"/>
  <c r="H235" i="44"/>
  <c r="I235" i="44" s="1"/>
  <c r="H234" i="44"/>
  <c r="I234" i="44" s="1"/>
  <c r="H223" i="44"/>
  <c r="I223" i="44" s="1"/>
  <c r="H230" i="44"/>
  <c r="I230" i="44" s="1"/>
  <c r="H232" i="44"/>
  <c r="I232" i="44" s="1"/>
  <c r="H233" i="44"/>
  <c r="I233" i="44" s="1"/>
  <c r="H221" i="44"/>
  <c r="I221" i="44" s="1"/>
  <c r="H225" i="44"/>
  <c r="I225" i="44" s="1"/>
  <c r="H236" i="44"/>
  <c r="I236" i="44" s="1"/>
  <c r="H227" i="44"/>
  <c r="I227" i="44" s="1"/>
  <c r="H226" i="44"/>
  <c r="I226" i="44" s="1"/>
  <c r="H228" i="44"/>
  <c r="I228" i="44" s="1"/>
  <c r="H84" i="44"/>
  <c r="I84" i="44" s="1"/>
  <c r="H64" i="44"/>
  <c r="I64" i="44" s="1"/>
  <c r="H88" i="44"/>
  <c r="I88" i="44" s="1"/>
  <c r="H90" i="44"/>
  <c r="I90" i="44" s="1"/>
  <c r="H87" i="44"/>
  <c r="I87" i="44" s="1"/>
  <c r="H79" i="44"/>
  <c r="I79" i="44" s="1"/>
  <c r="H42" i="44"/>
  <c r="I42" i="44" s="1"/>
  <c r="H65" i="44"/>
  <c r="I65" i="44" s="1"/>
  <c r="H49" i="44"/>
  <c r="I49" i="44" s="1"/>
  <c r="H51" i="44"/>
  <c r="I51" i="44" s="1"/>
  <c r="H93" i="44"/>
  <c r="I93" i="44" s="1"/>
  <c r="H98" i="44"/>
  <c r="I98" i="44" s="1"/>
  <c r="H89" i="44"/>
  <c r="I89" i="44" s="1"/>
  <c r="H85" i="44"/>
  <c r="I85" i="44" s="1"/>
  <c r="H78" i="44"/>
  <c r="I78" i="44" s="1"/>
  <c r="H58" i="44"/>
  <c r="I58" i="44" s="1"/>
  <c r="H52" i="44"/>
  <c r="I52" i="44" s="1"/>
  <c r="H53" i="44"/>
  <c r="I53" i="44" s="1"/>
  <c r="H54" i="44"/>
  <c r="I54" i="44" s="1"/>
  <c r="H55" i="44"/>
  <c r="I55" i="44" s="1"/>
  <c r="H66" i="44"/>
  <c r="I66" i="44" s="1"/>
  <c r="H56" i="44"/>
  <c r="I56" i="44" s="1"/>
  <c r="H57" i="44"/>
  <c r="I57" i="44" s="1"/>
  <c r="H67" i="44"/>
  <c r="I67" i="44" s="1"/>
  <c r="H68" i="44"/>
  <c r="I68" i="44" s="1"/>
  <c r="H69" i="44"/>
  <c r="I69" i="44" s="1"/>
  <c r="H70" i="44"/>
  <c r="I70" i="44" s="1"/>
  <c r="H71" i="44"/>
  <c r="I71" i="44" s="1"/>
  <c r="H72" i="44"/>
  <c r="I72" i="44" s="1"/>
  <c r="H73" i="44"/>
  <c r="I73" i="44" s="1"/>
  <c r="H74" i="44"/>
  <c r="I74" i="44" s="1"/>
  <c r="H81" i="44"/>
  <c r="I81" i="44" s="1"/>
  <c r="H50" i="44"/>
  <c r="I50" i="44" s="1"/>
  <c r="H61" i="44"/>
  <c r="I61" i="44" s="1"/>
  <c r="H38" i="44"/>
  <c r="I38" i="44" s="1"/>
  <c r="H60" i="44"/>
  <c r="I60" i="44" s="1"/>
  <c r="H75" i="44"/>
  <c r="I75" i="44" s="1"/>
  <c r="H76" i="44"/>
  <c r="I76" i="44" s="1"/>
  <c r="H82" i="44"/>
  <c r="I82" i="44" s="1"/>
  <c r="H41" i="44"/>
  <c r="I41" i="44" s="1"/>
  <c r="H91" i="44"/>
  <c r="I91" i="44" s="1"/>
  <c r="H63" i="44"/>
  <c r="I63" i="44" s="1"/>
  <c r="H37" i="44"/>
  <c r="I37" i="44" s="1"/>
  <c r="H77" i="44"/>
  <c r="I77" i="44" s="1"/>
  <c r="H43" i="44"/>
  <c r="I43" i="44" s="1"/>
  <c r="H80" i="44"/>
  <c r="I80" i="44" s="1"/>
  <c r="H92" i="44"/>
  <c r="I92" i="44" s="1"/>
  <c r="H44" i="44"/>
  <c r="I44" i="44" s="1"/>
  <c r="H40" i="44"/>
  <c r="I40" i="44" s="1"/>
  <c r="H59" i="44"/>
  <c r="I59" i="44" s="1"/>
  <c r="H83" i="44"/>
  <c r="I83" i="44" s="1"/>
  <c r="H180" i="44"/>
  <c r="I180" i="44" s="1"/>
  <c r="H267" i="44"/>
  <c r="I267" i="44" s="1"/>
  <c r="H258" i="44"/>
  <c r="I258" i="44" s="1"/>
  <c r="H212" i="44"/>
  <c r="I212" i="44" s="1"/>
  <c r="H222" i="44"/>
  <c r="I222" i="44" s="1"/>
  <c r="H219" i="44"/>
  <c r="I219" i="44" s="1"/>
  <c r="H220" i="44"/>
  <c r="I220" i="44" s="1"/>
  <c r="H224" i="44"/>
  <c r="I224" i="44" s="1"/>
  <c r="H39" i="44"/>
  <c r="I39" i="44" s="1"/>
  <c r="H45" i="44"/>
  <c r="I45" i="44" s="1"/>
  <c r="H46" i="44"/>
  <c r="I46" i="44" s="1"/>
  <c r="H36" i="44"/>
  <c r="I36" i="44" s="1"/>
  <c r="H94" i="44"/>
  <c r="I94" i="44" s="1"/>
  <c r="H95" i="44"/>
  <c r="I95" i="44" s="1"/>
  <c r="H96" i="44"/>
  <c r="I96" i="44" s="1"/>
  <c r="H97" i="44"/>
  <c r="I97" i="44" s="1"/>
  <c r="H47" i="44"/>
  <c r="I47" i="44" s="1"/>
  <c r="H48" i="44"/>
  <c r="I48" i="44" s="1"/>
  <c r="H86" i="44"/>
  <c r="I86" i="44" s="1"/>
  <c r="H62" i="44"/>
  <c r="I62" i="44" s="1"/>
  <c r="H188" i="44"/>
  <c r="I188" i="44" s="1"/>
  <c r="H187" i="44"/>
  <c r="I187" i="44" s="1"/>
  <c r="H193" i="44"/>
  <c r="I193" i="44" s="1"/>
  <c r="H181" i="44"/>
  <c r="I181" i="44" s="1"/>
  <c r="H164" i="44"/>
  <c r="I164" i="44" s="1"/>
  <c r="H168" i="44"/>
  <c r="I168" i="44" s="1"/>
  <c r="H178" i="44"/>
  <c r="I178" i="44" s="1"/>
  <c r="H196" i="44"/>
  <c r="I196" i="44" s="1"/>
  <c r="H163" i="44"/>
  <c r="I163" i="44" s="1"/>
  <c r="H189" i="44"/>
  <c r="I189" i="44" s="1"/>
  <c r="H194" i="44"/>
  <c r="I194" i="44" s="1"/>
  <c r="H182" i="44"/>
  <c r="I182" i="44" s="1"/>
  <c r="H183" i="44"/>
  <c r="I183" i="44" s="1"/>
  <c r="H169" i="44"/>
  <c r="I169" i="44" s="1"/>
  <c r="H172" i="44"/>
  <c r="I172" i="44" s="1"/>
  <c r="H170" i="44"/>
  <c r="I170" i="44" s="1"/>
  <c r="H190" i="44"/>
  <c r="I190" i="44" s="1"/>
  <c r="H176" i="44"/>
  <c r="I176" i="44" s="1"/>
  <c r="H177" i="44"/>
  <c r="I177" i="44" s="1"/>
  <c r="H185" i="44"/>
  <c r="I185" i="44" s="1"/>
  <c r="H195" i="44"/>
  <c r="I195" i="44" s="1"/>
  <c r="H175" i="44"/>
  <c r="I175" i="44" s="1"/>
  <c r="H184" i="44"/>
  <c r="I184" i="44" s="1"/>
  <c r="H162" i="44"/>
  <c r="I162" i="44" s="1"/>
  <c r="H173" i="44"/>
  <c r="I173" i="44" s="1"/>
  <c r="H186" i="44"/>
  <c r="I186" i="44" s="1"/>
  <c r="H179" i="44"/>
  <c r="I179" i="44" s="1"/>
  <c r="H171" i="44"/>
  <c r="I171" i="44" s="1"/>
  <c r="H191" i="44"/>
  <c r="I191" i="44" s="1"/>
  <c r="H165" i="44"/>
  <c r="I165" i="44" s="1"/>
  <c r="H174" i="44"/>
  <c r="I174" i="44" s="1"/>
  <c r="H197" i="44"/>
  <c r="I197" i="44" s="1"/>
  <c r="H192" i="44"/>
  <c r="I192" i="44" s="1"/>
  <c r="H166" i="44"/>
  <c r="I166" i="44" s="1"/>
  <c r="H167" i="44"/>
  <c r="I167" i="44" s="1"/>
  <c r="O136" i="34"/>
  <c r="L136" i="34"/>
  <c r="H136" i="34"/>
  <c r="I136" i="34" s="1"/>
  <c r="O135" i="34"/>
  <c r="L135" i="34"/>
  <c r="H135" i="34"/>
  <c r="I135" i="34" s="1"/>
  <c r="O134" i="34"/>
  <c r="L134" i="34"/>
  <c r="H134" i="34"/>
  <c r="I134" i="34" s="1"/>
  <c r="O133" i="34"/>
  <c r="L133" i="34"/>
  <c r="H133" i="34"/>
  <c r="I133" i="34" s="1"/>
  <c r="O132" i="34"/>
  <c r="L132" i="34"/>
  <c r="H132" i="34"/>
  <c r="I132" i="34" s="1"/>
  <c r="O131" i="34"/>
  <c r="L131" i="34"/>
  <c r="H131" i="34"/>
  <c r="I131" i="34" s="1"/>
  <c r="O130" i="34"/>
  <c r="L130" i="34"/>
  <c r="H130" i="34"/>
  <c r="I130" i="34" s="1"/>
  <c r="O129" i="34"/>
  <c r="L129" i="34"/>
  <c r="H129" i="34"/>
  <c r="I129" i="34" s="1"/>
  <c r="O128" i="34"/>
  <c r="L128" i="34"/>
  <c r="H128" i="34"/>
  <c r="I128" i="34" s="1"/>
  <c r="O99" i="34"/>
  <c r="L99" i="34"/>
  <c r="H99" i="34"/>
  <c r="I99" i="34" s="1"/>
  <c r="O98" i="34"/>
  <c r="L98" i="34"/>
  <c r="H98" i="34"/>
  <c r="I98" i="34" s="1"/>
  <c r="O97" i="34"/>
  <c r="L97" i="34"/>
  <c r="H97" i="34"/>
  <c r="I97" i="34" s="1"/>
  <c r="O121" i="34"/>
  <c r="O122" i="34"/>
  <c r="O123" i="34"/>
  <c r="O124" i="34"/>
  <c r="O119" i="34"/>
  <c r="O120" i="34"/>
  <c r="O94" i="34"/>
  <c r="O95" i="34"/>
  <c r="O96" i="34"/>
  <c r="O127" i="34"/>
  <c r="O125" i="34"/>
  <c r="O126" i="34"/>
  <c r="O106" i="34"/>
  <c r="O115" i="34"/>
  <c r="O100" i="34"/>
  <c r="O103" i="34"/>
  <c r="O107" i="34"/>
  <c r="O101" i="34"/>
  <c r="O108" i="34"/>
  <c r="O104" i="34"/>
  <c r="O109" i="34"/>
  <c r="O110" i="34"/>
  <c r="O116" i="34"/>
  <c r="O117" i="34"/>
  <c r="O114" i="34"/>
  <c r="O111" i="34"/>
  <c r="O102" i="34"/>
  <c r="O118" i="34"/>
  <c r="O112" i="34"/>
  <c r="O113" i="34"/>
  <c r="O105" i="34"/>
  <c r="L121" i="34"/>
  <c r="L122" i="34"/>
  <c r="L123" i="34"/>
  <c r="L124" i="34"/>
  <c r="L119" i="34"/>
  <c r="L120" i="34"/>
  <c r="L94" i="34"/>
  <c r="L95" i="34"/>
  <c r="L96" i="34"/>
  <c r="L127" i="34"/>
  <c r="L125" i="34"/>
  <c r="L126" i="34"/>
  <c r="L106" i="34"/>
  <c r="L115" i="34"/>
  <c r="L100" i="34"/>
  <c r="L103" i="34"/>
  <c r="L107" i="34"/>
  <c r="L101" i="34"/>
  <c r="L108" i="34"/>
  <c r="L104" i="34"/>
  <c r="L109" i="34"/>
  <c r="L110" i="34"/>
  <c r="L116" i="34"/>
  <c r="L117" i="34"/>
  <c r="L114" i="34"/>
  <c r="L111" i="34"/>
  <c r="L102" i="34"/>
  <c r="L118" i="34"/>
  <c r="L112" i="34"/>
  <c r="L113" i="34"/>
  <c r="L105" i="34"/>
  <c r="H121" i="34"/>
  <c r="I121" i="34" s="1"/>
  <c r="H122" i="34"/>
  <c r="I122" i="34" s="1"/>
  <c r="H123" i="34"/>
  <c r="I123" i="34" s="1"/>
  <c r="H124" i="34"/>
  <c r="I124" i="34" s="1"/>
  <c r="H119" i="34"/>
  <c r="I119" i="34" s="1"/>
  <c r="H120" i="34"/>
  <c r="I120" i="34" s="1"/>
  <c r="H94" i="34"/>
  <c r="I94" i="34" s="1"/>
  <c r="H95" i="34"/>
  <c r="I95" i="34" s="1"/>
  <c r="H96" i="34"/>
  <c r="I96" i="34" s="1"/>
  <c r="H127" i="34"/>
  <c r="I127" i="34" s="1"/>
  <c r="H125" i="34"/>
  <c r="I125" i="34" s="1"/>
  <c r="H126" i="34"/>
  <c r="I126" i="34" s="1"/>
  <c r="H106" i="34"/>
  <c r="I106" i="34" s="1"/>
  <c r="H115" i="34"/>
  <c r="I115" i="34" s="1"/>
  <c r="H100" i="34"/>
  <c r="I100" i="34" s="1"/>
  <c r="H103" i="34"/>
  <c r="I103" i="34" s="1"/>
  <c r="H107" i="34"/>
  <c r="I107" i="34" s="1"/>
  <c r="H101" i="34"/>
  <c r="I101" i="34" s="1"/>
  <c r="H108" i="34"/>
  <c r="I108" i="34" s="1"/>
  <c r="H104" i="34"/>
  <c r="I104" i="34" s="1"/>
  <c r="H109" i="34"/>
  <c r="I109" i="34" s="1"/>
  <c r="H110" i="34"/>
  <c r="I110" i="34" s="1"/>
  <c r="H116" i="34"/>
  <c r="I116" i="34" s="1"/>
  <c r="H117" i="34"/>
  <c r="I117" i="34" s="1"/>
  <c r="H114" i="34"/>
  <c r="I114" i="34" s="1"/>
  <c r="H111" i="34"/>
  <c r="I111" i="34" s="1"/>
  <c r="H102" i="34"/>
  <c r="I102" i="34" s="1"/>
  <c r="H118" i="34"/>
  <c r="I118" i="34" s="1"/>
  <c r="H112" i="34"/>
  <c r="I112" i="34" s="1"/>
  <c r="H113" i="34"/>
  <c r="I113" i="34" s="1"/>
  <c r="H105" i="34"/>
  <c r="I105" i="34" s="1"/>
  <c r="L93" i="34" l="1"/>
  <c r="L92" i="34"/>
  <c r="L91" i="34"/>
  <c r="L90" i="34"/>
  <c r="L89" i="34"/>
  <c r="L88" i="34"/>
  <c r="L87" i="34"/>
  <c r="L86" i="34"/>
  <c r="L85" i="34"/>
  <c r="L84" i="34"/>
  <c r="L83" i="34"/>
  <c r="L82" i="34"/>
  <c r="L81" i="34"/>
  <c r="L80" i="34"/>
  <c r="L79" i="34"/>
  <c r="L78" i="34"/>
  <c r="L77" i="34"/>
  <c r="L76" i="34"/>
  <c r="L75" i="34"/>
  <c r="L74" i="34"/>
  <c r="L73" i="34"/>
  <c r="L72" i="34"/>
  <c r="L71" i="34"/>
  <c r="L70" i="34"/>
  <c r="L62" i="34"/>
  <c r="L63" i="34"/>
  <c r="L64" i="34"/>
  <c r="L65" i="34"/>
  <c r="L66" i="34"/>
  <c r="L67" i="34"/>
  <c r="L68" i="34"/>
  <c r="L69" i="34"/>
  <c r="O93" i="34"/>
  <c r="H93" i="34"/>
  <c r="O85" i="34"/>
  <c r="H85" i="34"/>
  <c r="G85" i="34"/>
  <c r="O77" i="34"/>
  <c r="H77" i="34"/>
  <c r="G77" i="34"/>
  <c r="O69" i="34"/>
  <c r="H69" i="34"/>
  <c r="O59" i="34"/>
  <c r="H59" i="34"/>
  <c r="G59" i="34"/>
  <c r="O60" i="34"/>
  <c r="H60" i="34"/>
  <c r="G60" i="34"/>
  <c r="I77" i="34" l="1"/>
  <c r="I93" i="34"/>
  <c r="I85" i="34"/>
  <c r="I69" i="34"/>
  <c r="I59" i="34"/>
  <c r="I60" i="34"/>
  <c r="J136" i="6"/>
  <c r="AT138" i="6"/>
  <c r="AS138" i="6"/>
  <c r="AN138" i="6"/>
  <c r="AH138" i="6"/>
  <c r="AB138" i="6"/>
  <c r="P138" i="6"/>
  <c r="V138" i="6"/>
  <c r="U138" i="6"/>
  <c r="J138" i="6"/>
  <c r="D138" i="6"/>
  <c r="L17" i="44"/>
  <c r="L16" i="44"/>
  <c r="L15" i="44"/>
  <c r="L14" i="44"/>
  <c r="L13" i="44"/>
  <c r="L12" i="44"/>
  <c r="L11" i="44"/>
  <c r="L10" i="44"/>
  <c r="O17" i="44"/>
  <c r="H17" i="44"/>
  <c r="I17" i="44" s="1"/>
  <c r="O9" i="44"/>
  <c r="L9" i="44"/>
  <c r="H9" i="44"/>
  <c r="I9" i="44" s="1"/>
  <c r="L7" i="44"/>
  <c r="L6" i="44"/>
  <c r="L5" i="44"/>
  <c r="L4" i="44"/>
  <c r="L3" i="44"/>
  <c r="L2" i="44"/>
  <c r="Q164" i="6"/>
  <c r="K164" i="6"/>
  <c r="E164" i="6"/>
  <c r="I28" i="54" l="1"/>
  <c r="S1385" i="32"/>
  <c r="P1385" i="32"/>
  <c r="L1385" i="32"/>
  <c r="M1385" i="32" s="1"/>
  <c r="S1384" i="32"/>
  <c r="P1384" i="32"/>
  <c r="L1384" i="32"/>
  <c r="M1384" i="32" s="1"/>
  <c r="P1381" i="32"/>
  <c r="L1381" i="32"/>
  <c r="M1381" i="32" s="1"/>
  <c r="P1380" i="32"/>
  <c r="L1380" i="32"/>
  <c r="M1380" i="32" s="1"/>
  <c r="P1379" i="32"/>
  <c r="L1379" i="32"/>
  <c r="M1379" i="32" s="1"/>
  <c r="P1378" i="32"/>
  <c r="L1378" i="32"/>
  <c r="M1378" i="32" s="1"/>
  <c r="P1377" i="32"/>
  <c r="L1377" i="32"/>
  <c r="M1377" i="32" s="1"/>
  <c r="P1376" i="32"/>
  <c r="L1376" i="32"/>
  <c r="M1376" i="32" s="1"/>
  <c r="P1375" i="32"/>
  <c r="L1375" i="32"/>
  <c r="M1375" i="32" s="1"/>
  <c r="P1374" i="32"/>
  <c r="L1374" i="32"/>
  <c r="M1374" i="32" s="1"/>
  <c r="P1373" i="32"/>
  <c r="L1373" i="32"/>
  <c r="M1373" i="32" s="1"/>
  <c r="P1372" i="32"/>
  <c r="L1372" i="32"/>
  <c r="M1372" i="32" s="1"/>
  <c r="P1371" i="32"/>
  <c r="L1371" i="32"/>
  <c r="M1371" i="32" s="1"/>
  <c r="P1370" i="32"/>
  <c r="L1370" i="32"/>
  <c r="M1370" i="32" s="1"/>
  <c r="S1368" i="32"/>
  <c r="P1368" i="32"/>
  <c r="L1368" i="32"/>
  <c r="M1368" i="32" s="1"/>
  <c r="S1369" i="32"/>
  <c r="P1369" i="32"/>
  <c r="L1369" i="32"/>
  <c r="M1369" i="32" s="1"/>
  <c r="P1366" i="32"/>
  <c r="P1365" i="32"/>
  <c r="P1364" i="32"/>
  <c r="P1363" i="32"/>
  <c r="P1362" i="32"/>
  <c r="P1342" i="32"/>
  <c r="L1342" i="32"/>
  <c r="M1342" i="32" s="1"/>
  <c r="P1341" i="32"/>
  <c r="L1341" i="32"/>
  <c r="M1341" i="32" s="1"/>
  <c r="P1340" i="32"/>
  <c r="L1340" i="32"/>
  <c r="M1340" i="32" s="1"/>
  <c r="P1339" i="32"/>
  <c r="L1339" i="32"/>
  <c r="M1339" i="32" s="1"/>
  <c r="P1338" i="32"/>
  <c r="L1338" i="32"/>
  <c r="M1338" i="32" s="1"/>
  <c r="P1337" i="32"/>
  <c r="L1337" i="32"/>
  <c r="M1337" i="32" s="1"/>
  <c r="P1336" i="32"/>
  <c r="L1336" i="32"/>
  <c r="M1336" i="32" s="1"/>
  <c r="P1335" i="32"/>
  <c r="L1335" i="32"/>
  <c r="M1335" i="32" s="1"/>
  <c r="P1334" i="32"/>
  <c r="L1334" i="32"/>
  <c r="M1334" i="32" s="1"/>
  <c r="P1333" i="32"/>
  <c r="L1333" i="32"/>
  <c r="M1333" i="32" s="1"/>
  <c r="P1361" i="32"/>
  <c r="P1360" i="32"/>
  <c r="P1359" i="32"/>
  <c r="P1358" i="32"/>
  <c r="P1357" i="32"/>
  <c r="P1356" i="32"/>
  <c r="P1355" i="32"/>
  <c r="P1354" i="32"/>
  <c r="P1353" i="32"/>
  <c r="P1352" i="32"/>
  <c r="P1351" i="32"/>
  <c r="P1350" i="32"/>
  <c r="P1349" i="32"/>
  <c r="P1348" i="32"/>
  <c r="S21" i="32"/>
  <c r="S22" i="32"/>
  <c r="S23" i="32"/>
  <c r="S24" i="32"/>
  <c r="S25" i="32"/>
  <c r="S26" i="32"/>
  <c r="S27" i="32"/>
  <c r="S28" i="32"/>
  <c r="S29" i="32"/>
  <c r="S30" i="32"/>
  <c r="S31" i="32"/>
  <c r="S32" i="32"/>
  <c r="S33" i="32"/>
  <c r="S34" i="32"/>
  <c r="S35" i="32"/>
  <c r="S36" i="32"/>
  <c r="S37" i="32"/>
  <c r="S38" i="32"/>
  <c r="S39" i="32"/>
  <c r="S40" i="32"/>
  <c r="S41" i="32"/>
  <c r="S42" i="32"/>
  <c r="S43" i="32"/>
  <c r="S44" i="32"/>
  <c r="S45" i="32"/>
  <c r="S46" i="32"/>
  <c r="S47" i="32"/>
  <c r="S48" i="32"/>
  <c r="S49" i="32"/>
  <c r="S50" i="32"/>
  <c r="S51" i="32"/>
  <c r="S52" i="32"/>
  <c r="S53" i="32"/>
  <c r="S54" i="32"/>
  <c r="S55" i="32"/>
  <c r="S56" i="32"/>
  <c r="S57" i="32"/>
  <c r="S58" i="32"/>
  <c r="S59" i="32"/>
  <c r="S60" i="32"/>
  <c r="S61" i="32"/>
  <c r="S62" i="32"/>
  <c r="S63" i="32"/>
  <c r="S64" i="32"/>
  <c r="S65" i="32"/>
  <c r="S66" i="32"/>
  <c r="S67" i="32"/>
  <c r="S68" i="32"/>
  <c r="S69" i="32"/>
  <c r="S70" i="32"/>
  <c r="S71" i="32"/>
  <c r="S72" i="32"/>
  <c r="S73" i="32"/>
  <c r="S74" i="32"/>
  <c r="S75" i="32"/>
  <c r="S76" i="32"/>
  <c r="S77" i="32"/>
  <c r="S78" i="32"/>
  <c r="S79" i="32"/>
  <c r="S80" i="32"/>
  <c r="S81" i="32"/>
  <c r="S82" i="32"/>
  <c r="S83" i="32"/>
  <c r="S84" i="32"/>
  <c r="S85" i="32"/>
  <c r="S86" i="32"/>
  <c r="S87" i="32"/>
  <c r="S88" i="32"/>
  <c r="S89" i="32"/>
  <c r="S90" i="32"/>
  <c r="S91" i="32"/>
  <c r="S92" i="32"/>
  <c r="S93" i="32"/>
  <c r="S94" i="32"/>
  <c r="S95" i="32"/>
  <c r="S96" i="32"/>
  <c r="S97" i="32"/>
  <c r="S98" i="32"/>
  <c r="S99" i="32"/>
  <c r="S100" i="32"/>
  <c r="S101" i="32"/>
  <c r="S102" i="32"/>
  <c r="S103" i="32"/>
  <c r="S104" i="32"/>
  <c r="S105" i="32"/>
  <c r="S106" i="32"/>
  <c r="S107" i="32"/>
  <c r="S108" i="32"/>
  <c r="S109" i="32"/>
  <c r="S110" i="32"/>
  <c r="S111" i="32"/>
  <c r="S112" i="32"/>
  <c r="S113" i="32"/>
  <c r="S114" i="32"/>
  <c r="S115" i="32"/>
  <c r="S116" i="32"/>
  <c r="S117" i="32"/>
  <c r="S118" i="32"/>
  <c r="S119" i="32"/>
  <c r="S120" i="32"/>
  <c r="S121" i="32"/>
  <c r="S122" i="32"/>
  <c r="S123" i="32"/>
  <c r="S124" i="32"/>
  <c r="S125" i="32"/>
  <c r="S126" i="32"/>
  <c r="S127" i="32"/>
  <c r="S128" i="32"/>
  <c r="S129" i="32"/>
  <c r="S130" i="32"/>
  <c r="S131" i="32"/>
  <c r="S132" i="32"/>
  <c r="S133" i="32"/>
  <c r="S134" i="32"/>
  <c r="S135" i="32"/>
  <c r="S136" i="32"/>
  <c r="S137" i="32"/>
  <c r="S138" i="32"/>
  <c r="S139" i="32"/>
  <c r="S140" i="32"/>
  <c r="S141" i="32"/>
  <c r="S142" i="32"/>
  <c r="S143" i="32"/>
  <c r="S144" i="32"/>
  <c r="S145" i="32"/>
  <c r="S146" i="32"/>
  <c r="S147" i="32"/>
  <c r="S148" i="32"/>
  <c r="S149" i="32"/>
  <c r="S150" i="32"/>
  <c r="S151" i="32"/>
  <c r="S152" i="32"/>
  <c r="S153" i="32"/>
  <c r="S154" i="32"/>
  <c r="S155" i="32"/>
  <c r="S156" i="32"/>
  <c r="S157" i="32"/>
  <c r="S158" i="32"/>
  <c r="S159" i="32"/>
  <c r="S160" i="32"/>
  <c r="S161" i="32"/>
  <c r="S162" i="32"/>
  <c r="S163" i="32"/>
  <c r="S164" i="32"/>
  <c r="S165" i="32"/>
  <c r="S166" i="32"/>
  <c r="S167" i="32"/>
  <c r="S168" i="32"/>
  <c r="S169" i="32"/>
  <c r="S170" i="32"/>
  <c r="S171" i="32"/>
  <c r="S172" i="32"/>
  <c r="S173" i="32"/>
  <c r="S174" i="32"/>
  <c r="S175" i="32"/>
  <c r="S176" i="32"/>
  <c r="S177" i="32"/>
  <c r="S178" i="32"/>
  <c r="S179" i="32"/>
  <c r="S180" i="32"/>
  <c r="S181" i="32"/>
  <c r="S182" i="32"/>
  <c r="S183" i="32"/>
  <c r="S184" i="32"/>
  <c r="S185" i="32"/>
  <c r="S186" i="32"/>
  <c r="S187" i="32"/>
  <c r="S188" i="32"/>
  <c r="S189" i="32"/>
  <c r="S190" i="32"/>
  <c r="S191" i="32"/>
  <c r="S192" i="32"/>
  <c r="S193" i="32"/>
  <c r="S194" i="32"/>
  <c r="S195" i="32"/>
  <c r="S196" i="32"/>
  <c r="S197" i="32"/>
  <c r="S198" i="32"/>
  <c r="S199" i="32"/>
  <c r="S200" i="32"/>
  <c r="S201" i="32"/>
  <c r="S202" i="32"/>
  <c r="S203" i="32"/>
  <c r="S204" i="32"/>
  <c r="S205" i="32"/>
  <c r="S206" i="32"/>
  <c r="S207" i="32"/>
  <c r="S208" i="32"/>
  <c r="S209" i="32"/>
  <c r="S210" i="32"/>
  <c r="S211" i="32"/>
  <c r="S212" i="32"/>
  <c r="S213" i="32"/>
  <c r="S214" i="32"/>
  <c r="S215" i="32"/>
  <c r="S216" i="32"/>
  <c r="S217" i="32"/>
  <c r="S218" i="32"/>
  <c r="S219" i="32"/>
  <c r="S220" i="32"/>
  <c r="S221" i="32"/>
  <c r="S222" i="32"/>
  <c r="S223" i="32"/>
  <c r="S224" i="32"/>
  <c r="S225" i="32"/>
  <c r="S226" i="32"/>
  <c r="S227" i="32"/>
  <c r="S228" i="32"/>
  <c r="S229" i="32"/>
  <c r="S230" i="32"/>
  <c r="S231" i="32"/>
  <c r="S232" i="32"/>
  <c r="S233" i="32"/>
  <c r="S234" i="32"/>
  <c r="S235" i="32"/>
  <c r="S236" i="32"/>
  <c r="S237" i="32"/>
  <c r="S238" i="32"/>
  <c r="S239" i="32"/>
  <c r="S240" i="32"/>
  <c r="S241" i="32"/>
  <c r="S242" i="32"/>
  <c r="S243" i="32"/>
  <c r="S244" i="32"/>
  <c r="S245" i="32"/>
  <c r="S246" i="32"/>
  <c r="S247" i="32"/>
  <c r="S248" i="32"/>
  <c r="S249" i="32"/>
  <c r="S250" i="32"/>
  <c r="S251" i="32"/>
  <c r="S252" i="32"/>
  <c r="S253" i="32"/>
  <c r="S254" i="32"/>
  <c r="S255" i="32"/>
  <c r="S256" i="32"/>
  <c r="S257" i="32"/>
  <c r="S258" i="32"/>
  <c r="S259" i="32"/>
  <c r="S260" i="32"/>
  <c r="S261" i="32"/>
  <c r="S262" i="32"/>
  <c r="S263" i="32"/>
  <c r="S264" i="32"/>
  <c r="S265" i="32"/>
  <c r="S266" i="32"/>
  <c r="S267" i="32"/>
  <c r="S268" i="32"/>
  <c r="S269" i="32"/>
  <c r="S270" i="32"/>
  <c r="S271" i="32"/>
  <c r="S272" i="32"/>
  <c r="S273" i="32"/>
  <c r="S274" i="32"/>
  <c r="S275" i="32"/>
  <c r="S276" i="32"/>
  <c r="S277" i="32"/>
  <c r="S278" i="32"/>
  <c r="S279" i="32"/>
  <c r="S280" i="32"/>
  <c r="S281" i="32"/>
  <c r="S282" i="32"/>
  <c r="S283" i="32"/>
  <c r="S284" i="32"/>
  <c r="S285" i="32"/>
  <c r="S286" i="32"/>
  <c r="S287" i="32"/>
  <c r="S288" i="32"/>
  <c r="S289" i="32"/>
  <c r="S290" i="32"/>
  <c r="S291" i="32"/>
  <c r="S292" i="32"/>
  <c r="S293" i="32"/>
  <c r="S294" i="32"/>
  <c r="S295" i="32"/>
  <c r="S296" i="32"/>
  <c r="S297" i="32"/>
  <c r="S298" i="32"/>
  <c r="S299" i="32"/>
  <c r="S300" i="32"/>
  <c r="S301" i="32"/>
  <c r="S302" i="32"/>
  <c r="S303" i="32"/>
  <c r="S304" i="32"/>
  <c r="S305" i="32"/>
  <c r="S306" i="32"/>
  <c r="S307" i="32"/>
  <c r="S308" i="32"/>
  <c r="S309" i="32"/>
  <c r="S310" i="32"/>
  <c r="S311" i="32"/>
  <c r="S312" i="32"/>
  <c r="S313" i="32"/>
  <c r="S314" i="32"/>
  <c r="S315" i="32"/>
  <c r="S316" i="32"/>
  <c r="S317" i="32"/>
  <c r="S318" i="32"/>
  <c r="S319" i="32"/>
  <c r="S320" i="32"/>
  <c r="S321" i="32"/>
  <c r="S322" i="32"/>
  <c r="S323" i="32"/>
  <c r="S324" i="32"/>
  <c r="S325" i="32"/>
  <c r="S326" i="32"/>
  <c r="S327" i="32"/>
  <c r="S328" i="32"/>
  <c r="S329" i="32"/>
  <c r="S330" i="32"/>
  <c r="S331" i="32"/>
  <c r="S332" i="32"/>
  <c r="S333" i="32"/>
  <c r="S334" i="32"/>
  <c r="S335" i="32"/>
  <c r="S336" i="32"/>
  <c r="S337" i="32"/>
  <c r="S338" i="32"/>
  <c r="S339" i="32"/>
  <c r="S340" i="32"/>
  <c r="S341" i="32"/>
  <c r="S342" i="32"/>
  <c r="S343" i="32"/>
  <c r="S344" i="32"/>
  <c r="S345" i="32"/>
  <c r="S346" i="32"/>
  <c r="S347" i="32"/>
  <c r="S348" i="32"/>
  <c r="S349" i="32"/>
  <c r="S350" i="32"/>
  <c r="S351" i="32"/>
  <c r="S352" i="32"/>
  <c r="S353" i="32"/>
  <c r="S354" i="32"/>
  <c r="S355" i="32"/>
  <c r="S356" i="32"/>
  <c r="S357" i="32"/>
  <c r="S358" i="32"/>
  <c r="S359" i="32"/>
  <c r="S360" i="32"/>
  <c r="S361" i="32"/>
  <c r="S362" i="32"/>
  <c r="S363" i="32"/>
  <c r="S364" i="32"/>
  <c r="S365" i="32"/>
  <c r="S366" i="32"/>
  <c r="S367" i="32"/>
  <c r="S368" i="32"/>
  <c r="S369" i="32"/>
  <c r="S370" i="32"/>
  <c r="S371" i="32"/>
  <c r="S372" i="32"/>
  <c r="S373" i="32"/>
  <c r="S374" i="32"/>
  <c r="S375" i="32"/>
  <c r="S376" i="32"/>
  <c r="S377" i="32"/>
  <c r="S378" i="32"/>
  <c r="S379" i="32"/>
  <c r="S380" i="32"/>
  <c r="S381" i="32"/>
  <c r="S382" i="32"/>
  <c r="S383" i="32"/>
  <c r="S384" i="32"/>
  <c r="S385" i="32"/>
  <c r="S386" i="32"/>
  <c r="S387" i="32"/>
  <c r="S388" i="32"/>
  <c r="S389" i="32"/>
  <c r="S390" i="32"/>
  <c r="S391" i="32"/>
  <c r="S392" i="32"/>
  <c r="S393" i="32"/>
  <c r="S394" i="32"/>
  <c r="S395" i="32"/>
  <c r="S396" i="32"/>
  <c r="S397" i="32"/>
  <c r="S398" i="32"/>
  <c r="S399" i="32"/>
  <c r="S400" i="32"/>
  <c r="S401" i="32"/>
  <c r="S402" i="32"/>
  <c r="S403" i="32"/>
  <c r="S404" i="32"/>
  <c r="S405" i="32"/>
  <c r="S406" i="32"/>
  <c r="S407" i="32"/>
  <c r="S408" i="32"/>
  <c r="S409" i="32"/>
  <c r="S410" i="32"/>
  <c r="S411" i="32"/>
  <c r="S412" i="32"/>
  <c r="S413" i="32"/>
  <c r="S414" i="32"/>
  <c r="S415" i="32"/>
  <c r="S416" i="32"/>
  <c r="S417" i="32"/>
  <c r="S418" i="32"/>
  <c r="S419" i="32"/>
  <c r="S420" i="32"/>
  <c r="S421" i="32"/>
  <c r="S422" i="32"/>
  <c r="S423" i="32"/>
  <c r="S424" i="32"/>
  <c r="S425" i="32"/>
  <c r="S426" i="32"/>
  <c r="S427" i="32"/>
  <c r="S428" i="32"/>
  <c r="S429" i="32"/>
  <c r="S430" i="32"/>
  <c r="S431" i="32"/>
  <c r="S432" i="32"/>
  <c r="S433" i="32"/>
  <c r="S434" i="32"/>
  <c r="S435" i="32"/>
  <c r="S436" i="32"/>
  <c r="S437" i="32"/>
  <c r="S438" i="32"/>
  <c r="S439" i="32"/>
  <c r="S440" i="32"/>
  <c r="S441" i="32"/>
  <c r="S442" i="32"/>
  <c r="S443" i="32"/>
  <c r="S444" i="32"/>
  <c r="S445" i="32"/>
  <c r="S446" i="32"/>
  <c r="S447" i="32"/>
  <c r="S448" i="32"/>
  <c r="S449" i="32"/>
  <c r="S450" i="32"/>
  <c r="S451" i="32"/>
  <c r="S452" i="32"/>
  <c r="S453" i="32"/>
  <c r="S454" i="32"/>
  <c r="S455" i="32"/>
  <c r="S456" i="32"/>
  <c r="S457" i="32"/>
  <c r="S458" i="32"/>
  <c r="S459" i="32"/>
  <c r="S460" i="32"/>
  <c r="S461" i="32"/>
  <c r="S462" i="32"/>
  <c r="S463" i="32"/>
  <c r="S464" i="32"/>
  <c r="S465" i="32"/>
  <c r="S466" i="32"/>
  <c r="S467" i="32"/>
  <c r="S468" i="32"/>
  <c r="S469" i="32"/>
  <c r="S470" i="32"/>
  <c r="S471" i="32"/>
  <c r="S472" i="32"/>
  <c r="S473" i="32"/>
  <c r="S474" i="32"/>
  <c r="S475" i="32"/>
  <c r="S476" i="32"/>
  <c r="S477" i="32"/>
  <c r="S478" i="32"/>
  <c r="S479" i="32"/>
  <c r="S480" i="32"/>
  <c r="S481" i="32"/>
  <c r="S482" i="32"/>
  <c r="S483" i="32"/>
  <c r="S484" i="32"/>
  <c r="S485" i="32"/>
  <c r="S486" i="32"/>
  <c r="S487" i="32"/>
  <c r="S488" i="32"/>
  <c r="S489" i="32"/>
  <c r="S490" i="32"/>
  <c r="S491" i="32"/>
  <c r="S492" i="32"/>
  <c r="S493" i="32"/>
  <c r="S494" i="32"/>
  <c r="S495" i="32"/>
  <c r="S496" i="32"/>
  <c r="S497" i="32"/>
  <c r="S498" i="32"/>
  <c r="S499" i="32"/>
  <c r="S500" i="32"/>
  <c r="S501" i="32"/>
  <c r="S502" i="32"/>
  <c r="S503" i="32"/>
  <c r="S504" i="32"/>
  <c r="S505" i="32"/>
  <c r="S506" i="32"/>
  <c r="S507" i="32"/>
  <c r="S508" i="32"/>
  <c r="S509" i="32"/>
  <c r="S510" i="32"/>
  <c r="S511" i="32"/>
  <c r="S512" i="32"/>
  <c r="S513" i="32"/>
  <c r="S514" i="32"/>
  <c r="S515" i="32"/>
  <c r="S516" i="32"/>
  <c r="S517" i="32"/>
  <c r="S518" i="32"/>
  <c r="S519" i="32"/>
  <c r="S520" i="32"/>
  <c r="S521" i="32"/>
  <c r="S522" i="32"/>
  <c r="S523" i="32"/>
  <c r="S524" i="32"/>
  <c r="S525" i="32"/>
  <c r="S526" i="32"/>
  <c r="S527" i="32"/>
  <c r="S528" i="32"/>
  <c r="S529" i="32"/>
  <c r="S530" i="32"/>
  <c r="S531" i="32"/>
  <c r="S532" i="32"/>
  <c r="S533" i="32"/>
  <c r="S534" i="32"/>
  <c r="S535" i="32"/>
  <c r="S536" i="32"/>
  <c r="S537" i="32"/>
  <c r="S538" i="32"/>
  <c r="S539" i="32"/>
  <c r="S540" i="32"/>
  <c r="S541" i="32"/>
  <c r="S542" i="32"/>
  <c r="S543" i="32"/>
  <c r="S544" i="32"/>
  <c r="S545" i="32"/>
  <c r="S546" i="32"/>
  <c r="S547" i="32"/>
  <c r="S548" i="32"/>
  <c r="S549" i="32"/>
  <c r="S550" i="32"/>
  <c r="S551" i="32"/>
  <c r="S552" i="32"/>
  <c r="S553" i="32"/>
  <c r="S554" i="32"/>
  <c r="S555" i="32"/>
  <c r="S556" i="32"/>
  <c r="S557" i="32"/>
  <c r="S558" i="32"/>
  <c r="S559" i="32"/>
  <c r="S560" i="32"/>
  <c r="S561" i="32"/>
  <c r="S562" i="32"/>
  <c r="S563" i="32"/>
  <c r="S564" i="32"/>
  <c r="S565" i="32"/>
  <c r="S566" i="32"/>
  <c r="S567" i="32"/>
  <c r="S568" i="32"/>
  <c r="S569" i="32"/>
  <c r="S570" i="32"/>
  <c r="S571" i="32"/>
  <c r="S572" i="32"/>
  <c r="S573" i="32"/>
  <c r="S574" i="32"/>
  <c r="S575" i="32"/>
  <c r="S576" i="32"/>
  <c r="S577" i="32"/>
  <c r="S578" i="32"/>
  <c r="S579" i="32"/>
  <c r="S580" i="32"/>
  <c r="S581" i="32"/>
  <c r="S582" i="32"/>
  <c r="S583" i="32"/>
  <c r="S584" i="32"/>
  <c r="S585" i="32"/>
  <c r="S586" i="32"/>
  <c r="S587" i="32"/>
  <c r="S588" i="32"/>
  <c r="S589" i="32"/>
  <c r="S590" i="32"/>
  <c r="S591" i="32"/>
  <c r="S592" i="32"/>
  <c r="S593" i="32"/>
  <c r="S594" i="32"/>
  <c r="S595" i="32"/>
  <c r="S596" i="32"/>
  <c r="S597" i="32"/>
  <c r="S598" i="32"/>
  <c r="S599" i="32"/>
  <c r="S600" i="32"/>
  <c r="S601" i="32"/>
  <c r="S602" i="32"/>
  <c r="S603" i="32"/>
  <c r="S604" i="32"/>
  <c r="S605" i="32"/>
  <c r="S606" i="32"/>
  <c r="S607" i="32"/>
  <c r="S608" i="32"/>
  <c r="S609" i="32"/>
  <c r="S610" i="32"/>
  <c r="S611" i="32"/>
  <c r="S612" i="32"/>
  <c r="S613" i="32"/>
  <c r="S614" i="32"/>
  <c r="S615" i="32"/>
  <c r="S616" i="32"/>
  <c r="S617" i="32"/>
  <c r="S618" i="32"/>
  <c r="S619" i="32"/>
  <c r="S620" i="32"/>
  <c r="S621" i="32"/>
  <c r="S622" i="32"/>
  <c r="S623" i="32"/>
  <c r="S624" i="32"/>
  <c r="S625" i="32"/>
  <c r="S626" i="32"/>
  <c r="S627" i="32"/>
  <c r="S628" i="32"/>
  <c r="S629" i="32"/>
  <c r="S630" i="32"/>
  <c r="S631" i="32"/>
  <c r="S632" i="32"/>
  <c r="S633" i="32"/>
  <c r="S634" i="32"/>
  <c r="S635" i="32"/>
  <c r="S636" i="32"/>
  <c r="S637" i="32"/>
  <c r="S638" i="32"/>
  <c r="S639" i="32"/>
  <c r="S640" i="32"/>
  <c r="S641" i="32"/>
  <c r="S642" i="32"/>
  <c r="S643" i="32"/>
  <c r="S644" i="32"/>
  <c r="S645" i="32"/>
  <c r="S646" i="32"/>
  <c r="S647" i="32"/>
  <c r="S648" i="32"/>
  <c r="S649" i="32"/>
  <c r="S650" i="32"/>
  <c r="S651" i="32"/>
  <c r="S652" i="32"/>
  <c r="S653" i="32"/>
  <c r="S654" i="32"/>
  <c r="S655" i="32"/>
  <c r="S656" i="32"/>
  <c r="S657" i="32"/>
  <c r="S658" i="32"/>
  <c r="S659" i="32"/>
  <c r="S660" i="32"/>
  <c r="S661" i="32"/>
  <c r="S662" i="32"/>
  <c r="S663" i="32"/>
  <c r="S664" i="32"/>
  <c r="S665" i="32"/>
  <c r="S666" i="32"/>
  <c r="S667" i="32"/>
  <c r="S668" i="32"/>
  <c r="S669" i="32"/>
  <c r="S670" i="32"/>
  <c r="S671" i="32"/>
  <c r="S672" i="32"/>
  <c r="S673" i="32"/>
  <c r="S674" i="32"/>
  <c r="S675" i="32"/>
  <c r="S676" i="32"/>
  <c r="S677" i="32"/>
  <c r="S678" i="32"/>
  <c r="S679" i="32"/>
  <c r="S680" i="32"/>
  <c r="S681" i="32"/>
  <c r="S682" i="32"/>
  <c r="S683" i="32"/>
  <c r="S684" i="32"/>
  <c r="S685" i="32"/>
  <c r="S686" i="32"/>
  <c r="S687" i="32"/>
  <c r="S688" i="32"/>
  <c r="S689" i="32"/>
  <c r="S690" i="32"/>
  <c r="S691" i="32"/>
  <c r="S692" i="32"/>
  <c r="S693" i="32"/>
  <c r="S694" i="32"/>
  <c r="S695" i="32"/>
  <c r="S696" i="32"/>
  <c r="S697" i="32"/>
  <c r="S698" i="32"/>
  <c r="S699" i="32"/>
  <c r="S700" i="32"/>
  <c r="S701" i="32"/>
  <c r="S702" i="32"/>
  <c r="S703" i="32"/>
  <c r="S704" i="32"/>
  <c r="S705" i="32"/>
  <c r="S706" i="32"/>
  <c r="S707" i="32"/>
  <c r="S708" i="32"/>
  <c r="S709" i="32"/>
  <c r="S710" i="32"/>
  <c r="S711" i="32"/>
  <c r="S712" i="32"/>
  <c r="S713" i="32"/>
  <c r="S714" i="32"/>
  <c r="S715" i="32"/>
  <c r="S716" i="32"/>
  <c r="S717" i="32"/>
  <c r="S718" i="32"/>
  <c r="S719" i="32"/>
  <c r="S720" i="32"/>
  <c r="S721" i="32"/>
  <c r="S722" i="32"/>
  <c r="S723" i="32"/>
  <c r="S724" i="32"/>
  <c r="S725" i="32"/>
  <c r="S726" i="32"/>
  <c r="S727" i="32"/>
  <c r="S728" i="32"/>
  <c r="S729" i="32"/>
  <c r="S730" i="32"/>
  <c r="S731" i="32"/>
  <c r="S732" i="32"/>
  <c r="S733" i="32"/>
  <c r="S734" i="32"/>
  <c r="S735" i="32"/>
  <c r="S736" i="32"/>
  <c r="S737" i="32"/>
  <c r="S738" i="32"/>
  <c r="S739" i="32"/>
  <c r="S740" i="32"/>
  <c r="S741" i="32"/>
  <c r="S742" i="32"/>
  <c r="S743" i="32"/>
  <c r="S744" i="32"/>
  <c r="S745" i="32"/>
  <c r="S746" i="32"/>
  <c r="S747" i="32"/>
  <c r="S748" i="32"/>
  <c r="S749" i="32"/>
  <c r="S750" i="32"/>
  <c r="S751" i="32"/>
  <c r="S752" i="32"/>
  <c r="S753" i="32"/>
  <c r="S754" i="32"/>
  <c r="S755" i="32"/>
  <c r="S756" i="32"/>
  <c r="S757" i="32"/>
  <c r="S758" i="32"/>
  <c r="S759" i="32"/>
  <c r="S760" i="32"/>
  <c r="S761" i="32"/>
  <c r="S762" i="32"/>
  <c r="S763" i="32"/>
  <c r="S764" i="32"/>
  <c r="S765" i="32"/>
  <c r="S766" i="32"/>
  <c r="S767" i="32"/>
  <c r="S768" i="32"/>
  <c r="S769" i="32"/>
  <c r="S770" i="32"/>
  <c r="S771" i="32"/>
  <c r="S772" i="32"/>
  <c r="S773" i="32"/>
  <c r="S774" i="32"/>
  <c r="S775" i="32"/>
  <c r="S776" i="32"/>
  <c r="S777" i="32"/>
  <c r="S778" i="32"/>
  <c r="S779" i="32"/>
  <c r="S780" i="32"/>
  <c r="S781" i="32"/>
  <c r="S782" i="32"/>
  <c r="S783" i="32"/>
  <c r="S784" i="32"/>
  <c r="S785" i="32"/>
  <c r="S786" i="32"/>
  <c r="S787" i="32"/>
  <c r="S788" i="32"/>
  <c r="S789" i="32"/>
  <c r="S790" i="32"/>
  <c r="S791" i="32"/>
  <c r="S792" i="32"/>
  <c r="S793" i="32"/>
  <c r="S794" i="32"/>
  <c r="S795" i="32"/>
  <c r="S796" i="32"/>
  <c r="S797" i="32"/>
  <c r="S798" i="32"/>
  <c r="S799" i="32"/>
  <c r="S800" i="32"/>
  <c r="S801" i="32"/>
  <c r="S802" i="32"/>
  <c r="S803" i="32"/>
  <c r="S804" i="32"/>
  <c r="S805" i="32"/>
  <c r="S806" i="32"/>
  <c r="S807" i="32"/>
  <c r="S808" i="32"/>
  <c r="S809" i="32"/>
  <c r="S810" i="32"/>
  <c r="S811" i="32"/>
  <c r="S812" i="32"/>
  <c r="S813" i="32"/>
  <c r="S814" i="32"/>
  <c r="S815" i="32"/>
  <c r="S816" i="32"/>
  <c r="S817" i="32"/>
  <c r="S818" i="32"/>
  <c r="S819" i="32"/>
  <c r="S820" i="32"/>
  <c r="S821" i="32"/>
  <c r="S822" i="32"/>
  <c r="S823" i="32"/>
  <c r="S824" i="32"/>
  <c r="S825" i="32"/>
  <c r="S826" i="32"/>
  <c r="S827" i="32"/>
  <c r="S828" i="32"/>
  <c r="S829" i="32"/>
  <c r="S830" i="32"/>
  <c r="S831" i="32"/>
  <c r="S832" i="32"/>
  <c r="S833" i="32"/>
  <c r="S834" i="32"/>
  <c r="S835" i="32"/>
  <c r="S836" i="32"/>
  <c r="S837" i="32"/>
  <c r="S838" i="32"/>
  <c r="S839" i="32"/>
  <c r="S840" i="32"/>
  <c r="S841" i="32"/>
  <c r="S842" i="32"/>
  <c r="S843" i="32"/>
  <c r="S844" i="32"/>
  <c r="S845" i="32"/>
  <c r="S846" i="32"/>
  <c r="S847" i="32"/>
  <c r="S848" i="32"/>
  <c r="S849" i="32"/>
  <c r="S850" i="32"/>
  <c r="S851" i="32"/>
  <c r="S852" i="32"/>
  <c r="S853" i="32"/>
  <c r="S854" i="32"/>
  <c r="S855" i="32"/>
  <c r="S856" i="32"/>
  <c r="S857" i="32"/>
  <c r="S858" i="32"/>
  <c r="S859" i="32"/>
  <c r="S860" i="32"/>
  <c r="S861" i="32"/>
  <c r="S862" i="32"/>
  <c r="S863" i="32"/>
  <c r="S864" i="32"/>
  <c r="S865" i="32"/>
  <c r="S866" i="32"/>
  <c r="S867" i="32"/>
  <c r="S868" i="32"/>
  <c r="S869" i="32"/>
  <c r="S870" i="32"/>
  <c r="S871" i="32"/>
  <c r="S872" i="32"/>
  <c r="S873" i="32"/>
  <c r="S874" i="32"/>
  <c r="S875" i="32"/>
  <c r="S876" i="32"/>
  <c r="S877" i="32"/>
  <c r="S878" i="32"/>
  <c r="S879" i="32"/>
  <c r="S880" i="32"/>
  <c r="S881" i="32"/>
  <c r="S882" i="32"/>
  <c r="S883" i="32"/>
  <c r="S884" i="32"/>
  <c r="S885" i="32"/>
  <c r="S886" i="32"/>
  <c r="S887" i="32"/>
  <c r="S888" i="32"/>
  <c r="S889" i="32"/>
  <c r="S890" i="32"/>
  <c r="S891" i="32"/>
  <c r="S892" i="32"/>
  <c r="S893" i="32"/>
  <c r="S894" i="32"/>
  <c r="S895" i="32"/>
  <c r="S896" i="32"/>
  <c r="S897" i="32"/>
  <c r="S898" i="32"/>
  <c r="S899" i="32"/>
  <c r="S900" i="32"/>
  <c r="S901" i="32"/>
  <c r="S902" i="32"/>
  <c r="S903" i="32"/>
  <c r="S904" i="32"/>
  <c r="S905" i="32"/>
  <c r="S906" i="32"/>
  <c r="S907" i="32"/>
  <c r="S908" i="32"/>
  <c r="S909" i="32"/>
  <c r="S910" i="32"/>
  <c r="S911" i="32"/>
  <c r="S912" i="32"/>
  <c r="S913" i="32"/>
  <c r="S914" i="32"/>
  <c r="S915" i="32"/>
  <c r="S916" i="32"/>
  <c r="S917" i="32"/>
  <c r="S918" i="32"/>
  <c r="S919" i="32"/>
  <c r="S920" i="32"/>
  <c r="S921" i="32"/>
  <c r="S922" i="32"/>
  <c r="S923" i="32"/>
  <c r="S924" i="32"/>
  <c r="S925" i="32"/>
  <c r="S926" i="32"/>
  <c r="S927" i="32"/>
  <c r="S928" i="32"/>
  <c r="S929" i="32"/>
  <c r="S930" i="32"/>
  <c r="S931" i="32"/>
  <c r="S932" i="32"/>
  <c r="S933" i="32"/>
  <c r="S934" i="32"/>
  <c r="S935" i="32"/>
  <c r="S936" i="32"/>
  <c r="S937" i="32"/>
  <c r="S938" i="32"/>
  <c r="S939" i="32"/>
  <c r="S940" i="32"/>
  <c r="S941" i="32"/>
  <c r="S942" i="32"/>
  <c r="S943" i="32"/>
  <c r="S944" i="32"/>
  <c r="S945" i="32"/>
  <c r="S946" i="32"/>
  <c r="S947" i="32"/>
  <c r="S948" i="32"/>
  <c r="S949" i="32"/>
  <c r="S950" i="32"/>
  <c r="S951" i="32"/>
  <c r="S952" i="32"/>
  <c r="S953" i="32"/>
  <c r="S954" i="32"/>
  <c r="S955" i="32"/>
  <c r="S956" i="32"/>
  <c r="S957" i="32"/>
  <c r="S958" i="32"/>
  <c r="S959" i="32"/>
  <c r="S960" i="32"/>
  <c r="S961" i="32"/>
  <c r="S962" i="32"/>
  <c r="S963" i="32"/>
  <c r="S964" i="32"/>
  <c r="S965" i="32"/>
  <c r="S966" i="32"/>
  <c r="S967" i="32"/>
  <c r="S968" i="32"/>
  <c r="S969" i="32"/>
  <c r="S970" i="32"/>
  <c r="S971" i="32"/>
  <c r="S972" i="32"/>
  <c r="S973" i="32"/>
  <c r="S974" i="32"/>
  <c r="S975" i="32"/>
  <c r="S976" i="32"/>
  <c r="S977" i="32"/>
  <c r="S978" i="32"/>
  <c r="S979" i="32"/>
  <c r="S980" i="32"/>
  <c r="S981" i="32"/>
  <c r="S982" i="32"/>
  <c r="S983" i="32"/>
  <c r="S984" i="32"/>
  <c r="S985" i="32"/>
  <c r="S986" i="32"/>
  <c r="S987" i="32"/>
  <c r="S988" i="32"/>
  <c r="S989" i="32"/>
  <c r="S990" i="32"/>
  <c r="S991" i="32"/>
  <c r="S992" i="32"/>
  <c r="S993" i="32"/>
  <c r="S994" i="32"/>
  <c r="S995" i="32"/>
  <c r="S996" i="32"/>
  <c r="S997" i="32"/>
  <c r="S998" i="32"/>
  <c r="S999" i="32"/>
  <c r="S1000" i="32"/>
  <c r="S1001" i="32"/>
  <c r="S1002" i="32"/>
  <c r="S1003" i="32"/>
  <c r="S1004" i="32"/>
  <c r="S1005" i="32"/>
  <c r="S1006" i="32"/>
  <c r="S1007" i="32"/>
  <c r="S1008" i="32"/>
  <c r="S1009" i="32"/>
  <c r="S1010" i="32"/>
  <c r="S1011" i="32"/>
  <c r="S1012" i="32"/>
  <c r="S1013" i="32"/>
  <c r="S1014" i="32"/>
  <c r="S1015" i="32"/>
  <c r="S1016" i="32"/>
  <c r="S1017" i="32"/>
  <c r="S1018" i="32"/>
  <c r="S1019" i="32"/>
  <c r="S1020" i="32"/>
  <c r="S1021" i="32"/>
  <c r="S1022" i="32"/>
  <c r="S1023" i="32"/>
  <c r="S1024" i="32"/>
  <c r="S1025" i="32"/>
  <c r="S1026" i="32"/>
  <c r="S1027" i="32"/>
  <c r="S1028" i="32"/>
  <c r="S1029" i="32"/>
  <c r="S1030" i="32"/>
  <c r="S1031" i="32"/>
  <c r="S1032" i="32"/>
  <c r="S1033" i="32"/>
  <c r="S1034" i="32"/>
  <c r="S1035" i="32"/>
  <c r="S1036" i="32"/>
  <c r="S1037" i="32"/>
  <c r="S1038" i="32"/>
  <c r="S1039" i="32"/>
  <c r="S1040" i="32"/>
  <c r="S1041" i="32"/>
  <c r="S1042" i="32"/>
  <c r="S1043" i="32"/>
  <c r="S1044" i="32"/>
  <c r="S1045" i="32"/>
  <c r="S1046" i="32"/>
  <c r="S1047" i="32"/>
  <c r="S1048" i="32"/>
  <c r="S1049" i="32"/>
  <c r="S1050" i="32"/>
  <c r="S1051" i="32"/>
  <c r="S1052" i="32"/>
  <c r="S1053" i="32"/>
  <c r="S1054" i="32"/>
  <c r="S1055" i="32"/>
  <c r="S1056" i="32"/>
  <c r="S1057" i="32"/>
  <c r="S1058" i="32"/>
  <c r="S1059" i="32"/>
  <c r="S1060" i="32"/>
  <c r="S1061" i="32"/>
  <c r="S1062" i="32"/>
  <c r="S1063" i="32"/>
  <c r="S1064" i="32"/>
  <c r="S1065" i="32"/>
  <c r="S1066" i="32"/>
  <c r="S1067" i="32"/>
  <c r="S1068" i="32"/>
  <c r="S1069" i="32"/>
  <c r="S1070" i="32"/>
  <c r="S1071" i="32"/>
  <c r="S1072" i="32"/>
  <c r="S1073" i="32"/>
  <c r="S1074" i="32"/>
  <c r="S1075" i="32"/>
  <c r="S1076" i="32"/>
  <c r="S1077" i="32"/>
  <c r="S1078" i="32"/>
  <c r="S1079" i="32"/>
  <c r="S1080" i="32"/>
  <c r="S1081" i="32"/>
  <c r="S1082" i="32"/>
  <c r="S1083" i="32"/>
  <c r="S1084" i="32"/>
  <c r="S1085" i="32"/>
  <c r="S1086" i="32"/>
  <c r="S1087" i="32"/>
  <c r="S1088" i="32"/>
  <c r="S1089" i="32"/>
  <c r="S1090" i="32"/>
  <c r="S1091" i="32"/>
  <c r="S1092" i="32"/>
  <c r="S1093" i="32"/>
  <c r="S1094" i="32"/>
  <c r="S1095" i="32"/>
  <c r="S1096" i="32"/>
  <c r="S1097" i="32"/>
  <c r="S1098" i="32"/>
  <c r="S1099" i="32"/>
  <c r="S1100" i="32"/>
  <c r="S1101" i="32"/>
  <c r="S1102" i="32"/>
  <c r="S1103" i="32"/>
  <c r="S1104" i="32"/>
  <c r="S1105" i="32"/>
  <c r="S1106" i="32"/>
  <c r="S1107" i="32"/>
  <c r="S1108" i="32"/>
  <c r="S1109" i="32"/>
  <c r="S1110" i="32"/>
  <c r="S1111" i="32"/>
  <c r="S1112" i="32"/>
  <c r="S1113" i="32"/>
  <c r="S1114" i="32"/>
  <c r="S1115" i="32"/>
  <c r="S1116" i="32"/>
  <c r="S1117" i="32"/>
  <c r="S1118" i="32"/>
  <c r="S1119" i="32"/>
  <c r="S1120" i="32"/>
  <c r="S1121" i="32"/>
  <c r="S1122" i="32"/>
  <c r="S1123" i="32"/>
  <c r="S1124" i="32"/>
  <c r="S1125" i="32"/>
  <c r="S1126" i="32"/>
  <c r="S1127" i="32"/>
  <c r="S1128" i="32"/>
  <c r="S1129" i="32"/>
  <c r="S1130" i="32"/>
  <c r="S1131" i="32"/>
  <c r="S1132" i="32"/>
  <c r="S1133" i="32"/>
  <c r="S1134" i="32"/>
  <c r="S1135" i="32"/>
  <c r="S1136" i="32"/>
  <c r="S1137" i="32"/>
  <c r="S1138" i="32"/>
  <c r="S1139" i="32"/>
  <c r="S1140" i="32"/>
  <c r="S1141" i="32"/>
  <c r="S1142" i="32"/>
  <c r="S1143" i="32"/>
  <c r="S1144" i="32"/>
  <c r="S1145" i="32"/>
  <c r="S1146" i="32"/>
  <c r="S1147" i="32"/>
  <c r="S1148" i="32"/>
  <c r="S1149" i="32"/>
  <c r="S1150" i="32"/>
  <c r="S1151" i="32"/>
  <c r="S1152" i="32"/>
  <c r="S1153" i="32"/>
  <c r="S1154" i="32"/>
  <c r="S1155" i="32"/>
  <c r="S1156" i="32"/>
  <c r="S1157" i="32"/>
  <c r="S1158" i="32"/>
  <c r="S1159" i="32"/>
  <c r="S1160" i="32"/>
  <c r="S1161" i="32"/>
  <c r="S1162" i="32"/>
  <c r="S1163" i="32"/>
  <c r="S1164" i="32"/>
  <c r="S1165" i="32"/>
  <c r="S1166" i="32"/>
  <c r="S1167" i="32"/>
  <c r="S1168" i="32"/>
  <c r="S1169" i="32"/>
  <c r="S1170" i="32"/>
  <c r="S1171" i="32"/>
  <c r="S1172" i="32"/>
  <c r="S1173" i="32"/>
  <c r="S1174" i="32"/>
  <c r="S1175" i="32"/>
  <c r="S1176" i="32"/>
  <c r="S1177" i="32"/>
  <c r="S1178" i="32"/>
  <c r="S1179" i="32"/>
  <c r="S1180" i="32"/>
  <c r="S1181" i="32"/>
  <c r="S1182" i="32"/>
  <c r="S1183" i="32"/>
  <c r="S1184" i="32"/>
  <c r="S1185" i="32"/>
  <c r="S1186" i="32"/>
  <c r="S1187" i="32"/>
  <c r="S1188" i="32"/>
  <c r="S1189" i="32"/>
  <c r="S1190" i="32"/>
  <c r="S1191" i="32"/>
  <c r="S1192" i="32"/>
  <c r="S1193" i="32"/>
  <c r="S1194" i="32"/>
  <c r="S1195" i="32"/>
  <c r="S1196" i="32"/>
  <c r="S1197" i="32"/>
  <c r="S1198" i="32"/>
  <c r="S1199" i="32"/>
  <c r="S1200" i="32"/>
  <c r="S1201" i="32"/>
  <c r="S1202" i="32"/>
  <c r="S1203" i="32"/>
  <c r="S1204" i="32"/>
  <c r="S1205" i="32"/>
  <c r="S1206" i="32"/>
  <c r="S1207" i="32"/>
  <c r="S1208" i="32"/>
  <c r="S1209" i="32"/>
  <c r="S1210" i="32"/>
  <c r="S1211" i="32"/>
  <c r="S1212" i="32"/>
  <c r="S1213" i="32"/>
  <c r="S1214" i="32"/>
  <c r="S1215" i="32"/>
  <c r="S1216" i="32"/>
  <c r="S1217" i="32"/>
  <c r="S1218" i="32"/>
  <c r="S1219" i="32"/>
  <c r="S1220" i="32"/>
  <c r="S1221" i="32"/>
  <c r="S1222" i="32"/>
  <c r="S1223" i="32"/>
  <c r="S1224" i="32"/>
  <c r="S1225" i="32"/>
  <c r="S1226" i="32"/>
  <c r="S1227" i="32"/>
  <c r="S1228" i="32"/>
  <c r="S1229" i="32"/>
  <c r="S1230" i="32"/>
  <c r="S1231" i="32"/>
  <c r="S1232" i="32"/>
  <c r="S1233" i="32"/>
  <c r="S1234" i="32"/>
  <c r="S1235" i="32"/>
  <c r="S1236" i="32"/>
  <c r="S1237" i="32"/>
  <c r="S1238" i="32"/>
  <c r="S1239" i="32"/>
  <c r="S1240" i="32"/>
  <c r="S1241" i="32"/>
  <c r="S1242" i="32"/>
  <c r="S1243" i="32"/>
  <c r="S1244" i="32"/>
  <c r="S1245" i="32"/>
  <c r="S1246" i="32"/>
  <c r="S1247" i="32"/>
  <c r="S1248" i="32"/>
  <c r="S1249" i="32"/>
  <c r="S1250" i="32"/>
  <c r="S1251" i="32"/>
  <c r="S1252" i="32"/>
  <c r="S1253" i="32"/>
  <c r="S1254" i="32"/>
  <c r="S1255" i="32"/>
  <c r="S1256" i="32"/>
  <c r="S1257" i="32"/>
  <c r="S1258" i="32"/>
  <c r="S1259" i="32"/>
  <c r="S1260" i="32"/>
  <c r="S1261" i="32"/>
  <c r="S1262" i="32"/>
  <c r="S1263" i="32"/>
  <c r="S1264" i="32"/>
  <c r="S1265" i="32"/>
  <c r="S1266" i="32"/>
  <c r="S1267" i="32"/>
  <c r="S1268" i="32"/>
  <c r="S1269" i="32"/>
  <c r="S1270" i="32"/>
  <c r="S1271" i="32"/>
  <c r="S1272" i="32"/>
  <c r="S1273" i="32"/>
  <c r="S1274" i="32"/>
  <c r="S1275" i="32"/>
  <c r="S1276" i="32"/>
  <c r="S1277" i="32"/>
  <c r="S1278" i="32"/>
  <c r="S1279" i="32"/>
  <c r="S1280" i="32"/>
  <c r="S1281" i="32"/>
  <c r="S1282" i="32"/>
  <c r="S1283" i="32"/>
  <c r="S1284" i="32"/>
  <c r="S1285" i="32"/>
  <c r="S1286" i="32"/>
  <c r="S1287" i="32"/>
  <c r="S1288" i="32"/>
  <c r="S1289" i="32"/>
  <c r="S1290" i="32"/>
  <c r="S1291" i="32"/>
  <c r="S1292" i="32"/>
  <c r="S1293" i="32"/>
  <c r="S1294" i="32"/>
  <c r="S1295" i="32"/>
  <c r="S1296" i="32"/>
  <c r="S1297" i="32"/>
  <c r="S1298" i="32"/>
  <c r="S1299" i="32"/>
  <c r="S1300" i="32"/>
  <c r="S1301" i="32"/>
  <c r="S1302" i="32"/>
  <c r="S1303" i="32"/>
  <c r="S1304" i="32"/>
  <c r="S1305" i="32"/>
  <c r="S1306" i="32"/>
  <c r="S1307" i="32"/>
  <c r="S1308" i="32"/>
  <c r="S1309" i="32"/>
  <c r="S1310" i="32"/>
  <c r="S1311" i="32"/>
  <c r="S1312" i="32"/>
  <c r="S1313" i="32"/>
  <c r="S1314" i="32"/>
  <c r="S1315" i="32"/>
  <c r="S1316" i="32"/>
  <c r="S1317" i="32"/>
  <c r="S1318" i="32"/>
  <c r="S1319" i="32"/>
  <c r="S1320" i="32"/>
  <c r="S1321" i="32"/>
  <c r="S1322" i="32"/>
  <c r="S1323" i="32"/>
  <c r="S1324" i="32"/>
  <c r="S1325" i="32"/>
  <c r="S1326" i="32"/>
  <c r="S1327" i="32"/>
  <c r="S1328" i="32"/>
  <c r="S1329" i="32"/>
  <c r="S1330" i="32"/>
  <c r="S1331" i="32"/>
  <c r="S1332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76" i="32"/>
  <c r="P77" i="32"/>
  <c r="P78" i="32"/>
  <c r="P79" i="32"/>
  <c r="P80" i="32"/>
  <c r="P81" i="32"/>
  <c r="P82" i="32"/>
  <c r="P83" i="32"/>
  <c r="P84" i="32"/>
  <c r="P85" i="32"/>
  <c r="P86" i="32"/>
  <c r="P87" i="32"/>
  <c r="P88" i="32"/>
  <c r="P89" i="32"/>
  <c r="P90" i="32"/>
  <c r="P91" i="32"/>
  <c r="P92" i="32"/>
  <c r="P93" i="32"/>
  <c r="P94" i="32"/>
  <c r="P95" i="32"/>
  <c r="P96" i="32"/>
  <c r="P97" i="32"/>
  <c r="P98" i="32"/>
  <c r="P99" i="32"/>
  <c r="P100" i="32"/>
  <c r="P101" i="32"/>
  <c r="P102" i="32"/>
  <c r="P103" i="32"/>
  <c r="P104" i="32"/>
  <c r="P105" i="32"/>
  <c r="P106" i="32"/>
  <c r="P107" i="32"/>
  <c r="P108" i="32"/>
  <c r="P109" i="32"/>
  <c r="P110" i="32"/>
  <c r="P111" i="32"/>
  <c r="P112" i="32"/>
  <c r="P113" i="32"/>
  <c r="P114" i="32"/>
  <c r="P115" i="32"/>
  <c r="P116" i="32"/>
  <c r="P117" i="32"/>
  <c r="P118" i="32"/>
  <c r="P119" i="32"/>
  <c r="P120" i="32"/>
  <c r="P121" i="32"/>
  <c r="P122" i="32"/>
  <c r="P123" i="32"/>
  <c r="P124" i="32"/>
  <c r="P125" i="32"/>
  <c r="P126" i="32"/>
  <c r="P127" i="32"/>
  <c r="P128" i="32"/>
  <c r="P129" i="32"/>
  <c r="P130" i="32"/>
  <c r="P131" i="32"/>
  <c r="P132" i="32"/>
  <c r="P133" i="32"/>
  <c r="P134" i="32"/>
  <c r="P135" i="32"/>
  <c r="P136" i="32"/>
  <c r="P137" i="32"/>
  <c r="P138" i="32"/>
  <c r="P139" i="32"/>
  <c r="P140" i="32"/>
  <c r="P141" i="32"/>
  <c r="P142" i="32"/>
  <c r="P143" i="32"/>
  <c r="P144" i="32"/>
  <c r="P145" i="32"/>
  <c r="P146" i="32"/>
  <c r="P147" i="32"/>
  <c r="P148" i="32"/>
  <c r="P149" i="32"/>
  <c r="P150" i="32"/>
  <c r="P151" i="32"/>
  <c r="P152" i="32"/>
  <c r="P153" i="32"/>
  <c r="P154" i="32"/>
  <c r="P155" i="32"/>
  <c r="P156" i="32"/>
  <c r="P157" i="32"/>
  <c r="P158" i="32"/>
  <c r="P159" i="32"/>
  <c r="P160" i="32"/>
  <c r="P161" i="32"/>
  <c r="P162" i="32"/>
  <c r="P163" i="32"/>
  <c r="P164" i="32"/>
  <c r="P165" i="32"/>
  <c r="P166" i="32"/>
  <c r="P167" i="32"/>
  <c r="P168" i="32"/>
  <c r="P169" i="32"/>
  <c r="P170" i="32"/>
  <c r="P171" i="32"/>
  <c r="P172" i="32"/>
  <c r="P173" i="32"/>
  <c r="P174" i="32"/>
  <c r="P175" i="32"/>
  <c r="P176" i="32"/>
  <c r="P177" i="32"/>
  <c r="P178" i="32"/>
  <c r="P179" i="32"/>
  <c r="P180" i="32"/>
  <c r="P181" i="32"/>
  <c r="P182" i="32"/>
  <c r="P183" i="32"/>
  <c r="P184" i="32"/>
  <c r="P185" i="32"/>
  <c r="P186" i="32"/>
  <c r="P187" i="32"/>
  <c r="P188" i="32"/>
  <c r="P189" i="32"/>
  <c r="P190" i="32"/>
  <c r="P191" i="32"/>
  <c r="P192" i="32"/>
  <c r="P193" i="32"/>
  <c r="P194" i="32"/>
  <c r="P195" i="32"/>
  <c r="P196" i="32"/>
  <c r="P197" i="32"/>
  <c r="P198" i="32"/>
  <c r="P199" i="32"/>
  <c r="P200" i="32"/>
  <c r="P201" i="32"/>
  <c r="P202" i="32"/>
  <c r="P203" i="32"/>
  <c r="P204" i="32"/>
  <c r="P205" i="32"/>
  <c r="P206" i="32"/>
  <c r="P207" i="32"/>
  <c r="P208" i="32"/>
  <c r="P209" i="32"/>
  <c r="P210" i="32"/>
  <c r="P211" i="32"/>
  <c r="P212" i="32"/>
  <c r="P213" i="32"/>
  <c r="P214" i="32"/>
  <c r="P215" i="32"/>
  <c r="P216" i="32"/>
  <c r="P217" i="32"/>
  <c r="P218" i="32"/>
  <c r="P219" i="32"/>
  <c r="P220" i="32"/>
  <c r="P221" i="32"/>
  <c r="P222" i="32"/>
  <c r="P223" i="32"/>
  <c r="P224" i="32"/>
  <c r="P225" i="32"/>
  <c r="P226" i="32"/>
  <c r="P227" i="32"/>
  <c r="P228" i="32"/>
  <c r="P229" i="32"/>
  <c r="P230" i="32"/>
  <c r="P231" i="32"/>
  <c r="P232" i="32"/>
  <c r="P233" i="32"/>
  <c r="P234" i="32"/>
  <c r="P235" i="32"/>
  <c r="P236" i="32"/>
  <c r="P237" i="32"/>
  <c r="P238" i="32"/>
  <c r="P239" i="32"/>
  <c r="P240" i="32"/>
  <c r="P241" i="32"/>
  <c r="P242" i="32"/>
  <c r="P243" i="32"/>
  <c r="P244" i="32"/>
  <c r="P245" i="32"/>
  <c r="P246" i="32"/>
  <c r="P247" i="32"/>
  <c r="P248" i="32"/>
  <c r="P249" i="32"/>
  <c r="P250" i="32"/>
  <c r="P251" i="32"/>
  <c r="P252" i="32"/>
  <c r="P253" i="32"/>
  <c r="P254" i="32"/>
  <c r="P255" i="32"/>
  <c r="P256" i="32"/>
  <c r="P257" i="32"/>
  <c r="P258" i="32"/>
  <c r="P259" i="32"/>
  <c r="P260" i="32"/>
  <c r="P261" i="32"/>
  <c r="P262" i="32"/>
  <c r="P263" i="32"/>
  <c r="P264" i="32"/>
  <c r="P265" i="32"/>
  <c r="P266" i="32"/>
  <c r="P267" i="32"/>
  <c r="P268" i="32"/>
  <c r="P269" i="32"/>
  <c r="P270" i="32"/>
  <c r="P271" i="32"/>
  <c r="P272" i="32"/>
  <c r="P273" i="32"/>
  <c r="P274" i="32"/>
  <c r="P275" i="32"/>
  <c r="P276" i="32"/>
  <c r="P277" i="32"/>
  <c r="P278" i="32"/>
  <c r="P279" i="32"/>
  <c r="P280" i="32"/>
  <c r="P281" i="32"/>
  <c r="P282" i="32"/>
  <c r="P283" i="32"/>
  <c r="P284" i="32"/>
  <c r="P285" i="32"/>
  <c r="P286" i="32"/>
  <c r="P287" i="32"/>
  <c r="P288" i="32"/>
  <c r="P289" i="32"/>
  <c r="P290" i="32"/>
  <c r="P291" i="32"/>
  <c r="P292" i="32"/>
  <c r="P293" i="32"/>
  <c r="P294" i="32"/>
  <c r="P295" i="32"/>
  <c r="P296" i="32"/>
  <c r="P297" i="32"/>
  <c r="P298" i="32"/>
  <c r="P299" i="32"/>
  <c r="P300" i="32"/>
  <c r="P301" i="32"/>
  <c r="P302" i="32"/>
  <c r="P303" i="32"/>
  <c r="P304" i="32"/>
  <c r="P305" i="32"/>
  <c r="P306" i="32"/>
  <c r="P307" i="32"/>
  <c r="P308" i="32"/>
  <c r="P309" i="32"/>
  <c r="P310" i="32"/>
  <c r="P311" i="32"/>
  <c r="P312" i="32"/>
  <c r="P313" i="32"/>
  <c r="P314" i="32"/>
  <c r="P315" i="32"/>
  <c r="P316" i="32"/>
  <c r="P317" i="32"/>
  <c r="P318" i="32"/>
  <c r="P319" i="32"/>
  <c r="P320" i="32"/>
  <c r="P321" i="32"/>
  <c r="P322" i="32"/>
  <c r="P323" i="32"/>
  <c r="P324" i="32"/>
  <c r="P325" i="32"/>
  <c r="P326" i="32"/>
  <c r="P327" i="32"/>
  <c r="P328" i="32"/>
  <c r="P329" i="32"/>
  <c r="P330" i="32"/>
  <c r="P331" i="32"/>
  <c r="P332" i="32"/>
  <c r="P333" i="32"/>
  <c r="P334" i="32"/>
  <c r="P335" i="32"/>
  <c r="P336" i="32"/>
  <c r="P337" i="32"/>
  <c r="P338" i="32"/>
  <c r="P339" i="32"/>
  <c r="P340" i="32"/>
  <c r="P341" i="32"/>
  <c r="P342" i="32"/>
  <c r="P343" i="32"/>
  <c r="P344" i="32"/>
  <c r="P345" i="32"/>
  <c r="P346" i="32"/>
  <c r="P347" i="32"/>
  <c r="P348" i="32"/>
  <c r="P349" i="32"/>
  <c r="P350" i="32"/>
  <c r="P351" i="32"/>
  <c r="P352" i="32"/>
  <c r="P353" i="32"/>
  <c r="P354" i="32"/>
  <c r="P355" i="32"/>
  <c r="P356" i="32"/>
  <c r="P357" i="32"/>
  <c r="P358" i="32"/>
  <c r="P359" i="32"/>
  <c r="P360" i="32"/>
  <c r="P361" i="32"/>
  <c r="P362" i="32"/>
  <c r="P363" i="32"/>
  <c r="P364" i="32"/>
  <c r="P365" i="32"/>
  <c r="P366" i="32"/>
  <c r="P367" i="32"/>
  <c r="P368" i="32"/>
  <c r="P369" i="32"/>
  <c r="P370" i="32"/>
  <c r="P371" i="32"/>
  <c r="P372" i="32"/>
  <c r="P373" i="32"/>
  <c r="P374" i="32"/>
  <c r="P375" i="32"/>
  <c r="P376" i="32"/>
  <c r="P377" i="32"/>
  <c r="P378" i="32"/>
  <c r="P379" i="32"/>
  <c r="P380" i="32"/>
  <c r="P381" i="32"/>
  <c r="P382" i="32"/>
  <c r="P383" i="32"/>
  <c r="P384" i="32"/>
  <c r="P385" i="32"/>
  <c r="P386" i="32"/>
  <c r="P387" i="32"/>
  <c r="P388" i="32"/>
  <c r="P389" i="32"/>
  <c r="P390" i="32"/>
  <c r="P391" i="32"/>
  <c r="P392" i="32"/>
  <c r="P393" i="32"/>
  <c r="P394" i="32"/>
  <c r="P395" i="32"/>
  <c r="P396" i="32"/>
  <c r="P397" i="32"/>
  <c r="P398" i="32"/>
  <c r="P399" i="32"/>
  <c r="P400" i="32"/>
  <c r="P401" i="32"/>
  <c r="P402" i="32"/>
  <c r="P403" i="32"/>
  <c r="P404" i="32"/>
  <c r="P405" i="32"/>
  <c r="P406" i="32"/>
  <c r="P407" i="32"/>
  <c r="P408" i="32"/>
  <c r="P409" i="32"/>
  <c r="P410" i="32"/>
  <c r="P411" i="32"/>
  <c r="P412" i="32"/>
  <c r="P413" i="32"/>
  <c r="P414" i="32"/>
  <c r="P415" i="32"/>
  <c r="P416" i="32"/>
  <c r="P417" i="32"/>
  <c r="P418" i="32"/>
  <c r="P419" i="32"/>
  <c r="P420" i="32"/>
  <c r="P421" i="32"/>
  <c r="P422" i="32"/>
  <c r="P423" i="32"/>
  <c r="P424" i="32"/>
  <c r="P425" i="32"/>
  <c r="P426" i="32"/>
  <c r="P427" i="32"/>
  <c r="P428" i="32"/>
  <c r="P429" i="32"/>
  <c r="P430" i="32"/>
  <c r="P431" i="32"/>
  <c r="P432" i="32"/>
  <c r="P433" i="32"/>
  <c r="P434" i="32"/>
  <c r="P435" i="32"/>
  <c r="P436" i="32"/>
  <c r="P437" i="32"/>
  <c r="P438" i="32"/>
  <c r="P439" i="32"/>
  <c r="P440" i="32"/>
  <c r="P441" i="32"/>
  <c r="P442" i="32"/>
  <c r="P443" i="32"/>
  <c r="P444" i="32"/>
  <c r="P445" i="32"/>
  <c r="P446" i="32"/>
  <c r="P447" i="32"/>
  <c r="P448" i="32"/>
  <c r="P449" i="32"/>
  <c r="P450" i="32"/>
  <c r="P451" i="32"/>
  <c r="P452" i="32"/>
  <c r="P453" i="32"/>
  <c r="P454" i="32"/>
  <c r="P455" i="32"/>
  <c r="P456" i="32"/>
  <c r="P457" i="32"/>
  <c r="P458" i="32"/>
  <c r="P459" i="32"/>
  <c r="P460" i="32"/>
  <c r="P461" i="32"/>
  <c r="P462" i="32"/>
  <c r="P463" i="32"/>
  <c r="P464" i="32"/>
  <c r="P465" i="32"/>
  <c r="P466" i="32"/>
  <c r="P467" i="32"/>
  <c r="P468" i="32"/>
  <c r="P469" i="32"/>
  <c r="P470" i="32"/>
  <c r="P471" i="32"/>
  <c r="P472" i="32"/>
  <c r="P473" i="32"/>
  <c r="P474" i="32"/>
  <c r="P475" i="32"/>
  <c r="P476" i="32"/>
  <c r="P477" i="32"/>
  <c r="P478" i="32"/>
  <c r="P479" i="32"/>
  <c r="P480" i="32"/>
  <c r="P481" i="32"/>
  <c r="P482" i="32"/>
  <c r="P483" i="32"/>
  <c r="P484" i="32"/>
  <c r="P485" i="32"/>
  <c r="P486" i="32"/>
  <c r="P487" i="32"/>
  <c r="P488" i="32"/>
  <c r="P489" i="32"/>
  <c r="P490" i="32"/>
  <c r="P491" i="32"/>
  <c r="P492" i="32"/>
  <c r="P493" i="32"/>
  <c r="P494" i="32"/>
  <c r="P495" i="32"/>
  <c r="P496" i="32"/>
  <c r="P497" i="32"/>
  <c r="P498" i="32"/>
  <c r="P499" i="32"/>
  <c r="P500" i="32"/>
  <c r="P501" i="32"/>
  <c r="P502" i="32"/>
  <c r="P503" i="32"/>
  <c r="P504" i="32"/>
  <c r="P505" i="32"/>
  <c r="P506" i="32"/>
  <c r="P507" i="32"/>
  <c r="P508" i="32"/>
  <c r="P509" i="32"/>
  <c r="P510" i="32"/>
  <c r="P511" i="32"/>
  <c r="P512" i="32"/>
  <c r="P513" i="32"/>
  <c r="P514" i="32"/>
  <c r="P515" i="32"/>
  <c r="P516" i="32"/>
  <c r="P517" i="32"/>
  <c r="P518" i="32"/>
  <c r="P519" i="32"/>
  <c r="P520" i="32"/>
  <c r="P521" i="32"/>
  <c r="P522" i="32"/>
  <c r="P523" i="32"/>
  <c r="P524" i="32"/>
  <c r="P525" i="32"/>
  <c r="P526" i="32"/>
  <c r="P527" i="32"/>
  <c r="P528" i="32"/>
  <c r="P529" i="32"/>
  <c r="P530" i="32"/>
  <c r="P531" i="32"/>
  <c r="P532" i="32"/>
  <c r="P533" i="32"/>
  <c r="P534" i="32"/>
  <c r="P535" i="32"/>
  <c r="P536" i="32"/>
  <c r="P537" i="32"/>
  <c r="P538" i="32"/>
  <c r="P539" i="32"/>
  <c r="P540" i="32"/>
  <c r="P541" i="32"/>
  <c r="P542" i="32"/>
  <c r="P543" i="32"/>
  <c r="P544" i="32"/>
  <c r="P545" i="32"/>
  <c r="P546" i="32"/>
  <c r="P547" i="32"/>
  <c r="P548" i="32"/>
  <c r="P549" i="32"/>
  <c r="P550" i="32"/>
  <c r="P551" i="32"/>
  <c r="P552" i="32"/>
  <c r="P553" i="32"/>
  <c r="P554" i="32"/>
  <c r="P555" i="32"/>
  <c r="P556" i="32"/>
  <c r="P557" i="32"/>
  <c r="P558" i="32"/>
  <c r="P559" i="32"/>
  <c r="P560" i="32"/>
  <c r="P561" i="32"/>
  <c r="P562" i="32"/>
  <c r="P563" i="32"/>
  <c r="P564" i="32"/>
  <c r="P565" i="32"/>
  <c r="P566" i="32"/>
  <c r="P567" i="32"/>
  <c r="P568" i="32"/>
  <c r="P569" i="32"/>
  <c r="P570" i="32"/>
  <c r="P571" i="32"/>
  <c r="P572" i="32"/>
  <c r="P573" i="32"/>
  <c r="P574" i="32"/>
  <c r="P575" i="32"/>
  <c r="P576" i="32"/>
  <c r="P577" i="32"/>
  <c r="P578" i="32"/>
  <c r="P579" i="32"/>
  <c r="P580" i="32"/>
  <c r="P581" i="32"/>
  <c r="P582" i="32"/>
  <c r="P583" i="32"/>
  <c r="P584" i="32"/>
  <c r="P585" i="32"/>
  <c r="P586" i="32"/>
  <c r="P587" i="32"/>
  <c r="P588" i="32"/>
  <c r="P589" i="32"/>
  <c r="P590" i="32"/>
  <c r="P591" i="32"/>
  <c r="P592" i="32"/>
  <c r="P593" i="32"/>
  <c r="P594" i="32"/>
  <c r="P595" i="32"/>
  <c r="P596" i="32"/>
  <c r="P597" i="32"/>
  <c r="P598" i="32"/>
  <c r="P599" i="32"/>
  <c r="P600" i="32"/>
  <c r="P601" i="32"/>
  <c r="P602" i="32"/>
  <c r="P603" i="32"/>
  <c r="P604" i="32"/>
  <c r="P605" i="32"/>
  <c r="P606" i="32"/>
  <c r="P607" i="32"/>
  <c r="P608" i="32"/>
  <c r="P609" i="32"/>
  <c r="P610" i="32"/>
  <c r="P611" i="32"/>
  <c r="P612" i="32"/>
  <c r="P613" i="32"/>
  <c r="P614" i="32"/>
  <c r="P615" i="32"/>
  <c r="P616" i="32"/>
  <c r="P617" i="32"/>
  <c r="P618" i="32"/>
  <c r="P619" i="32"/>
  <c r="P620" i="32"/>
  <c r="P621" i="32"/>
  <c r="P622" i="32"/>
  <c r="P623" i="32"/>
  <c r="P624" i="32"/>
  <c r="P625" i="32"/>
  <c r="P626" i="32"/>
  <c r="P627" i="32"/>
  <c r="P628" i="32"/>
  <c r="P629" i="32"/>
  <c r="P630" i="32"/>
  <c r="P631" i="32"/>
  <c r="P632" i="32"/>
  <c r="P633" i="32"/>
  <c r="P634" i="32"/>
  <c r="P635" i="32"/>
  <c r="P636" i="32"/>
  <c r="P637" i="32"/>
  <c r="P638" i="32"/>
  <c r="P639" i="32"/>
  <c r="P640" i="32"/>
  <c r="P641" i="32"/>
  <c r="P642" i="32"/>
  <c r="P643" i="32"/>
  <c r="P644" i="32"/>
  <c r="P645" i="32"/>
  <c r="P646" i="32"/>
  <c r="P647" i="32"/>
  <c r="P648" i="32"/>
  <c r="P649" i="32"/>
  <c r="P650" i="32"/>
  <c r="P651" i="32"/>
  <c r="P652" i="32"/>
  <c r="P653" i="32"/>
  <c r="P654" i="32"/>
  <c r="P655" i="32"/>
  <c r="P656" i="32"/>
  <c r="P657" i="32"/>
  <c r="P658" i="32"/>
  <c r="P659" i="32"/>
  <c r="P660" i="32"/>
  <c r="P661" i="32"/>
  <c r="P662" i="32"/>
  <c r="P663" i="32"/>
  <c r="P664" i="32"/>
  <c r="P665" i="32"/>
  <c r="P666" i="32"/>
  <c r="P667" i="32"/>
  <c r="P668" i="32"/>
  <c r="P669" i="32"/>
  <c r="P670" i="32"/>
  <c r="P671" i="32"/>
  <c r="P672" i="32"/>
  <c r="P673" i="32"/>
  <c r="P674" i="32"/>
  <c r="P675" i="32"/>
  <c r="P676" i="32"/>
  <c r="P677" i="32"/>
  <c r="P678" i="32"/>
  <c r="P679" i="32"/>
  <c r="P680" i="32"/>
  <c r="P681" i="32"/>
  <c r="P682" i="32"/>
  <c r="P683" i="32"/>
  <c r="P684" i="32"/>
  <c r="P685" i="32"/>
  <c r="P686" i="32"/>
  <c r="P687" i="32"/>
  <c r="P688" i="32"/>
  <c r="P689" i="32"/>
  <c r="P690" i="32"/>
  <c r="P691" i="32"/>
  <c r="P692" i="32"/>
  <c r="P693" i="32"/>
  <c r="P694" i="32"/>
  <c r="P695" i="32"/>
  <c r="P696" i="32"/>
  <c r="P697" i="32"/>
  <c r="P698" i="32"/>
  <c r="P699" i="32"/>
  <c r="P700" i="32"/>
  <c r="P701" i="32"/>
  <c r="P702" i="32"/>
  <c r="P703" i="32"/>
  <c r="P704" i="32"/>
  <c r="P705" i="32"/>
  <c r="P706" i="32"/>
  <c r="P707" i="32"/>
  <c r="P708" i="32"/>
  <c r="P709" i="32"/>
  <c r="P710" i="32"/>
  <c r="P711" i="32"/>
  <c r="P712" i="32"/>
  <c r="P713" i="32"/>
  <c r="P714" i="32"/>
  <c r="P715" i="32"/>
  <c r="P716" i="32"/>
  <c r="P717" i="32"/>
  <c r="P718" i="32"/>
  <c r="P719" i="32"/>
  <c r="P720" i="32"/>
  <c r="P721" i="32"/>
  <c r="P722" i="32"/>
  <c r="P723" i="32"/>
  <c r="P724" i="32"/>
  <c r="P725" i="32"/>
  <c r="P726" i="32"/>
  <c r="P727" i="32"/>
  <c r="P728" i="32"/>
  <c r="P729" i="32"/>
  <c r="P730" i="32"/>
  <c r="P731" i="32"/>
  <c r="P732" i="32"/>
  <c r="P733" i="32"/>
  <c r="P734" i="32"/>
  <c r="P735" i="32"/>
  <c r="P736" i="32"/>
  <c r="P737" i="32"/>
  <c r="P738" i="32"/>
  <c r="P739" i="32"/>
  <c r="P740" i="32"/>
  <c r="P741" i="32"/>
  <c r="P742" i="32"/>
  <c r="P743" i="32"/>
  <c r="P744" i="32"/>
  <c r="P745" i="32"/>
  <c r="P746" i="32"/>
  <c r="P747" i="32"/>
  <c r="P748" i="32"/>
  <c r="P749" i="32"/>
  <c r="P750" i="32"/>
  <c r="P751" i="32"/>
  <c r="P752" i="32"/>
  <c r="P753" i="32"/>
  <c r="P754" i="32"/>
  <c r="P755" i="32"/>
  <c r="P756" i="32"/>
  <c r="P757" i="32"/>
  <c r="P758" i="32"/>
  <c r="P759" i="32"/>
  <c r="P760" i="32"/>
  <c r="P761" i="32"/>
  <c r="P762" i="32"/>
  <c r="P763" i="32"/>
  <c r="P764" i="32"/>
  <c r="P765" i="32"/>
  <c r="P766" i="32"/>
  <c r="P767" i="32"/>
  <c r="P768" i="32"/>
  <c r="P769" i="32"/>
  <c r="P770" i="32"/>
  <c r="P771" i="32"/>
  <c r="P772" i="32"/>
  <c r="P773" i="32"/>
  <c r="P774" i="32"/>
  <c r="P775" i="32"/>
  <c r="P776" i="32"/>
  <c r="P777" i="32"/>
  <c r="P778" i="32"/>
  <c r="P779" i="32"/>
  <c r="P780" i="32"/>
  <c r="P781" i="32"/>
  <c r="P782" i="32"/>
  <c r="P783" i="32"/>
  <c r="P784" i="32"/>
  <c r="P785" i="32"/>
  <c r="P786" i="32"/>
  <c r="P787" i="32"/>
  <c r="P788" i="32"/>
  <c r="P789" i="32"/>
  <c r="P790" i="32"/>
  <c r="P791" i="32"/>
  <c r="P792" i="32"/>
  <c r="P793" i="32"/>
  <c r="P794" i="32"/>
  <c r="P795" i="32"/>
  <c r="P796" i="32"/>
  <c r="P797" i="32"/>
  <c r="P798" i="32"/>
  <c r="P799" i="32"/>
  <c r="P800" i="32"/>
  <c r="P801" i="32"/>
  <c r="P802" i="32"/>
  <c r="P803" i="32"/>
  <c r="P804" i="32"/>
  <c r="P805" i="32"/>
  <c r="P806" i="32"/>
  <c r="P807" i="32"/>
  <c r="P808" i="32"/>
  <c r="P809" i="32"/>
  <c r="P810" i="32"/>
  <c r="P811" i="32"/>
  <c r="P812" i="32"/>
  <c r="P813" i="32"/>
  <c r="P814" i="32"/>
  <c r="P815" i="32"/>
  <c r="P816" i="32"/>
  <c r="P817" i="32"/>
  <c r="P818" i="32"/>
  <c r="P819" i="32"/>
  <c r="P820" i="32"/>
  <c r="P821" i="32"/>
  <c r="P822" i="32"/>
  <c r="P823" i="32"/>
  <c r="P824" i="32"/>
  <c r="P825" i="32"/>
  <c r="P826" i="32"/>
  <c r="P827" i="32"/>
  <c r="P828" i="32"/>
  <c r="P829" i="32"/>
  <c r="P830" i="32"/>
  <c r="P831" i="32"/>
  <c r="P832" i="32"/>
  <c r="P833" i="32"/>
  <c r="P834" i="32"/>
  <c r="P835" i="32"/>
  <c r="P836" i="32"/>
  <c r="P837" i="32"/>
  <c r="P838" i="32"/>
  <c r="P839" i="32"/>
  <c r="P840" i="32"/>
  <c r="P841" i="32"/>
  <c r="P842" i="32"/>
  <c r="P843" i="32"/>
  <c r="P844" i="32"/>
  <c r="P845" i="32"/>
  <c r="P846" i="32"/>
  <c r="P847" i="32"/>
  <c r="P848" i="32"/>
  <c r="P849" i="32"/>
  <c r="P850" i="32"/>
  <c r="P851" i="32"/>
  <c r="P852" i="32"/>
  <c r="P853" i="32"/>
  <c r="P854" i="32"/>
  <c r="P855" i="32"/>
  <c r="P856" i="32"/>
  <c r="P857" i="32"/>
  <c r="P858" i="32"/>
  <c r="P859" i="32"/>
  <c r="P860" i="32"/>
  <c r="P861" i="32"/>
  <c r="P862" i="32"/>
  <c r="P863" i="32"/>
  <c r="P864" i="32"/>
  <c r="P865" i="32"/>
  <c r="P866" i="32"/>
  <c r="P867" i="32"/>
  <c r="P868" i="32"/>
  <c r="P869" i="32"/>
  <c r="P870" i="32"/>
  <c r="P871" i="32"/>
  <c r="P872" i="32"/>
  <c r="P873" i="32"/>
  <c r="P874" i="32"/>
  <c r="P875" i="32"/>
  <c r="P876" i="32"/>
  <c r="P877" i="32"/>
  <c r="P878" i="32"/>
  <c r="P879" i="32"/>
  <c r="P880" i="32"/>
  <c r="P881" i="32"/>
  <c r="P882" i="32"/>
  <c r="P883" i="32"/>
  <c r="P884" i="32"/>
  <c r="P885" i="32"/>
  <c r="P886" i="32"/>
  <c r="P887" i="32"/>
  <c r="P888" i="32"/>
  <c r="P889" i="32"/>
  <c r="P890" i="32"/>
  <c r="P891" i="32"/>
  <c r="P892" i="32"/>
  <c r="P893" i="32"/>
  <c r="P894" i="32"/>
  <c r="P895" i="32"/>
  <c r="P896" i="32"/>
  <c r="P897" i="32"/>
  <c r="P898" i="32"/>
  <c r="P899" i="32"/>
  <c r="P900" i="32"/>
  <c r="P901" i="32"/>
  <c r="P902" i="32"/>
  <c r="P903" i="32"/>
  <c r="P904" i="32"/>
  <c r="P905" i="32"/>
  <c r="P906" i="32"/>
  <c r="P907" i="32"/>
  <c r="P908" i="32"/>
  <c r="P909" i="32"/>
  <c r="P910" i="32"/>
  <c r="P911" i="32"/>
  <c r="P912" i="32"/>
  <c r="P913" i="32"/>
  <c r="P914" i="32"/>
  <c r="P915" i="32"/>
  <c r="P916" i="32"/>
  <c r="P917" i="32"/>
  <c r="P918" i="32"/>
  <c r="P919" i="32"/>
  <c r="P920" i="32"/>
  <c r="P921" i="32"/>
  <c r="P922" i="32"/>
  <c r="P923" i="32"/>
  <c r="P924" i="32"/>
  <c r="P925" i="32"/>
  <c r="P926" i="32"/>
  <c r="P927" i="32"/>
  <c r="P928" i="32"/>
  <c r="P929" i="32"/>
  <c r="P930" i="32"/>
  <c r="P931" i="32"/>
  <c r="P932" i="32"/>
  <c r="P933" i="32"/>
  <c r="P934" i="32"/>
  <c r="P935" i="32"/>
  <c r="P936" i="32"/>
  <c r="P937" i="32"/>
  <c r="P938" i="32"/>
  <c r="P939" i="32"/>
  <c r="P940" i="32"/>
  <c r="P941" i="32"/>
  <c r="P942" i="32"/>
  <c r="P943" i="32"/>
  <c r="P944" i="32"/>
  <c r="P945" i="32"/>
  <c r="P946" i="32"/>
  <c r="P947" i="32"/>
  <c r="P948" i="32"/>
  <c r="P949" i="32"/>
  <c r="P950" i="32"/>
  <c r="P951" i="32"/>
  <c r="P952" i="32"/>
  <c r="P953" i="32"/>
  <c r="P954" i="32"/>
  <c r="P955" i="32"/>
  <c r="P956" i="32"/>
  <c r="P957" i="32"/>
  <c r="P958" i="32"/>
  <c r="P959" i="32"/>
  <c r="P960" i="32"/>
  <c r="P961" i="32"/>
  <c r="P962" i="32"/>
  <c r="P963" i="32"/>
  <c r="P964" i="32"/>
  <c r="P965" i="32"/>
  <c r="P966" i="32"/>
  <c r="P967" i="32"/>
  <c r="P968" i="32"/>
  <c r="P969" i="32"/>
  <c r="P970" i="32"/>
  <c r="P971" i="32"/>
  <c r="P972" i="32"/>
  <c r="P973" i="32"/>
  <c r="P974" i="32"/>
  <c r="P975" i="32"/>
  <c r="P976" i="32"/>
  <c r="P977" i="32"/>
  <c r="P978" i="32"/>
  <c r="P979" i="32"/>
  <c r="P980" i="32"/>
  <c r="P981" i="32"/>
  <c r="P982" i="32"/>
  <c r="P983" i="32"/>
  <c r="P984" i="32"/>
  <c r="P985" i="32"/>
  <c r="P986" i="32"/>
  <c r="P987" i="32"/>
  <c r="P988" i="32"/>
  <c r="P989" i="32"/>
  <c r="P990" i="32"/>
  <c r="P991" i="32"/>
  <c r="P992" i="32"/>
  <c r="P993" i="32"/>
  <c r="P994" i="32"/>
  <c r="P995" i="32"/>
  <c r="P996" i="32"/>
  <c r="P997" i="32"/>
  <c r="P998" i="32"/>
  <c r="P999" i="32"/>
  <c r="P1000" i="32"/>
  <c r="P1001" i="32"/>
  <c r="P1002" i="32"/>
  <c r="P1003" i="32"/>
  <c r="P1004" i="32"/>
  <c r="P1005" i="32"/>
  <c r="P1006" i="32"/>
  <c r="P1007" i="32"/>
  <c r="P1008" i="32"/>
  <c r="P1009" i="32"/>
  <c r="P1010" i="32"/>
  <c r="P1011" i="32"/>
  <c r="P1012" i="32"/>
  <c r="P1013" i="32"/>
  <c r="P1014" i="32"/>
  <c r="P1015" i="32"/>
  <c r="P1016" i="32"/>
  <c r="P1017" i="32"/>
  <c r="P1018" i="32"/>
  <c r="P1019" i="32"/>
  <c r="P1020" i="32"/>
  <c r="P1021" i="32"/>
  <c r="P1022" i="32"/>
  <c r="P1023" i="32"/>
  <c r="P1024" i="32"/>
  <c r="P1025" i="32"/>
  <c r="P1026" i="32"/>
  <c r="P1027" i="32"/>
  <c r="P1028" i="32"/>
  <c r="P1029" i="32"/>
  <c r="P1030" i="32"/>
  <c r="P1031" i="32"/>
  <c r="P1032" i="32"/>
  <c r="P1033" i="32"/>
  <c r="P1034" i="32"/>
  <c r="P1035" i="32"/>
  <c r="P1036" i="32"/>
  <c r="P1037" i="32"/>
  <c r="P1038" i="32"/>
  <c r="P1039" i="32"/>
  <c r="P1040" i="32"/>
  <c r="P1041" i="32"/>
  <c r="P1042" i="32"/>
  <c r="P1043" i="32"/>
  <c r="P1044" i="32"/>
  <c r="P1045" i="32"/>
  <c r="P1046" i="32"/>
  <c r="P1047" i="32"/>
  <c r="P1048" i="32"/>
  <c r="P1049" i="32"/>
  <c r="P1050" i="32"/>
  <c r="P1051" i="32"/>
  <c r="P1052" i="32"/>
  <c r="P1053" i="32"/>
  <c r="P1054" i="32"/>
  <c r="P1055" i="32"/>
  <c r="P1056" i="32"/>
  <c r="P1057" i="32"/>
  <c r="P1058" i="32"/>
  <c r="P1059" i="32"/>
  <c r="P1060" i="32"/>
  <c r="P1061" i="32"/>
  <c r="P1062" i="32"/>
  <c r="P1063" i="32"/>
  <c r="P1064" i="32"/>
  <c r="P1065" i="32"/>
  <c r="P1066" i="32"/>
  <c r="P1067" i="32"/>
  <c r="P1068" i="32"/>
  <c r="P1069" i="32"/>
  <c r="P1070" i="32"/>
  <c r="P1071" i="32"/>
  <c r="P1072" i="32"/>
  <c r="P1073" i="32"/>
  <c r="P1074" i="32"/>
  <c r="P1075" i="32"/>
  <c r="P1076" i="32"/>
  <c r="P1077" i="32"/>
  <c r="P1078" i="32"/>
  <c r="P1079" i="32"/>
  <c r="P1080" i="32"/>
  <c r="P1081" i="32"/>
  <c r="P1082" i="32"/>
  <c r="P1083" i="32"/>
  <c r="P1084" i="32"/>
  <c r="P1085" i="32"/>
  <c r="P1086" i="32"/>
  <c r="P1087" i="32"/>
  <c r="P1088" i="32"/>
  <c r="P1089" i="32"/>
  <c r="P1090" i="32"/>
  <c r="P1091" i="32"/>
  <c r="P1092" i="32"/>
  <c r="P1093" i="32"/>
  <c r="P1094" i="32"/>
  <c r="P1095" i="32"/>
  <c r="P1096" i="32"/>
  <c r="P1097" i="32"/>
  <c r="P1098" i="32"/>
  <c r="P1099" i="32"/>
  <c r="P1100" i="32"/>
  <c r="P1101" i="32"/>
  <c r="P1102" i="32"/>
  <c r="P1103" i="32"/>
  <c r="P1104" i="32"/>
  <c r="P1105" i="32"/>
  <c r="P1106" i="32"/>
  <c r="P1107" i="32"/>
  <c r="P1108" i="32"/>
  <c r="P1109" i="32"/>
  <c r="P1110" i="32"/>
  <c r="P1111" i="32"/>
  <c r="P1112" i="32"/>
  <c r="P1113" i="32"/>
  <c r="P1114" i="32"/>
  <c r="P1115" i="32"/>
  <c r="P1116" i="32"/>
  <c r="P1117" i="32"/>
  <c r="P1118" i="32"/>
  <c r="P1119" i="32"/>
  <c r="P1120" i="32"/>
  <c r="P1121" i="32"/>
  <c r="P1122" i="32"/>
  <c r="P1123" i="32"/>
  <c r="P1124" i="32"/>
  <c r="P1125" i="32"/>
  <c r="P1126" i="32"/>
  <c r="P1127" i="32"/>
  <c r="P1128" i="32"/>
  <c r="P1129" i="32"/>
  <c r="P1130" i="32"/>
  <c r="P1131" i="32"/>
  <c r="P1132" i="32"/>
  <c r="P1133" i="32"/>
  <c r="P1134" i="32"/>
  <c r="P1135" i="32"/>
  <c r="P1136" i="32"/>
  <c r="P1137" i="32"/>
  <c r="P1138" i="32"/>
  <c r="P1139" i="32"/>
  <c r="P1140" i="32"/>
  <c r="P1141" i="32"/>
  <c r="P1142" i="32"/>
  <c r="P1143" i="32"/>
  <c r="P1144" i="32"/>
  <c r="P1145" i="32"/>
  <c r="P1146" i="32"/>
  <c r="P1147" i="32"/>
  <c r="P1148" i="32"/>
  <c r="P1149" i="32"/>
  <c r="P1150" i="32"/>
  <c r="P1151" i="32"/>
  <c r="P1152" i="32"/>
  <c r="P1153" i="32"/>
  <c r="P1154" i="32"/>
  <c r="P1155" i="32"/>
  <c r="P1156" i="32"/>
  <c r="P1157" i="32"/>
  <c r="P1158" i="32"/>
  <c r="P1159" i="32"/>
  <c r="P1160" i="32"/>
  <c r="P1161" i="32"/>
  <c r="P1162" i="32"/>
  <c r="P1163" i="32"/>
  <c r="P1164" i="32"/>
  <c r="P1165" i="32"/>
  <c r="P1166" i="32"/>
  <c r="P1167" i="32"/>
  <c r="P1168" i="32"/>
  <c r="P1169" i="32"/>
  <c r="P1170" i="32"/>
  <c r="P1171" i="32"/>
  <c r="P1172" i="32"/>
  <c r="P1173" i="32"/>
  <c r="P1174" i="32"/>
  <c r="P1175" i="32"/>
  <c r="P1176" i="32"/>
  <c r="P1177" i="32"/>
  <c r="P1178" i="32"/>
  <c r="P1179" i="32"/>
  <c r="P1180" i="32"/>
  <c r="P1181" i="32"/>
  <c r="P1182" i="32"/>
  <c r="P1183" i="32"/>
  <c r="P1184" i="32"/>
  <c r="P1185" i="32"/>
  <c r="P1186" i="32"/>
  <c r="P1187" i="32"/>
  <c r="P1188" i="32"/>
  <c r="P1189" i="32"/>
  <c r="P1190" i="32"/>
  <c r="P1191" i="32"/>
  <c r="P1192" i="32"/>
  <c r="P1193" i="32"/>
  <c r="P1194" i="32"/>
  <c r="P1195" i="32"/>
  <c r="P1196" i="32"/>
  <c r="P1197" i="32"/>
  <c r="P1198" i="32"/>
  <c r="P1199" i="32"/>
  <c r="P1200" i="32"/>
  <c r="P1201" i="32"/>
  <c r="P1202" i="32"/>
  <c r="P1203" i="32"/>
  <c r="P1204" i="32"/>
  <c r="P1205" i="32"/>
  <c r="P1206" i="32"/>
  <c r="P1207" i="32"/>
  <c r="P1208" i="32"/>
  <c r="P1209" i="32"/>
  <c r="P1210" i="32"/>
  <c r="P1211" i="32"/>
  <c r="P1212" i="32"/>
  <c r="P1213" i="32"/>
  <c r="P1214" i="32"/>
  <c r="P1215" i="32"/>
  <c r="P1216" i="32"/>
  <c r="P1217" i="32"/>
  <c r="P1218" i="32"/>
  <c r="P1219" i="32"/>
  <c r="P1220" i="32"/>
  <c r="P1221" i="32"/>
  <c r="P1222" i="32"/>
  <c r="P1223" i="32"/>
  <c r="P1224" i="32"/>
  <c r="P1225" i="32"/>
  <c r="P1226" i="32"/>
  <c r="P1227" i="32"/>
  <c r="P1228" i="32"/>
  <c r="P1229" i="32"/>
  <c r="P1230" i="32"/>
  <c r="P1231" i="32"/>
  <c r="P1232" i="32"/>
  <c r="P1233" i="32"/>
  <c r="P1234" i="32"/>
  <c r="P1235" i="32"/>
  <c r="P1236" i="32"/>
  <c r="P1237" i="32"/>
  <c r="P1238" i="32"/>
  <c r="P1239" i="32"/>
  <c r="P1240" i="32"/>
  <c r="P1241" i="32"/>
  <c r="P1242" i="32"/>
  <c r="P1243" i="32"/>
  <c r="P1244" i="32"/>
  <c r="P1245" i="32"/>
  <c r="P1246" i="32"/>
  <c r="P1247" i="32"/>
  <c r="P1248" i="32"/>
  <c r="P1249" i="32"/>
  <c r="P1250" i="32"/>
  <c r="P1251" i="32"/>
  <c r="P1252" i="32"/>
  <c r="P1253" i="32"/>
  <c r="P1254" i="32"/>
  <c r="P1255" i="32"/>
  <c r="P1256" i="32"/>
  <c r="P1257" i="32"/>
  <c r="P1258" i="32"/>
  <c r="P1259" i="32"/>
  <c r="P1260" i="32"/>
  <c r="P1261" i="32"/>
  <c r="P1262" i="32"/>
  <c r="P1263" i="32"/>
  <c r="P1264" i="32"/>
  <c r="P1265" i="32"/>
  <c r="P1266" i="32"/>
  <c r="P1267" i="32"/>
  <c r="P1268" i="32"/>
  <c r="P1269" i="32"/>
  <c r="P1270" i="32"/>
  <c r="P1271" i="32"/>
  <c r="P1272" i="32"/>
  <c r="P1273" i="32"/>
  <c r="P1274" i="32"/>
  <c r="P1275" i="32"/>
  <c r="P1276" i="32"/>
  <c r="P1277" i="32"/>
  <c r="P1278" i="32"/>
  <c r="P1279" i="32"/>
  <c r="P1280" i="32"/>
  <c r="P1281" i="32"/>
  <c r="P1282" i="32"/>
  <c r="P1283" i="32"/>
  <c r="P1284" i="32"/>
  <c r="P1285" i="32"/>
  <c r="P1286" i="32"/>
  <c r="P1287" i="32"/>
  <c r="P1288" i="32"/>
  <c r="P1289" i="32"/>
  <c r="P1290" i="32"/>
  <c r="P1291" i="32"/>
  <c r="P1292" i="32"/>
  <c r="P1293" i="32"/>
  <c r="P1294" i="32"/>
  <c r="P1295" i="32"/>
  <c r="P1296" i="32"/>
  <c r="P1297" i="32"/>
  <c r="P1298" i="32"/>
  <c r="P1299" i="32"/>
  <c r="P1300" i="32"/>
  <c r="P1301" i="32"/>
  <c r="P1302" i="32"/>
  <c r="P1303" i="32"/>
  <c r="P1304" i="32"/>
  <c r="P1305" i="32"/>
  <c r="P1306" i="32"/>
  <c r="P1307" i="32"/>
  <c r="P1308" i="32"/>
  <c r="P1309" i="32"/>
  <c r="P1310" i="32"/>
  <c r="P1311" i="32"/>
  <c r="P1312" i="32"/>
  <c r="P1313" i="32"/>
  <c r="P1314" i="32"/>
  <c r="P1315" i="32"/>
  <c r="P1316" i="32"/>
  <c r="P1317" i="32"/>
  <c r="P1318" i="32"/>
  <c r="P1319" i="32"/>
  <c r="P1320" i="32"/>
  <c r="P1321" i="32"/>
  <c r="P1322" i="32"/>
  <c r="P1323" i="32"/>
  <c r="P1324" i="32"/>
  <c r="P1325" i="32"/>
  <c r="P1326" i="32"/>
  <c r="P1327" i="32"/>
  <c r="P1328" i="32"/>
  <c r="P1329" i="32"/>
  <c r="P1330" i="32"/>
  <c r="P1331" i="32"/>
  <c r="P1332" i="32"/>
  <c r="S20" i="32"/>
  <c r="P20" i="32"/>
  <c r="M1210" i="32"/>
  <c r="L1125" i="32"/>
  <c r="M1125" i="32" s="1"/>
  <c r="L1126" i="32"/>
  <c r="M1126" i="32" s="1"/>
  <c r="L1127" i="32"/>
  <c r="M1127" i="32" s="1"/>
  <c r="L1128" i="32"/>
  <c r="M1128" i="32" s="1"/>
  <c r="L1129" i="32"/>
  <c r="M1129" i="32" s="1"/>
  <c r="L1130" i="32"/>
  <c r="M1130" i="32" s="1"/>
  <c r="L1131" i="32"/>
  <c r="M1131" i="32" s="1"/>
  <c r="L1132" i="32"/>
  <c r="M1132" i="32" s="1"/>
  <c r="L1133" i="32"/>
  <c r="M1133" i="32" s="1"/>
  <c r="L1134" i="32"/>
  <c r="M1134" i="32" s="1"/>
  <c r="L1135" i="32"/>
  <c r="M1135" i="32" s="1"/>
  <c r="L1136" i="32"/>
  <c r="M1136" i="32" s="1"/>
  <c r="L1137" i="32"/>
  <c r="M1137" i="32" s="1"/>
  <c r="L1138" i="32"/>
  <c r="M1138" i="32" s="1"/>
  <c r="L1139" i="32"/>
  <c r="M1139" i="32" s="1"/>
  <c r="L1140" i="32"/>
  <c r="M1140" i="32" s="1"/>
  <c r="L1141" i="32"/>
  <c r="M1141" i="32" s="1"/>
  <c r="L1142" i="32"/>
  <c r="M1142" i="32" s="1"/>
  <c r="L1143" i="32"/>
  <c r="M1143" i="32" s="1"/>
  <c r="L1144" i="32"/>
  <c r="M1144" i="32" s="1"/>
  <c r="L1145" i="32"/>
  <c r="M1145" i="32" s="1"/>
  <c r="L1146" i="32"/>
  <c r="M1146" i="32" s="1"/>
  <c r="L1147" i="32"/>
  <c r="M1147" i="32" s="1"/>
  <c r="L1148" i="32"/>
  <c r="M1148" i="32" s="1"/>
  <c r="L1149" i="32"/>
  <c r="M1149" i="32" s="1"/>
  <c r="L1150" i="32"/>
  <c r="M1150" i="32" s="1"/>
  <c r="L1151" i="32"/>
  <c r="M1151" i="32" s="1"/>
  <c r="L1152" i="32"/>
  <c r="M1152" i="32" s="1"/>
  <c r="L1153" i="32"/>
  <c r="M1153" i="32" s="1"/>
  <c r="L1154" i="32"/>
  <c r="M1154" i="32" s="1"/>
  <c r="L1155" i="32"/>
  <c r="M1155" i="32" s="1"/>
  <c r="L1156" i="32"/>
  <c r="M1156" i="32" s="1"/>
  <c r="L1157" i="32"/>
  <c r="M1157" i="32" s="1"/>
  <c r="L1158" i="32"/>
  <c r="M1158" i="32" s="1"/>
  <c r="L1159" i="32"/>
  <c r="M1159" i="32" s="1"/>
  <c r="L1160" i="32"/>
  <c r="M1160" i="32" s="1"/>
  <c r="L1161" i="32"/>
  <c r="M1161" i="32" s="1"/>
  <c r="L1162" i="32"/>
  <c r="M1162" i="32" s="1"/>
  <c r="L1163" i="32"/>
  <c r="M1163" i="32" s="1"/>
  <c r="L1164" i="32"/>
  <c r="M1164" i="32" s="1"/>
  <c r="L1165" i="32"/>
  <c r="M1165" i="32" s="1"/>
  <c r="L1166" i="32"/>
  <c r="M1166" i="32" s="1"/>
  <c r="L1167" i="32"/>
  <c r="M1167" i="32" s="1"/>
  <c r="L1168" i="32"/>
  <c r="M1168" i="32" s="1"/>
  <c r="L1169" i="32"/>
  <c r="M1169" i="32" s="1"/>
  <c r="L1170" i="32"/>
  <c r="M1170" i="32" s="1"/>
  <c r="L1171" i="32"/>
  <c r="M1171" i="32" s="1"/>
  <c r="L1172" i="32"/>
  <c r="M1172" i="32" s="1"/>
  <c r="L1173" i="32"/>
  <c r="M1173" i="32" s="1"/>
  <c r="L1174" i="32"/>
  <c r="M1174" i="32" s="1"/>
  <c r="L1175" i="32"/>
  <c r="M1175" i="32" s="1"/>
  <c r="L1176" i="32"/>
  <c r="M1176" i="32" s="1"/>
  <c r="L1177" i="32"/>
  <c r="M1177" i="32" s="1"/>
  <c r="L1178" i="32"/>
  <c r="M1178" i="32" s="1"/>
  <c r="L1179" i="32"/>
  <c r="M1179" i="32" s="1"/>
  <c r="L1180" i="32"/>
  <c r="M1180" i="32" s="1"/>
  <c r="L1181" i="32"/>
  <c r="M1181" i="32" s="1"/>
  <c r="L1182" i="32"/>
  <c r="M1182" i="32" s="1"/>
  <c r="L1183" i="32"/>
  <c r="M1183" i="32" s="1"/>
  <c r="L1184" i="32"/>
  <c r="M1184" i="32" s="1"/>
  <c r="L1185" i="32"/>
  <c r="M1185" i="32" s="1"/>
  <c r="L1186" i="32"/>
  <c r="M1186" i="32" s="1"/>
  <c r="L1187" i="32"/>
  <c r="M1187" i="32" s="1"/>
  <c r="L1188" i="32"/>
  <c r="M1188" i="32" s="1"/>
  <c r="L1189" i="32"/>
  <c r="M1189" i="32" s="1"/>
  <c r="L1190" i="32"/>
  <c r="M1190" i="32" s="1"/>
  <c r="L1191" i="32"/>
  <c r="M1191" i="32" s="1"/>
  <c r="L1192" i="32"/>
  <c r="M1192" i="32" s="1"/>
  <c r="L1193" i="32"/>
  <c r="M1193" i="32" s="1"/>
  <c r="L1194" i="32"/>
  <c r="M1194" i="32" s="1"/>
  <c r="L1195" i="32"/>
  <c r="M1195" i="32" s="1"/>
  <c r="L1196" i="32"/>
  <c r="M1196" i="32" s="1"/>
  <c r="L1197" i="32"/>
  <c r="M1197" i="32" s="1"/>
  <c r="L1198" i="32"/>
  <c r="M1198" i="32" s="1"/>
  <c r="L1199" i="32"/>
  <c r="M1199" i="32" s="1"/>
  <c r="L1200" i="32"/>
  <c r="M1200" i="32" s="1"/>
  <c r="L1201" i="32"/>
  <c r="M1201" i="32" s="1"/>
  <c r="L1202" i="32"/>
  <c r="M1202" i="32" s="1"/>
  <c r="L1203" i="32"/>
  <c r="M1203" i="32" s="1"/>
  <c r="L1204" i="32"/>
  <c r="M1204" i="32" s="1"/>
  <c r="L1205" i="32"/>
  <c r="M1205" i="32" s="1"/>
  <c r="L1206" i="32"/>
  <c r="M1206" i="32" s="1"/>
  <c r="L1207" i="32"/>
  <c r="M1207" i="32" s="1"/>
  <c r="L1208" i="32"/>
  <c r="M1208" i="32" s="1"/>
  <c r="L1209" i="32"/>
  <c r="M1209" i="32" s="1"/>
  <c r="L1210" i="32"/>
  <c r="L1211" i="32"/>
  <c r="M1211" i="32" s="1"/>
  <c r="L1212" i="32"/>
  <c r="M1212" i="32" s="1"/>
  <c r="L1213" i="32"/>
  <c r="M1213" i="32" s="1"/>
  <c r="L1214" i="32"/>
  <c r="M1214" i="32" s="1"/>
  <c r="L1215" i="32"/>
  <c r="M1215" i="32" s="1"/>
  <c r="L1216" i="32"/>
  <c r="M1216" i="32" s="1"/>
  <c r="L1217" i="32"/>
  <c r="M1217" i="32" s="1"/>
  <c r="L1218" i="32"/>
  <c r="M1218" i="32" s="1"/>
  <c r="L1219" i="32"/>
  <c r="M1219" i="32" s="1"/>
  <c r="L1220" i="32"/>
  <c r="M1220" i="32" s="1"/>
  <c r="L1221" i="32"/>
  <c r="M1221" i="32" s="1"/>
  <c r="L1222" i="32"/>
  <c r="M1222" i="32" s="1"/>
  <c r="L1223" i="32"/>
  <c r="M1223" i="32" s="1"/>
  <c r="L1224" i="32"/>
  <c r="M1224" i="32" s="1"/>
  <c r="L1225" i="32"/>
  <c r="M1225" i="32" s="1"/>
  <c r="L1226" i="32"/>
  <c r="M1226" i="32" s="1"/>
  <c r="L1227" i="32"/>
  <c r="M1227" i="32" s="1"/>
  <c r="L1228" i="32"/>
  <c r="M1228" i="32" s="1"/>
  <c r="L1229" i="32"/>
  <c r="M1229" i="32" s="1"/>
  <c r="L1230" i="32"/>
  <c r="M1230" i="32" s="1"/>
  <c r="L1231" i="32"/>
  <c r="M1231" i="32" s="1"/>
  <c r="L1232" i="32"/>
  <c r="M1232" i="32" s="1"/>
  <c r="L1233" i="32"/>
  <c r="M1233" i="32" s="1"/>
  <c r="L1234" i="32"/>
  <c r="M1234" i="32" s="1"/>
  <c r="L1235" i="32"/>
  <c r="M1235" i="32" s="1"/>
  <c r="L1236" i="32"/>
  <c r="M1236" i="32" s="1"/>
  <c r="L1237" i="32"/>
  <c r="M1237" i="32" s="1"/>
  <c r="L1238" i="32"/>
  <c r="M1238" i="32" s="1"/>
  <c r="L1239" i="32"/>
  <c r="M1239" i="32" s="1"/>
  <c r="L1240" i="32"/>
  <c r="M1240" i="32" s="1"/>
  <c r="L1241" i="32"/>
  <c r="M1241" i="32" s="1"/>
  <c r="L1242" i="32"/>
  <c r="M1242" i="32" s="1"/>
  <c r="L1243" i="32"/>
  <c r="M1243" i="32" s="1"/>
  <c r="L1244" i="32"/>
  <c r="M1244" i="32" s="1"/>
  <c r="L1245" i="32"/>
  <c r="M1245" i="32" s="1"/>
  <c r="L1246" i="32"/>
  <c r="M1246" i="32" s="1"/>
  <c r="L1247" i="32"/>
  <c r="M1247" i="32" s="1"/>
  <c r="L1248" i="32"/>
  <c r="M1248" i="32" s="1"/>
  <c r="L1249" i="32"/>
  <c r="M1249" i="32" s="1"/>
  <c r="L1250" i="32"/>
  <c r="M1250" i="32" s="1"/>
  <c r="L1251" i="32"/>
  <c r="M1251" i="32" s="1"/>
  <c r="L1252" i="32"/>
  <c r="M1252" i="32" s="1"/>
  <c r="L1253" i="32"/>
  <c r="M1253" i="32" s="1"/>
  <c r="L1254" i="32"/>
  <c r="M1254" i="32" s="1"/>
  <c r="L1255" i="32"/>
  <c r="M1255" i="32" s="1"/>
  <c r="L1256" i="32"/>
  <c r="M1256" i="32" s="1"/>
  <c r="L1257" i="32"/>
  <c r="M1257" i="32" s="1"/>
  <c r="L1258" i="32"/>
  <c r="M1258" i="32" s="1"/>
  <c r="L1259" i="32"/>
  <c r="M1259" i="32" s="1"/>
  <c r="L1260" i="32"/>
  <c r="M1260" i="32" s="1"/>
  <c r="L1261" i="32"/>
  <c r="M1261" i="32" s="1"/>
  <c r="L1262" i="32"/>
  <c r="M1262" i="32" s="1"/>
  <c r="L1263" i="32"/>
  <c r="M1263" i="32" s="1"/>
  <c r="L1264" i="32"/>
  <c r="M1264" i="32" s="1"/>
  <c r="L1265" i="32"/>
  <c r="M1265" i="32" s="1"/>
  <c r="L1266" i="32"/>
  <c r="M1266" i="32" s="1"/>
  <c r="L1267" i="32"/>
  <c r="M1267" i="32" s="1"/>
  <c r="L1268" i="32"/>
  <c r="M1268" i="32" s="1"/>
  <c r="L1269" i="32"/>
  <c r="M1269" i="32" s="1"/>
  <c r="L1270" i="32"/>
  <c r="M1270" i="32" s="1"/>
  <c r="L1271" i="32"/>
  <c r="M1271" i="32" s="1"/>
  <c r="L1272" i="32"/>
  <c r="M1272" i="32" s="1"/>
  <c r="L1273" i="32"/>
  <c r="M1273" i="32" s="1"/>
  <c r="L1274" i="32"/>
  <c r="M1274" i="32" s="1"/>
  <c r="L1275" i="32"/>
  <c r="M1275" i="32" s="1"/>
  <c r="L1276" i="32"/>
  <c r="M1276" i="32" s="1"/>
  <c r="L1277" i="32"/>
  <c r="M1277" i="32" s="1"/>
  <c r="L1278" i="32"/>
  <c r="M1278" i="32" s="1"/>
  <c r="L1279" i="32"/>
  <c r="M1279" i="32" s="1"/>
  <c r="L1280" i="32"/>
  <c r="M1280" i="32" s="1"/>
  <c r="L1281" i="32"/>
  <c r="M1281" i="32" s="1"/>
  <c r="L1282" i="32"/>
  <c r="M1282" i="32" s="1"/>
  <c r="L1283" i="32"/>
  <c r="M1283" i="32" s="1"/>
  <c r="L1284" i="32"/>
  <c r="M1284" i="32" s="1"/>
  <c r="L1285" i="32"/>
  <c r="M1285" i="32" s="1"/>
  <c r="L1286" i="32"/>
  <c r="M1286" i="32" s="1"/>
  <c r="L1287" i="32"/>
  <c r="M1287" i="32" s="1"/>
  <c r="L1288" i="32"/>
  <c r="M1288" i="32" s="1"/>
  <c r="L1289" i="32"/>
  <c r="M1289" i="32" s="1"/>
  <c r="L1290" i="32"/>
  <c r="M1290" i="32" s="1"/>
  <c r="L1291" i="32"/>
  <c r="M1291" i="32" s="1"/>
  <c r="L1292" i="32"/>
  <c r="M1292" i="32" s="1"/>
  <c r="L1293" i="32"/>
  <c r="M1293" i="32" s="1"/>
  <c r="L1294" i="32"/>
  <c r="M1294" i="32" s="1"/>
  <c r="L1295" i="32"/>
  <c r="M1295" i="32" s="1"/>
  <c r="L1296" i="32"/>
  <c r="M1296" i="32" s="1"/>
  <c r="L1297" i="32"/>
  <c r="M1297" i="32" s="1"/>
  <c r="L1298" i="32"/>
  <c r="M1298" i="32" s="1"/>
  <c r="L1299" i="32"/>
  <c r="M1299" i="32" s="1"/>
  <c r="L1300" i="32"/>
  <c r="M1300" i="32" s="1"/>
  <c r="L1301" i="32"/>
  <c r="M1301" i="32" s="1"/>
  <c r="L1302" i="32"/>
  <c r="M1302" i="32" s="1"/>
  <c r="L1303" i="32"/>
  <c r="M1303" i="32" s="1"/>
  <c r="L1304" i="32"/>
  <c r="M1304" i="32" s="1"/>
  <c r="L1305" i="32"/>
  <c r="M1305" i="32" s="1"/>
  <c r="L1306" i="32"/>
  <c r="M1306" i="32" s="1"/>
  <c r="L1307" i="32"/>
  <c r="M1307" i="32" s="1"/>
  <c r="L1308" i="32"/>
  <c r="M1308" i="32" s="1"/>
  <c r="L1309" i="32"/>
  <c r="M1309" i="32" s="1"/>
  <c r="L1310" i="32"/>
  <c r="M1310" i="32" s="1"/>
  <c r="L1311" i="32"/>
  <c r="M1311" i="32" s="1"/>
  <c r="L1312" i="32"/>
  <c r="M1312" i="32" s="1"/>
  <c r="L1313" i="32"/>
  <c r="M1313" i="32" s="1"/>
  <c r="L1314" i="32"/>
  <c r="M1314" i="32" s="1"/>
  <c r="L1315" i="32"/>
  <c r="M1315" i="32" s="1"/>
  <c r="L1316" i="32"/>
  <c r="M1316" i="32" s="1"/>
  <c r="L1317" i="32"/>
  <c r="M1317" i="32" s="1"/>
  <c r="L1318" i="32"/>
  <c r="M1318" i="32" s="1"/>
  <c r="L1319" i="32"/>
  <c r="M1319" i="32" s="1"/>
  <c r="L1320" i="32"/>
  <c r="M1320" i="32" s="1"/>
  <c r="L1321" i="32"/>
  <c r="M1321" i="32" s="1"/>
  <c r="L1322" i="32"/>
  <c r="M1322" i="32" s="1"/>
  <c r="L1323" i="32"/>
  <c r="M1323" i="32" s="1"/>
  <c r="L1324" i="32"/>
  <c r="M1324" i="32" s="1"/>
  <c r="L1325" i="32"/>
  <c r="M1325" i="32" s="1"/>
  <c r="L1326" i="32"/>
  <c r="M1326" i="32" s="1"/>
  <c r="L1327" i="32"/>
  <c r="M1327" i="32" s="1"/>
  <c r="L1328" i="32"/>
  <c r="M1328" i="32" s="1"/>
  <c r="L1329" i="32"/>
  <c r="M1329" i="32" s="1"/>
  <c r="L1330" i="32"/>
  <c r="M1330" i="32" s="1"/>
  <c r="L1331" i="32"/>
  <c r="M1331" i="32" s="1"/>
  <c r="L1332" i="32"/>
  <c r="M1332" i="32" s="1"/>
  <c r="AW170" i="6" l="1"/>
  <c r="AW165" i="6"/>
  <c r="AW166" i="6"/>
  <c r="AW167" i="6"/>
  <c r="AW168" i="6"/>
  <c r="AW164" i="6"/>
  <c r="AW163" i="6"/>
  <c r="AW159" i="6"/>
  <c r="AW160" i="6"/>
  <c r="AW161" i="6"/>
  <c r="AW158" i="6"/>
  <c r="AW157" i="6"/>
  <c r="AW145" i="6"/>
  <c r="AW136" i="6"/>
  <c r="AW137" i="6"/>
  <c r="AW138" i="6"/>
  <c r="AW135" i="6"/>
  <c r="AW113" i="6"/>
  <c r="AW114" i="6"/>
  <c r="AW115" i="6"/>
  <c r="AW116" i="6"/>
  <c r="AW112" i="6"/>
  <c r="AW59" i="6"/>
  <c r="AW60" i="6"/>
  <c r="AW61" i="6"/>
  <c r="AW57" i="6"/>
  <c r="AQ170" i="6"/>
  <c r="AQ165" i="6"/>
  <c r="AQ166" i="6"/>
  <c r="AQ167" i="6"/>
  <c r="AQ168" i="6"/>
  <c r="AQ164" i="6"/>
  <c r="AQ163" i="6"/>
  <c r="AQ159" i="6"/>
  <c r="AQ160" i="6"/>
  <c r="AQ161" i="6"/>
  <c r="AQ158" i="6"/>
  <c r="AQ157" i="6"/>
  <c r="AQ145" i="6"/>
  <c r="AQ136" i="6"/>
  <c r="AQ137" i="6"/>
  <c r="AQ138" i="6"/>
  <c r="AQ135" i="6"/>
  <c r="AQ113" i="6"/>
  <c r="AQ114" i="6"/>
  <c r="AQ115" i="6"/>
  <c r="AQ116" i="6"/>
  <c r="AQ112" i="6"/>
  <c r="AQ59" i="6"/>
  <c r="AQ60" i="6"/>
  <c r="AQ61" i="6"/>
  <c r="AQ57" i="6"/>
  <c r="AK170" i="6"/>
  <c r="AK165" i="6"/>
  <c r="AK166" i="6"/>
  <c r="AK167" i="6"/>
  <c r="AK168" i="6"/>
  <c r="AK164" i="6"/>
  <c r="AK163" i="6"/>
  <c r="AK159" i="6"/>
  <c r="AK160" i="6"/>
  <c r="AK161" i="6"/>
  <c r="AK158" i="6"/>
  <c r="AK157" i="6"/>
  <c r="AK145" i="6"/>
  <c r="AK136" i="6"/>
  <c r="AK137" i="6"/>
  <c r="AK138" i="6"/>
  <c r="AK135" i="6"/>
  <c r="AK113" i="6"/>
  <c r="AK114" i="6"/>
  <c r="AK115" i="6"/>
  <c r="AK116" i="6"/>
  <c r="AK112" i="6"/>
  <c r="AK59" i="6"/>
  <c r="AK60" i="6"/>
  <c r="AK61" i="6"/>
  <c r="AK57" i="6"/>
  <c r="AE165" i="6"/>
  <c r="AE166" i="6"/>
  <c r="AE167" i="6"/>
  <c r="AE168" i="6"/>
  <c r="AE164" i="6"/>
  <c r="AE159" i="6"/>
  <c r="AE160" i="6"/>
  <c r="AE161" i="6"/>
  <c r="AE158" i="6"/>
  <c r="AE157" i="6"/>
  <c r="AE145" i="6"/>
  <c r="AE136" i="6"/>
  <c r="AE137" i="6"/>
  <c r="AE138" i="6"/>
  <c r="AE135" i="6"/>
  <c r="AE113" i="6"/>
  <c r="AE114" i="6"/>
  <c r="AE115" i="6"/>
  <c r="AE116" i="6"/>
  <c r="AE59" i="6"/>
  <c r="AE60" i="6"/>
  <c r="AE61" i="6"/>
  <c r="AE57" i="6"/>
  <c r="Y165" i="6"/>
  <c r="Y166" i="6"/>
  <c r="Y167" i="6"/>
  <c r="Y168" i="6"/>
  <c r="Y164" i="6"/>
  <c r="Y159" i="6"/>
  <c r="Y160" i="6"/>
  <c r="Y161" i="6"/>
  <c r="Y158" i="6"/>
  <c r="Y157" i="6"/>
  <c r="Y145" i="6"/>
  <c r="Y136" i="6"/>
  <c r="Y137" i="6"/>
  <c r="Y138" i="6"/>
  <c r="Y135" i="6"/>
  <c r="Y113" i="6"/>
  <c r="Y114" i="6"/>
  <c r="Y115" i="6"/>
  <c r="Y116" i="6"/>
  <c r="Y59" i="6"/>
  <c r="Y60" i="6"/>
  <c r="Y61" i="6"/>
  <c r="Y57" i="6"/>
  <c r="S165" i="6"/>
  <c r="S166" i="6"/>
  <c r="S167" i="6"/>
  <c r="S168" i="6"/>
  <c r="S164" i="6"/>
  <c r="S159" i="6"/>
  <c r="S160" i="6"/>
  <c r="S161" i="6"/>
  <c r="S158" i="6"/>
  <c r="S157" i="6"/>
  <c r="S145" i="6"/>
  <c r="S137" i="6"/>
  <c r="S138" i="6"/>
  <c r="S135" i="6"/>
  <c r="S113" i="6"/>
  <c r="S114" i="6"/>
  <c r="S115" i="6"/>
  <c r="S116" i="6"/>
  <c r="S112" i="6"/>
  <c r="S59" i="6"/>
  <c r="S60" i="6"/>
  <c r="S61" i="6"/>
  <c r="S57" i="6"/>
  <c r="M165" i="6"/>
  <c r="M166" i="6"/>
  <c r="M167" i="6"/>
  <c r="M168" i="6"/>
  <c r="M164" i="6"/>
  <c r="M159" i="6"/>
  <c r="M160" i="6"/>
  <c r="M161" i="6"/>
  <c r="M158" i="6"/>
  <c r="M157" i="6"/>
  <c r="M145" i="6"/>
  <c r="M136" i="6"/>
  <c r="M137" i="6"/>
  <c r="M138" i="6"/>
  <c r="M135" i="6"/>
  <c r="M113" i="6"/>
  <c r="M114" i="6"/>
  <c r="M115" i="6"/>
  <c r="M116" i="6"/>
  <c r="M112" i="6"/>
  <c r="M59" i="6"/>
  <c r="M60" i="6"/>
  <c r="M61" i="6"/>
  <c r="M57" i="6"/>
  <c r="I11" i="6"/>
  <c r="O11" i="6"/>
  <c r="U11" i="6"/>
  <c r="AA11" i="6"/>
  <c r="AM11" i="6"/>
  <c r="AG11" i="6"/>
  <c r="G165" i="6"/>
  <c r="G166" i="6"/>
  <c r="G167" i="6"/>
  <c r="G168" i="6"/>
  <c r="G164" i="6"/>
  <c r="G159" i="6"/>
  <c r="G160" i="6"/>
  <c r="G161" i="6"/>
  <c r="G158" i="6"/>
  <c r="G157" i="6"/>
  <c r="G146" i="6"/>
  <c r="G145" i="6"/>
  <c r="G136" i="6"/>
  <c r="G137" i="6"/>
  <c r="G138" i="6"/>
  <c r="G135" i="6"/>
  <c r="G113" i="6"/>
  <c r="G114" i="6"/>
  <c r="G115" i="6"/>
  <c r="G116" i="6"/>
  <c r="G112" i="6"/>
  <c r="G59" i="6"/>
  <c r="G60" i="6"/>
  <c r="G61" i="6"/>
  <c r="G57" i="6"/>
  <c r="G17" i="6"/>
  <c r="C13" i="6"/>
  <c r="V112" i="6"/>
  <c r="Y112" i="6" s="1"/>
  <c r="G84" i="34"/>
  <c r="G76" i="34"/>
  <c r="G83" i="34"/>
  <c r="G75" i="34"/>
  <c r="G82" i="34"/>
  <c r="G74" i="34"/>
  <c r="G81" i="34"/>
  <c r="G73" i="34"/>
  <c r="G80" i="34"/>
  <c r="G72" i="34"/>
  <c r="G79" i="34"/>
  <c r="G71" i="34"/>
  <c r="G78" i="34"/>
  <c r="G70" i="34"/>
  <c r="J58" i="6"/>
  <c r="M58" i="6" s="1"/>
  <c r="O49" i="34"/>
  <c r="O48" i="34"/>
  <c r="O84" i="34"/>
  <c r="H84" i="34"/>
  <c r="O92" i="34"/>
  <c r="H92" i="34"/>
  <c r="O76" i="34"/>
  <c r="H76" i="34"/>
  <c r="O68" i="34"/>
  <c r="H68" i="34"/>
  <c r="O81" i="34"/>
  <c r="H81" i="34"/>
  <c r="O89" i="34"/>
  <c r="H89" i="34"/>
  <c r="O73" i="34"/>
  <c r="H73" i="34"/>
  <c r="O65" i="34"/>
  <c r="H65" i="34"/>
  <c r="O80" i="34"/>
  <c r="H80" i="34"/>
  <c r="O88" i="34"/>
  <c r="H88" i="34"/>
  <c r="O72" i="34"/>
  <c r="H72" i="34"/>
  <c r="O64" i="34"/>
  <c r="H64" i="34"/>
  <c r="O83" i="34"/>
  <c r="H83" i="34"/>
  <c r="O91" i="34"/>
  <c r="H91" i="34"/>
  <c r="O75" i="34"/>
  <c r="H75" i="34"/>
  <c r="O67" i="34"/>
  <c r="H67" i="34"/>
  <c r="O82" i="34"/>
  <c r="H82" i="34"/>
  <c r="O90" i="34"/>
  <c r="H90" i="34"/>
  <c r="O74" i="34"/>
  <c r="H74" i="34"/>
  <c r="O66" i="34"/>
  <c r="H66" i="34"/>
  <c r="O79" i="34"/>
  <c r="H79" i="34"/>
  <c r="O87" i="34"/>
  <c r="H87" i="34"/>
  <c r="O71" i="34"/>
  <c r="H71" i="34"/>
  <c r="O63" i="34"/>
  <c r="H63" i="34"/>
  <c r="O78" i="34"/>
  <c r="H78" i="34"/>
  <c r="O86" i="34"/>
  <c r="H86" i="34"/>
  <c r="I64" i="34" l="1"/>
  <c r="I63" i="34"/>
  <c r="I91" i="34"/>
  <c r="I67" i="34"/>
  <c r="I65" i="34"/>
  <c r="I81" i="34"/>
  <c r="I92" i="34"/>
  <c r="I68" i="34"/>
  <c r="I66" i="34"/>
  <c r="I76" i="34"/>
  <c r="I73" i="34"/>
  <c r="I84" i="34"/>
  <c r="I86" i="34"/>
  <c r="I87" i="34"/>
  <c r="I80" i="34"/>
  <c r="I88" i="34"/>
  <c r="I89" i="34"/>
  <c r="I71" i="34"/>
  <c r="I79" i="34"/>
  <c r="I74" i="34"/>
  <c r="I82" i="34"/>
  <c r="I75" i="34"/>
  <c r="I72" i="34"/>
  <c r="I90" i="34"/>
  <c r="I83" i="34"/>
  <c r="I78" i="34"/>
  <c r="S1411" i="32" l="1"/>
  <c r="S1412" i="32"/>
  <c r="S1413" i="32"/>
  <c r="S1414" i="32"/>
  <c r="S1415" i="32"/>
  <c r="S1416" i="32"/>
  <c r="S1417" i="32"/>
  <c r="S1418" i="32"/>
  <c r="S1419" i="32"/>
  <c r="S1420" i="32"/>
  <c r="S1421" i="32"/>
  <c r="S1422" i="32"/>
  <c r="S10" i="32" l="1"/>
  <c r="S8" i="32"/>
  <c r="S4" i="32"/>
  <c r="S9" i="32"/>
  <c r="S12" i="32"/>
  <c r="S7" i="32"/>
  <c r="S11" i="32"/>
  <c r="S3" i="32"/>
  <c r="S15" i="32"/>
  <c r="S19" i="32"/>
  <c r="S13" i="32"/>
  <c r="S16" i="32"/>
  <c r="S2" i="32"/>
  <c r="S18" i="32"/>
  <c r="S6" i="32"/>
  <c r="S5" i="32"/>
  <c r="S17" i="32"/>
  <c r="S14" i="32"/>
  <c r="P10" i="32"/>
  <c r="P8" i="32"/>
  <c r="P4" i="32"/>
  <c r="P9" i="32"/>
  <c r="P12" i="32"/>
  <c r="P7" i="32"/>
  <c r="P11" i="32"/>
  <c r="P3" i="32"/>
  <c r="P15" i="32"/>
  <c r="P19" i="32"/>
  <c r="P13" i="32"/>
  <c r="P16" i="32"/>
  <c r="P2" i="32"/>
  <c r="P18" i="32"/>
  <c r="P6" i="32"/>
  <c r="P5" i="32"/>
  <c r="P17" i="32"/>
  <c r="P14" i="32"/>
  <c r="L10" i="32"/>
  <c r="M10" i="32" s="1"/>
  <c r="L8" i="32"/>
  <c r="M8" i="32" s="1"/>
  <c r="L4" i="32"/>
  <c r="M4" i="32" s="1"/>
  <c r="L9" i="32"/>
  <c r="M9" i="32" s="1"/>
  <c r="L12" i="32"/>
  <c r="M12" i="32" s="1"/>
  <c r="L7" i="32"/>
  <c r="M7" i="32" s="1"/>
  <c r="L11" i="32"/>
  <c r="M11" i="32" s="1"/>
  <c r="L3" i="32"/>
  <c r="M3" i="32" s="1"/>
  <c r="L15" i="32"/>
  <c r="M15" i="32" s="1"/>
  <c r="L19" i="32"/>
  <c r="M19" i="32" s="1"/>
  <c r="L13" i="32"/>
  <c r="M13" i="32" s="1"/>
  <c r="L16" i="32"/>
  <c r="M16" i="32" s="1"/>
  <c r="L2" i="32"/>
  <c r="M2" i="32" s="1"/>
  <c r="L18" i="32"/>
  <c r="M18" i="32" s="1"/>
  <c r="L6" i="32"/>
  <c r="M6" i="32" s="1"/>
  <c r="L5" i="32"/>
  <c r="M5" i="32" s="1"/>
  <c r="L17" i="32"/>
  <c r="M17" i="32" s="1"/>
  <c r="L14" i="32"/>
  <c r="M14" i="32" s="1"/>
  <c r="L20" i="32"/>
  <c r="M20" i="32" s="1"/>
  <c r="L21" i="32"/>
  <c r="M21" i="32" s="1"/>
  <c r="L22" i="32"/>
  <c r="M22" i="32" s="1"/>
  <c r="L23" i="32"/>
  <c r="M23" i="32" s="1"/>
  <c r="L24" i="32"/>
  <c r="M24" i="32" s="1"/>
  <c r="L25" i="32"/>
  <c r="M25" i="32" s="1"/>
  <c r="L26" i="32"/>
  <c r="M26" i="32" s="1"/>
  <c r="L27" i="32"/>
  <c r="M27" i="32" s="1"/>
  <c r="L28" i="32"/>
  <c r="M28" i="32" s="1"/>
  <c r="L29" i="32"/>
  <c r="M29" i="32" s="1"/>
  <c r="L30" i="32"/>
  <c r="M30" i="32" s="1"/>
  <c r="L31" i="32"/>
  <c r="M31" i="32" s="1"/>
  <c r="L32" i="32"/>
  <c r="M32" i="32" s="1"/>
  <c r="L33" i="32"/>
  <c r="M33" i="32" s="1"/>
  <c r="L34" i="32"/>
  <c r="M34" i="32" s="1"/>
  <c r="L35" i="32"/>
  <c r="M35" i="32" s="1"/>
  <c r="L36" i="32"/>
  <c r="M36" i="32" s="1"/>
  <c r="L37" i="32"/>
  <c r="M37" i="32" s="1"/>
  <c r="L38" i="32"/>
  <c r="M38" i="32" s="1"/>
  <c r="L39" i="32"/>
  <c r="M39" i="32" s="1"/>
  <c r="L40" i="32"/>
  <c r="M40" i="32" s="1"/>
  <c r="L41" i="32"/>
  <c r="M41" i="32" s="1"/>
  <c r="L42" i="32"/>
  <c r="M42" i="32" s="1"/>
  <c r="L43" i="32"/>
  <c r="M43" i="32" s="1"/>
  <c r="L44" i="32"/>
  <c r="M44" i="32" s="1"/>
  <c r="L45" i="32"/>
  <c r="M45" i="32" s="1"/>
  <c r="L46" i="32"/>
  <c r="M46" i="32" s="1"/>
  <c r="L47" i="32"/>
  <c r="M47" i="32" s="1"/>
  <c r="L48" i="32"/>
  <c r="M48" i="32" s="1"/>
  <c r="L49" i="32"/>
  <c r="M49" i="32" s="1"/>
  <c r="L50" i="32"/>
  <c r="M50" i="32" s="1"/>
  <c r="L51" i="32"/>
  <c r="M51" i="32" s="1"/>
  <c r="L52" i="32"/>
  <c r="M52" i="32" s="1"/>
  <c r="L53" i="32"/>
  <c r="M53" i="32" s="1"/>
  <c r="L54" i="32"/>
  <c r="M54" i="32" s="1"/>
  <c r="L55" i="32"/>
  <c r="M55" i="32" s="1"/>
  <c r="L56" i="32"/>
  <c r="M56" i="32" s="1"/>
  <c r="L57" i="32"/>
  <c r="M57" i="32" s="1"/>
  <c r="L58" i="32"/>
  <c r="M58" i="32" s="1"/>
  <c r="L59" i="32"/>
  <c r="M59" i="32" s="1"/>
  <c r="L60" i="32"/>
  <c r="M60" i="32" s="1"/>
  <c r="L61" i="32"/>
  <c r="M61" i="32" s="1"/>
  <c r="L62" i="32"/>
  <c r="M62" i="32" s="1"/>
  <c r="L63" i="32"/>
  <c r="M63" i="32" s="1"/>
  <c r="L64" i="32"/>
  <c r="M64" i="32" s="1"/>
  <c r="L65" i="32"/>
  <c r="M65" i="32" s="1"/>
  <c r="L66" i="32"/>
  <c r="M66" i="32" s="1"/>
  <c r="L67" i="32"/>
  <c r="M67" i="32" s="1"/>
  <c r="L68" i="32"/>
  <c r="M68" i="32" s="1"/>
  <c r="L69" i="32"/>
  <c r="M69" i="32" s="1"/>
  <c r="L70" i="32"/>
  <c r="M70" i="32" s="1"/>
  <c r="L71" i="32"/>
  <c r="M71" i="32" s="1"/>
  <c r="L72" i="32"/>
  <c r="M72" i="32" s="1"/>
  <c r="L73" i="32"/>
  <c r="M73" i="32" s="1"/>
  <c r="L74" i="32"/>
  <c r="M74" i="32" s="1"/>
  <c r="L75" i="32"/>
  <c r="M75" i="32" s="1"/>
  <c r="L76" i="32"/>
  <c r="M76" i="32" s="1"/>
  <c r="L77" i="32"/>
  <c r="M77" i="32" s="1"/>
  <c r="L78" i="32"/>
  <c r="M78" i="32" s="1"/>
  <c r="L79" i="32"/>
  <c r="M79" i="32" s="1"/>
  <c r="L80" i="32"/>
  <c r="M80" i="32" s="1"/>
  <c r="L81" i="32"/>
  <c r="M81" i="32" s="1"/>
  <c r="L82" i="32"/>
  <c r="M82" i="32" s="1"/>
  <c r="L83" i="32"/>
  <c r="M83" i="32" s="1"/>
  <c r="L84" i="32"/>
  <c r="M84" i="32" s="1"/>
  <c r="L85" i="32"/>
  <c r="M85" i="32" s="1"/>
  <c r="L86" i="32"/>
  <c r="M86" i="32" s="1"/>
  <c r="L87" i="32"/>
  <c r="M87" i="32" s="1"/>
  <c r="L88" i="32"/>
  <c r="M88" i="32" s="1"/>
  <c r="L89" i="32"/>
  <c r="M89" i="32" s="1"/>
  <c r="L90" i="32"/>
  <c r="M90" i="32" s="1"/>
  <c r="L91" i="32"/>
  <c r="M91" i="32" s="1"/>
  <c r="L92" i="32"/>
  <c r="M92" i="32" s="1"/>
  <c r="L93" i="32"/>
  <c r="M93" i="32" s="1"/>
  <c r="L94" i="32"/>
  <c r="M94" i="32" s="1"/>
  <c r="L95" i="32"/>
  <c r="M95" i="32" s="1"/>
  <c r="L96" i="32"/>
  <c r="M96" i="32" s="1"/>
  <c r="L97" i="32"/>
  <c r="M97" i="32" s="1"/>
  <c r="L98" i="32"/>
  <c r="M98" i="32" s="1"/>
  <c r="L99" i="32"/>
  <c r="M99" i="32" s="1"/>
  <c r="L100" i="32"/>
  <c r="M100" i="32" s="1"/>
  <c r="L101" i="32"/>
  <c r="M101" i="32" s="1"/>
  <c r="L102" i="32"/>
  <c r="M102" i="32" s="1"/>
  <c r="L103" i="32"/>
  <c r="M103" i="32" s="1"/>
  <c r="L104" i="32"/>
  <c r="M104" i="32" s="1"/>
  <c r="L105" i="32"/>
  <c r="M105" i="32" s="1"/>
  <c r="L106" i="32"/>
  <c r="M106" i="32" s="1"/>
  <c r="L107" i="32"/>
  <c r="M107" i="32" s="1"/>
  <c r="L108" i="32"/>
  <c r="M108" i="32" s="1"/>
  <c r="L109" i="32"/>
  <c r="M109" i="32" s="1"/>
  <c r="L110" i="32"/>
  <c r="M110" i="32" s="1"/>
  <c r="L111" i="32"/>
  <c r="M111" i="32" s="1"/>
  <c r="L112" i="32"/>
  <c r="M112" i="32" s="1"/>
  <c r="L113" i="32"/>
  <c r="M113" i="32" s="1"/>
  <c r="L114" i="32"/>
  <c r="M114" i="32" s="1"/>
  <c r="L115" i="32"/>
  <c r="M115" i="32" s="1"/>
  <c r="L116" i="32"/>
  <c r="M116" i="32" s="1"/>
  <c r="L117" i="32"/>
  <c r="M117" i="32" s="1"/>
  <c r="L118" i="32"/>
  <c r="M118" i="32" s="1"/>
  <c r="L119" i="32"/>
  <c r="M119" i="32" s="1"/>
  <c r="L120" i="32"/>
  <c r="M120" i="32" s="1"/>
  <c r="L121" i="32"/>
  <c r="M121" i="32" s="1"/>
  <c r="L122" i="32"/>
  <c r="M122" i="32" s="1"/>
  <c r="L123" i="32"/>
  <c r="M123" i="32" s="1"/>
  <c r="L124" i="32"/>
  <c r="M124" i="32" s="1"/>
  <c r="L125" i="32"/>
  <c r="M125" i="32" s="1"/>
  <c r="L126" i="32"/>
  <c r="M126" i="32" s="1"/>
  <c r="L127" i="32"/>
  <c r="M127" i="32" s="1"/>
  <c r="L128" i="32"/>
  <c r="M128" i="32" s="1"/>
  <c r="L129" i="32"/>
  <c r="M129" i="32" s="1"/>
  <c r="L130" i="32"/>
  <c r="M130" i="32" s="1"/>
  <c r="L131" i="32"/>
  <c r="M131" i="32" s="1"/>
  <c r="L132" i="32"/>
  <c r="M132" i="32" s="1"/>
  <c r="L133" i="32"/>
  <c r="M133" i="32" s="1"/>
  <c r="L134" i="32"/>
  <c r="M134" i="32" s="1"/>
  <c r="L135" i="32"/>
  <c r="M135" i="32" s="1"/>
  <c r="L136" i="32"/>
  <c r="M136" i="32" s="1"/>
  <c r="L137" i="32"/>
  <c r="M137" i="32" s="1"/>
  <c r="L138" i="32"/>
  <c r="M138" i="32" s="1"/>
  <c r="L139" i="32"/>
  <c r="M139" i="32" s="1"/>
  <c r="L140" i="32"/>
  <c r="M140" i="32" s="1"/>
  <c r="L141" i="32"/>
  <c r="M141" i="32" s="1"/>
  <c r="L142" i="32"/>
  <c r="M142" i="32" s="1"/>
  <c r="L143" i="32"/>
  <c r="M143" i="32" s="1"/>
  <c r="L144" i="32"/>
  <c r="M144" i="32" s="1"/>
  <c r="L145" i="32"/>
  <c r="M145" i="32" s="1"/>
  <c r="L146" i="32"/>
  <c r="M146" i="32" s="1"/>
  <c r="L147" i="32"/>
  <c r="M147" i="32" s="1"/>
  <c r="L148" i="32"/>
  <c r="M148" i="32" s="1"/>
  <c r="L149" i="32"/>
  <c r="M149" i="32" s="1"/>
  <c r="L150" i="32"/>
  <c r="M150" i="32" s="1"/>
  <c r="L151" i="32"/>
  <c r="M151" i="32" s="1"/>
  <c r="L152" i="32"/>
  <c r="M152" i="32" s="1"/>
  <c r="L153" i="32"/>
  <c r="M153" i="32" s="1"/>
  <c r="L154" i="32"/>
  <c r="M154" i="32" s="1"/>
  <c r="L155" i="32"/>
  <c r="M155" i="32" s="1"/>
  <c r="L156" i="32"/>
  <c r="M156" i="32" s="1"/>
  <c r="L157" i="32"/>
  <c r="M157" i="32" s="1"/>
  <c r="L158" i="32"/>
  <c r="M158" i="32" s="1"/>
  <c r="L159" i="32"/>
  <c r="M159" i="32" s="1"/>
  <c r="L160" i="32"/>
  <c r="M160" i="32" s="1"/>
  <c r="L161" i="32"/>
  <c r="M161" i="32" s="1"/>
  <c r="L162" i="32"/>
  <c r="M162" i="32" s="1"/>
  <c r="L163" i="32"/>
  <c r="M163" i="32" s="1"/>
  <c r="L164" i="32"/>
  <c r="M164" i="32" s="1"/>
  <c r="L165" i="32"/>
  <c r="M165" i="32" s="1"/>
  <c r="L166" i="32"/>
  <c r="M166" i="32" s="1"/>
  <c r="L167" i="32"/>
  <c r="M167" i="32" s="1"/>
  <c r="L168" i="32"/>
  <c r="M168" i="32" s="1"/>
  <c r="L169" i="32"/>
  <c r="M169" i="32" s="1"/>
  <c r="L170" i="32"/>
  <c r="M170" i="32" s="1"/>
  <c r="L171" i="32"/>
  <c r="M171" i="32" s="1"/>
  <c r="L172" i="32"/>
  <c r="M172" i="32" s="1"/>
  <c r="L173" i="32"/>
  <c r="M173" i="32" s="1"/>
  <c r="L174" i="32"/>
  <c r="M174" i="32" s="1"/>
  <c r="L175" i="32"/>
  <c r="M175" i="32" s="1"/>
  <c r="L176" i="32"/>
  <c r="M176" i="32" s="1"/>
  <c r="L177" i="32"/>
  <c r="M177" i="32" s="1"/>
  <c r="L178" i="32"/>
  <c r="M178" i="32" s="1"/>
  <c r="L179" i="32"/>
  <c r="M179" i="32" s="1"/>
  <c r="L180" i="32"/>
  <c r="M180" i="32" s="1"/>
  <c r="L181" i="32"/>
  <c r="M181" i="32" s="1"/>
  <c r="L182" i="32"/>
  <c r="M182" i="32" s="1"/>
  <c r="L183" i="32"/>
  <c r="M183" i="32" s="1"/>
  <c r="L184" i="32"/>
  <c r="M184" i="32" s="1"/>
  <c r="L185" i="32"/>
  <c r="M185" i="32" s="1"/>
  <c r="L186" i="32"/>
  <c r="M186" i="32" s="1"/>
  <c r="L187" i="32"/>
  <c r="M187" i="32" s="1"/>
  <c r="L188" i="32"/>
  <c r="M188" i="32" s="1"/>
  <c r="L189" i="32"/>
  <c r="M189" i="32" s="1"/>
  <c r="L190" i="32"/>
  <c r="M190" i="32" s="1"/>
  <c r="L191" i="32"/>
  <c r="M191" i="32" s="1"/>
  <c r="L192" i="32"/>
  <c r="M192" i="32" s="1"/>
  <c r="L193" i="32"/>
  <c r="M193" i="32" s="1"/>
  <c r="L194" i="32"/>
  <c r="M194" i="32" s="1"/>
  <c r="L195" i="32"/>
  <c r="M195" i="32" s="1"/>
  <c r="L196" i="32"/>
  <c r="M196" i="32" s="1"/>
  <c r="L197" i="32"/>
  <c r="M197" i="32" s="1"/>
  <c r="L198" i="32"/>
  <c r="M198" i="32" s="1"/>
  <c r="L199" i="32"/>
  <c r="M199" i="32" s="1"/>
  <c r="L200" i="32"/>
  <c r="M200" i="32" s="1"/>
  <c r="L201" i="32"/>
  <c r="M201" i="32" s="1"/>
  <c r="L202" i="32"/>
  <c r="M202" i="32" s="1"/>
  <c r="L203" i="32"/>
  <c r="M203" i="32" s="1"/>
  <c r="L204" i="32"/>
  <c r="M204" i="32" s="1"/>
  <c r="L205" i="32"/>
  <c r="M205" i="32" s="1"/>
  <c r="L206" i="32"/>
  <c r="M206" i="32" s="1"/>
  <c r="L207" i="32"/>
  <c r="M207" i="32" s="1"/>
  <c r="L208" i="32"/>
  <c r="M208" i="32" s="1"/>
  <c r="L209" i="32"/>
  <c r="M209" i="32" s="1"/>
  <c r="L210" i="32"/>
  <c r="M210" i="32" s="1"/>
  <c r="L211" i="32"/>
  <c r="M211" i="32" s="1"/>
  <c r="L212" i="32"/>
  <c r="M212" i="32" s="1"/>
  <c r="L213" i="32"/>
  <c r="M213" i="32" s="1"/>
  <c r="L214" i="32"/>
  <c r="M214" i="32" s="1"/>
  <c r="L215" i="32"/>
  <c r="M215" i="32" s="1"/>
  <c r="L216" i="32"/>
  <c r="M216" i="32" s="1"/>
  <c r="L217" i="32"/>
  <c r="M217" i="32" s="1"/>
  <c r="L218" i="32"/>
  <c r="M218" i="32" s="1"/>
  <c r="L219" i="32"/>
  <c r="M219" i="32" s="1"/>
  <c r="L220" i="32"/>
  <c r="M220" i="32" s="1"/>
  <c r="L221" i="32"/>
  <c r="M221" i="32" s="1"/>
  <c r="L222" i="32"/>
  <c r="M222" i="32" s="1"/>
  <c r="L223" i="32"/>
  <c r="M223" i="32" s="1"/>
  <c r="L224" i="32"/>
  <c r="M224" i="32" s="1"/>
  <c r="L225" i="32"/>
  <c r="M225" i="32" s="1"/>
  <c r="L226" i="32"/>
  <c r="M226" i="32" s="1"/>
  <c r="L227" i="32"/>
  <c r="M227" i="32" s="1"/>
  <c r="L228" i="32"/>
  <c r="M228" i="32" s="1"/>
  <c r="L229" i="32"/>
  <c r="M229" i="32" s="1"/>
  <c r="L230" i="32"/>
  <c r="M230" i="32" s="1"/>
  <c r="L231" i="32"/>
  <c r="M231" i="32" s="1"/>
  <c r="L232" i="32"/>
  <c r="M232" i="32" s="1"/>
  <c r="L233" i="32"/>
  <c r="M233" i="32" s="1"/>
  <c r="L234" i="32"/>
  <c r="M234" i="32" s="1"/>
  <c r="L235" i="32"/>
  <c r="M235" i="32" s="1"/>
  <c r="L236" i="32"/>
  <c r="M236" i="32" s="1"/>
  <c r="L237" i="32"/>
  <c r="M237" i="32" s="1"/>
  <c r="L238" i="32"/>
  <c r="M238" i="32" s="1"/>
  <c r="L239" i="32"/>
  <c r="M239" i="32" s="1"/>
  <c r="L240" i="32"/>
  <c r="M240" i="32" s="1"/>
  <c r="L241" i="32"/>
  <c r="M241" i="32" s="1"/>
  <c r="L242" i="32"/>
  <c r="M242" i="32" s="1"/>
  <c r="L243" i="32"/>
  <c r="M243" i="32" s="1"/>
  <c r="L244" i="32"/>
  <c r="M244" i="32" s="1"/>
  <c r="L245" i="32"/>
  <c r="M245" i="32" s="1"/>
  <c r="L246" i="32"/>
  <c r="M246" i="32" s="1"/>
  <c r="L247" i="32"/>
  <c r="M247" i="32" s="1"/>
  <c r="L248" i="32"/>
  <c r="M248" i="32" s="1"/>
  <c r="L249" i="32"/>
  <c r="M249" i="32" s="1"/>
  <c r="L250" i="32"/>
  <c r="M250" i="32" s="1"/>
  <c r="L251" i="32"/>
  <c r="M251" i="32" s="1"/>
  <c r="L252" i="32"/>
  <c r="M252" i="32" s="1"/>
  <c r="L253" i="32"/>
  <c r="M253" i="32" s="1"/>
  <c r="L254" i="32"/>
  <c r="M254" i="32" s="1"/>
  <c r="L255" i="32"/>
  <c r="M255" i="32" s="1"/>
  <c r="L256" i="32"/>
  <c r="M256" i="32" s="1"/>
  <c r="L257" i="32"/>
  <c r="M257" i="32" s="1"/>
  <c r="L258" i="32"/>
  <c r="M258" i="32" s="1"/>
  <c r="L259" i="32"/>
  <c r="M259" i="32" s="1"/>
  <c r="L260" i="32"/>
  <c r="M260" i="32" s="1"/>
  <c r="L261" i="32"/>
  <c r="M261" i="32" s="1"/>
  <c r="L262" i="32"/>
  <c r="M262" i="32" s="1"/>
  <c r="L263" i="32"/>
  <c r="M263" i="32" s="1"/>
  <c r="L264" i="32"/>
  <c r="M264" i="32" s="1"/>
  <c r="L265" i="32"/>
  <c r="M265" i="32" s="1"/>
  <c r="L266" i="32"/>
  <c r="M266" i="32" s="1"/>
  <c r="L267" i="32"/>
  <c r="M267" i="32" s="1"/>
  <c r="L268" i="32"/>
  <c r="M268" i="32" s="1"/>
  <c r="L269" i="32"/>
  <c r="M269" i="32" s="1"/>
  <c r="L270" i="32"/>
  <c r="M270" i="32" s="1"/>
  <c r="L271" i="32"/>
  <c r="M271" i="32" s="1"/>
  <c r="L272" i="32"/>
  <c r="M272" i="32" s="1"/>
  <c r="L273" i="32"/>
  <c r="M273" i="32" s="1"/>
  <c r="L274" i="32"/>
  <c r="M274" i="32" s="1"/>
  <c r="L275" i="32"/>
  <c r="M275" i="32" s="1"/>
  <c r="L276" i="32"/>
  <c r="M276" i="32" s="1"/>
  <c r="L277" i="32"/>
  <c r="M277" i="32" s="1"/>
  <c r="L278" i="32"/>
  <c r="M278" i="32" s="1"/>
  <c r="L279" i="32"/>
  <c r="M279" i="32" s="1"/>
  <c r="L280" i="32"/>
  <c r="M280" i="32" s="1"/>
  <c r="L281" i="32"/>
  <c r="M281" i="32" s="1"/>
  <c r="L282" i="32"/>
  <c r="M282" i="32" s="1"/>
  <c r="L283" i="32"/>
  <c r="M283" i="32" s="1"/>
  <c r="L284" i="32"/>
  <c r="M284" i="32" s="1"/>
  <c r="L285" i="32"/>
  <c r="M285" i="32" s="1"/>
  <c r="L286" i="32"/>
  <c r="M286" i="32" s="1"/>
  <c r="L287" i="32"/>
  <c r="M287" i="32" s="1"/>
  <c r="L288" i="32"/>
  <c r="M288" i="32" s="1"/>
  <c r="L289" i="32"/>
  <c r="M289" i="32" s="1"/>
  <c r="L290" i="32"/>
  <c r="M290" i="32" s="1"/>
  <c r="L291" i="32"/>
  <c r="M291" i="32" s="1"/>
  <c r="L292" i="32"/>
  <c r="M292" i="32" s="1"/>
  <c r="L293" i="32"/>
  <c r="M293" i="32" s="1"/>
  <c r="L294" i="32"/>
  <c r="M294" i="32" s="1"/>
  <c r="L295" i="32"/>
  <c r="M295" i="32" s="1"/>
  <c r="L296" i="32"/>
  <c r="M296" i="32" s="1"/>
  <c r="L297" i="32"/>
  <c r="M297" i="32" s="1"/>
  <c r="L298" i="32"/>
  <c r="M298" i="32" s="1"/>
  <c r="L299" i="32"/>
  <c r="M299" i="32" s="1"/>
  <c r="L300" i="32"/>
  <c r="M300" i="32" s="1"/>
  <c r="L301" i="32"/>
  <c r="M301" i="32" s="1"/>
  <c r="L302" i="32"/>
  <c r="M302" i="32" s="1"/>
  <c r="L303" i="32"/>
  <c r="M303" i="32" s="1"/>
  <c r="L304" i="32"/>
  <c r="M304" i="32" s="1"/>
  <c r="L305" i="32"/>
  <c r="M305" i="32" s="1"/>
  <c r="L306" i="32"/>
  <c r="M306" i="32" s="1"/>
  <c r="L307" i="32"/>
  <c r="M307" i="32" s="1"/>
  <c r="L308" i="32"/>
  <c r="M308" i="32" s="1"/>
  <c r="L309" i="32"/>
  <c r="M309" i="32" s="1"/>
  <c r="L310" i="32"/>
  <c r="M310" i="32" s="1"/>
  <c r="L311" i="32"/>
  <c r="M311" i="32" s="1"/>
  <c r="L312" i="32"/>
  <c r="M312" i="32" s="1"/>
  <c r="L313" i="32"/>
  <c r="M313" i="32" s="1"/>
  <c r="L314" i="32"/>
  <c r="M314" i="32" s="1"/>
  <c r="L315" i="32"/>
  <c r="M315" i="32" s="1"/>
  <c r="L316" i="32"/>
  <c r="M316" i="32" s="1"/>
  <c r="L317" i="32"/>
  <c r="M317" i="32" s="1"/>
  <c r="L318" i="32"/>
  <c r="M318" i="32" s="1"/>
  <c r="L319" i="32"/>
  <c r="M319" i="32" s="1"/>
  <c r="L320" i="32"/>
  <c r="M320" i="32" s="1"/>
  <c r="L321" i="32"/>
  <c r="M321" i="32" s="1"/>
  <c r="L322" i="32"/>
  <c r="M322" i="32" s="1"/>
  <c r="L323" i="32"/>
  <c r="M323" i="32" s="1"/>
  <c r="L324" i="32"/>
  <c r="M324" i="32" s="1"/>
  <c r="L325" i="32"/>
  <c r="M325" i="32" s="1"/>
  <c r="L326" i="32"/>
  <c r="M326" i="32" s="1"/>
  <c r="L327" i="32"/>
  <c r="M327" i="32" s="1"/>
  <c r="L328" i="32"/>
  <c r="M328" i="32" s="1"/>
  <c r="L329" i="32"/>
  <c r="M329" i="32" s="1"/>
  <c r="L330" i="32"/>
  <c r="M330" i="32" s="1"/>
  <c r="L331" i="32"/>
  <c r="M331" i="32" s="1"/>
  <c r="L332" i="32"/>
  <c r="M332" i="32" s="1"/>
  <c r="L333" i="32"/>
  <c r="M333" i="32" s="1"/>
  <c r="L334" i="32"/>
  <c r="M334" i="32" s="1"/>
  <c r="L335" i="32"/>
  <c r="M335" i="32" s="1"/>
  <c r="L336" i="32"/>
  <c r="M336" i="32" s="1"/>
  <c r="L337" i="32"/>
  <c r="M337" i="32" s="1"/>
  <c r="L338" i="32"/>
  <c r="M338" i="32" s="1"/>
  <c r="L339" i="32"/>
  <c r="M339" i="32" s="1"/>
  <c r="L340" i="32"/>
  <c r="M340" i="32" s="1"/>
  <c r="L341" i="32"/>
  <c r="M341" i="32" s="1"/>
  <c r="L342" i="32"/>
  <c r="M342" i="32" s="1"/>
  <c r="L343" i="32"/>
  <c r="M343" i="32" s="1"/>
  <c r="L344" i="32"/>
  <c r="M344" i="32" s="1"/>
  <c r="L345" i="32"/>
  <c r="M345" i="32" s="1"/>
  <c r="L346" i="32"/>
  <c r="M346" i="32" s="1"/>
  <c r="L347" i="32"/>
  <c r="M347" i="32" s="1"/>
  <c r="L348" i="32"/>
  <c r="M348" i="32" s="1"/>
  <c r="L349" i="32"/>
  <c r="M349" i="32" s="1"/>
  <c r="L350" i="32"/>
  <c r="M350" i="32" s="1"/>
  <c r="L351" i="32"/>
  <c r="M351" i="32" s="1"/>
  <c r="L352" i="32"/>
  <c r="M352" i="32" s="1"/>
  <c r="L353" i="32"/>
  <c r="M353" i="32" s="1"/>
  <c r="L354" i="32"/>
  <c r="M354" i="32" s="1"/>
  <c r="L355" i="32"/>
  <c r="M355" i="32" s="1"/>
  <c r="L356" i="32"/>
  <c r="M356" i="32" s="1"/>
  <c r="L357" i="32"/>
  <c r="M357" i="32" s="1"/>
  <c r="L358" i="32"/>
  <c r="M358" i="32" s="1"/>
  <c r="L359" i="32"/>
  <c r="M359" i="32" s="1"/>
  <c r="L360" i="32"/>
  <c r="M360" i="32" s="1"/>
  <c r="L361" i="32"/>
  <c r="M361" i="32" s="1"/>
  <c r="L362" i="32"/>
  <c r="M362" i="32" s="1"/>
  <c r="L363" i="32"/>
  <c r="M363" i="32" s="1"/>
  <c r="L364" i="32"/>
  <c r="M364" i="32" s="1"/>
  <c r="L365" i="32"/>
  <c r="M365" i="32" s="1"/>
  <c r="L366" i="32"/>
  <c r="M366" i="32" s="1"/>
  <c r="L367" i="32"/>
  <c r="M367" i="32" s="1"/>
  <c r="L368" i="32"/>
  <c r="M368" i="32" s="1"/>
  <c r="L369" i="32"/>
  <c r="M369" i="32" s="1"/>
  <c r="L370" i="32"/>
  <c r="M370" i="32" s="1"/>
  <c r="L371" i="32"/>
  <c r="M371" i="32" s="1"/>
  <c r="L372" i="32"/>
  <c r="M372" i="32" s="1"/>
  <c r="L373" i="32"/>
  <c r="M373" i="32" s="1"/>
  <c r="L374" i="32"/>
  <c r="M374" i="32" s="1"/>
  <c r="L375" i="32"/>
  <c r="M375" i="32" s="1"/>
  <c r="L376" i="32"/>
  <c r="M376" i="32" s="1"/>
  <c r="L377" i="32"/>
  <c r="M377" i="32" s="1"/>
  <c r="L378" i="32"/>
  <c r="M378" i="32" s="1"/>
  <c r="L379" i="32"/>
  <c r="M379" i="32" s="1"/>
  <c r="L380" i="32"/>
  <c r="M380" i="32" s="1"/>
  <c r="L381" i="32"/>
  <c r="M381" i="32" s="1"/>
  <c r="L382" i="32"/>
  <c r="M382" i="32" s="1"/>
  <c r="L383" i="32"/>
  <c r="M383" i="32" s="1"/>
  <c r="L384" i="32"/>
  <c r="M384" i="32" s="1"/>
  <c r="L385" i="32"/>
  <c r="M385" i="32" s="1"/>
  <c r="L386" i="32"/>
  <c r="M386" i="32" s="1"/>
  <c r="L387" i="32"/>
  <c r="M387" i="32" s="1"/>
  <c r="L388" i="32"/>
  <c r="M388" i="32" s="1"/>
  <c r="L389" i="32"/>
  <c r="M389" i="32" s="1"/>
  <c r="L390" i="32"/>
  <c r="M390" i="32" s="1"/>
  <c r="L391" i="32"/>
  <c r="M391" i="32" s="1"/>
  <c r="L392" i="32"/>
  <c r="M392" i="32" s="1"/>
  <c r="L393" i="32"/>
  <c r="M393" i="32" s="1"/>
  <c r="L394" i="32"/>
  <c r="M394" i="32" s="1"/>
  <c r="L395" i="32"/>
  <c r="M395" i="32" s="1"/>
  <c r="L396" i="32"/>
  <c r="M396" i="32" s="1"/>
  <c r="L397" i="32"/>
  <c r="M397" i="32" s="1"/>
  <c r="L398" i="32"/>
  <c r="M398" i="32" s="1"/>
  <c r="L399" i="32"/>
  <c r="M399" i="32" s="1"/>
  <c r="L400" i="32"/>
  <c r="M400" i="32" s="1"/>
  <c r="L401" i="32"/>
  <c r="M401" i="32" s="1"/>
  <c r="L402" i="32"/>
  <c r="M402" i="32" s="1"/>
  <c r="L403" i="32"/>
  <c r="M403" i="32" s="1"/>
  <c r="L404" i="32"/>
  <c r="M404" i="32" s="1"/>
  <c r="L405" i="32"/>
  <c r="M405" i="32" s="1"/>
  <c r="L406" i="32"/>
  <c r="M406" i="32" s="1"/>
  <c r="L407" i="32"/>
  <c r="M407" i="32" s="1"/>
  <c r="L408" i="32"/>
  <c r="M408" i="32" s="1"/>
  <c r="L409" i="32"/>
  <c r="M409" i="32" s="1"/>
  <c r="L410" i="32"/>
  <c r="M410" i="32" s="1"/>
  <c r="L411" i="32"/>
  <c r="M411" i="32" s="1"/>
  <c r="L412" i="32"/>
  <c r="M412" i="32" s="1"/>
  <c r="L413" i="32"/>
  <c r="M413" i="32" s="1"/>
  <c r="L414" i="32"/>
  <c r="M414" i="32" s="1"/>
  <c r="L415" i="32"/>
  <c r="M415" i="32" s="1"/>
  <c r="L416" i="32"/>
  <c r="M416" i="32" s="1"/>
  <c r="L417" i="32"/>
  <c r="M417" i="32" s="1"/>
  <c r="L418" i="32"/>
  <c r="M418" i="32" s="1"/>
  <c r="L419" i="32"/>
  <c r="M419" i="32" s="1"/>
  <c r="L420" i="32"/>
  <c r="M420" i="32" s="1"/>
  <c r="L421" i="32"/>
  <c r="M421" i="32" s="1"/>
  <c r="L422" i="32"/>
  <c r="M422" i="32" s="1"/>
  <c r="L423" i="32"/>
  <c r="M423" i="32" s="1"/>
  <c r="L424" i="32"/>
  <c r="M424" i="32" s="1"/>
  <c r="L425" i="32"/>
  <c r="M425" i="32" s="1"/>
  <c r="L426" i="32"/>
  <c r="M426" i="32" s="1"/>
  <c r="L427" i="32"/>
  <c r="M427" i="32" s="1"/>
  <c r="L428" i="32"/>
  <c r="M428" i="32" s="1"/>
  <c r="L429" i="32"/>
  <c r="M429" i="32" s="1"/>
  <c r="L430" i="32"/>
  <c r="M430" i="32" s="1"/>
  <c r="L431" i="32"/>
  <c r="M431" i="32" s="1"/>
  <c r="L432" i="32"/>
  <c r="M432" i="32" s="1"/>
  <c r="L433" i="32"/>
  <c r="M433" i="32" s="1"/>
  <c r="L434" i="32"/>
  <c r="M434" i="32" s="1"/>
  <c r="L435" i="32"/>
  <c r="M435" i="32" s="1"/>
  <c r="L436" i="32"/>
  <c r="M436" i="32" s="1"/>
  <c r="L437" i="32"/>
  <c r="M437" i="32" s="1"/>
  <c r="L438" i="32"/>
  <c r="M438" i="32" s="1"/>
  <c r="L439" i="32"/>
  <c r="M439" i="32" s="1"/>
  <c r="L440" i="32"/>
  <c r="M440" i="32" s="1"/>
  <c r="L441" i="32"/>
  <c r="M441" i="32" s="1"/>
  <c r="L442" i="32"/>
  <c r="M442" i="32" s="1"/>
  <c r="L443" i="32"/>
  <c r="M443" i="32" s="1"/>
  <c r="L444" i="32"/>
  <c r="M444" i="32" s="1"/>
  <c r="L445" i="32"/>
  <c r="M445" i="32" s="1"/>
  <c r="L446" i="32"/>
  <c r="M446" i="32" s="1"/>
  <c r="L447" i="32"/>
  <c r="M447" i="32" s="1"/>
  <c r="L448" i="32"/>
  <c r="M448" i="32" s="1"/>
  <c r="L449" i="32"/>
  <c r="M449" i="32" s="1"/>
  <c r="L450" i="32"/>
  <c r="M450" i="32" s="1"/>
  <c r="L451" i="32"/>
  <c r="M451" i="32" s="1"/>
  <c r="L452" i="32"/>
  <c r="M452" i="32" s="1"/>
  <c r="L453" i="32"/>
  <c r="M453" i="32" s="1"/>
  <c r="L454" i="32"/>
  <c r="M454" i="32" s="1"/>
  <c r="L455" i="32"/>
  <c r="M455" i="32" s="1"/>
  <c r="L456" i="32"/>
  <c r="M456" i="32" s="1"/>
  <c r="L457" i="32"/>
  <c r="M457" i="32" s="1"/>
  <c r="L458" i="32"/>
  <c r="M458" i="32" s="1"/>
  <c r="L459" i="32"/>
  <c r="M459" i="32" s="1"/>
  <c r="L460" i="32"/>
  <c r="M460" i="32" s="1"/>
  <c r="L461" i="32"/>
  <c r="M461" i="32" s="1"/>
  <c r="L462" i="32"/>
  <c r="M462" i="32" s="1"/>
  <c r="L463" i="32"/>
  <c r="M463" i="32" s="1"/>
  <c r="L464" i="32"/>
  <c r="M464" i="32" s="1"/>
  <c r="L465" i="32"/>
  <c r="M465" i="32" s="1"/>
  <c r="L466" i="32"/>
  <c r="M466" i="32" s="1"/>
  <c r="L467" i="32"/>
  <c r="M467" i="32" s="1"/>
  <c r="L468" i="32"/>
  <c r="M468" i="32" s="1"/>
  <c r="L469" i="32"/>
  <c r="M469" i="32" s="1"/>
  <c r="L470" i="32"/>
  <c r="M470" i="32" s="1"/>
  <c r="L471" i="32"/>
  <c r="M471" i="32" s="1"/>
  <c r="L472" i="32"/>
  <c r="M472" i="32" s="1"/>
  <c r="L473" i="32"/>
  <c r="M473" i="32" s="1"/>
  <c r="L474" i="32"/>
  <c r="M474" i="32" s="1"/>
  <c r="L475" i="32"/>
  <c r="M475" i="32" s="1"/>
  <c r="L476" i="32"/>
  <c r="M476" i="32" s="1"/>
  <c r="L477" i="32"/>
  <c r="M477" i="32" s="1"/>
  <c r="L478" i="32"/>
  <c r="M478" i="32" s="1"/>
  <c r="L479" i="32"/>
  <c r="M479" i="32" s="1"/>
  <c r="L480" i="32"/>
  <c r="M480" i="32" s="1"/>
  <c r="L481" i="32"/>
  <c r="M481" i="32" s="1"/>
  <c r="L482" i="32"/>
  <c r="M482" i="32" s="1"/>
  <c r="L483" i="32"/>
  <c r="M483" i="32" s="1"/>
  <c r="L484" i="32"/>
  <c r="M484" i="32" s="1"/>
  <c r="L485" i="32"/>
  <c r="M485" i="32" s="1"/>
  <c r="L486" i="32"/>
  <c r="M486" i="32" s="1"/>
  <c r="L487" i="32"/>
  <c r="M487" i="32" s="1"/>
  <c r="L488" i="32"/>
  <c r="M488" i="32" s="1"/>
  <c r="L489" i="32"/>
  <c r="M489" i="32" s="1"/>
  <c r="L490" i="32"/>
  <c r="M490" i="32" s="1"/>
  <c r="L491" i="32"/>
  <c r="M491" i="32" s="1"/>
  <c r="L492" i="32"/>
  <c r="M492" i="32" s="1"/>
  <c r="L493" i="32"/>
  <c r="M493" i="32" s="1"/>
  <c r="L494" i="32"/>
  <c r="M494" i="32" s="1"/>
  <c r="L495" i="32"/>
  <c r="M495" i="32" s="1"/>
  <c r="L496" i="32"/>
  <c r="M496" i="32" s="1"/>
  <c r="L497" i="32"/>
  <c r="M497" i="32" s="1"/>
  <c r="L498" i="32"/>
  <c r="M498" i="32" s="1"/>
  <c r="L499" i="32"/>
  <c r="M499" i="32" s="1"/>
  <c r="L500" i="32"/>
  <c r="M500" i="32" s="1"/>
  <c r="L501" i="32"/>
  <c r="M501" i="32" s="1"/>
  <c r="L502" i="32"/>
  <c r="M502" i="32" s="1"/>
  <c r="L503" i="32"/>
  <c r="M503" i="32" s="1"/>
  <c r="L504" i="32"/>
  <c r="M504" i="32" s="1"/>
  <c r="L505" i="32"/>
  <c r="M505" i="32" s="1"/>
  <c r="L506" i="32"/>
  <c r="M506" i="32" s="1"/>
  <c r="L507" i="32"/>
  <c r="M507" i="32" s="1"/>
  <c r="L508" i="32"/>
  <c r="M508" i="32" s="1"/>
  <c r="L509" i="32"/>
  <c r="M509" i="32" s="1"/>
  <c r="L510" i="32"/>
  <c r="M510" i="32" s="1"/>
  <c r="L511" i="32"/>
  <c r="M511" i="32" s="1"/>
  <c r="L512" i="32"/>
  <c r="M512" i="32" s="1"/>
  <c r="L513" i="32"/>
  <c r="M513" i="32" s="1"/>
  <c r="L514" i="32"/>
  <c r="M514" i="32" s="1"/>
  <c r="L515" i="32"/>
  <c r="M515" i="32" s="1"/>
  <c r="L516" i="32"/>
  <c r="M516" i="32" s="1"/>
  <c r="L517" i="32"/>
  <c r="M517" i="32" s="1"/>
  <c r="L518" i="32"/>
  <c r="M518" i="32" s="1"/>
  <c r="L519" i="32"/>
  <c r="M519" i="32" s="1"/>
  <c r="L520" i="32"/>
  <c r="M520" i="32" s="1"/>
  <c r="L521" i="32"/>
  <c r="M521" i="32" s="1"/>
  <c r="L522" i="32"/>
  <c r="M522" i="32" s="1"/>
  <c r="L523" i="32"/>
  <c r="M523" i="32" s="1"/>
  <c r="L524" i="32"/>
  <c r="M524" i="32" s="1"/>
  <c r="L525" i="32"/>
  <c r="M525" i="32" s="1"/>
  <c r="L526" i="32"/>
  <c r="M526" i="32" s="1"/>
  <c r="L527" i="32"/>
  <c r="M527" i="32" s="1"/>
  <c r="L528" i="32"/>
  <c r="M528" i="32" s="1"/>
  <c r="L529" i="32"/>
  <c r="M529" i="32" s="1"/>
  <c r="L530" i="32"/>
  <c r="M530" i="32" s="1"/>
  <c r="L531" i="32"/>
  <c r="M531" i="32" s="1"/>
  <c r="L532" i="32"/>
  <c r="M532" i="32" s="1"/>
  <c r="L533" i="32"/>
  <c r="M533" i="32" s="1"/>
  <c r="L534" i="32"/>
  <c r="M534" i="32" s="1"/>
  <c r="L535" i="32"/>
  <c r="M535" i="32" s="1"/>
  <c r="L536" i="32"/>
  <c r="M536" i="32" s="1"/>
  <c r="L537" i="32"/>
  <c r="M537" i="32" s="1"/>
  <c r="L538" i="32"/>
  <c r="M538" i="32" s="1"/>
  <c r="L539" i="32"/>
  <c r="M539" i="32" s="1"/>
  <c r="L540" i="32"/>
  <c r="M540" i="32" s="1"/>
  <c r="L541" i="32"/>
  <c r="M541" i="32" s="1"/>
  <c r="L542" i="32"/>
  <c r="M542" i="32" s="1"/>
  <c r="L543" i="32"/>
  <c r="M543" i="32" s="1"/>
  <c r="L544" i="32"/>
  <c r="M544" i="32" s="1"/>
  <c r="L545" i="32"/>
  <c r="M545" i="32" s="1"/>
  <c r="L546" i="32"/>
  <c r="M546" i="32" s="1"/>
  <c r="L547" i="32"/>
  <c r="M547" i="32" s="1"/>
  <c r="L548" i="32"/>
  <c r="M548" i="32" s="1"/>
  <c r="L549" i="32"/>
  <c r="M549" i="32" s="1"/>
  <c r="L550" i="32"/>
  <c r="M550" i="32" s="1"/>
  <c r="L551" i="32"/>
  <c r="M551" i="32" s="1"/>
  <c r="L552" i="32"/>
  <c r="M552" i="32" s="1"/>
  <c r="L553" i="32"/>
  <c r="M553" i="32" s="1"/>
  <c r="L554" i="32"/>
  <c r="M554" i="32" s="1"/>
  <c r="L555" i="32"/>
  <c r="M555" i="32" s="1"/>
  <c r="L556" i="32"/>
  <c r="M556" i="32" s="1"/>
  <c r="L557" i="32"/>
  <c r="M557" i="32" s="1"/>
  <c r="L558" i="32"/>
  <c r="M558" i="32" s="1"/>
  <c r="L559" i="32"/>
  <c r="M559" i="32" s="1"/>
  <c r="L560" i="32"/>
  <c r="M560" i="32" s="1"/>
  <c r="L561" i="32"/>
  <c r="M561" i="32" s="1"/>
  <c r="L562" i="32"/>
  <c r="M562" i="32" s="1"/>
  <c r="L563" i="32"/>
  <c r="M563" i="32" s="1"/>
  <c r="L564" i="32"/>
  <c r="M564" i="32" s="1"/>
  <c r="L565" i="32"/>
  <c r="M565" i="32" s="1"/>
  <c r="L566" i="32"/>
  <c r="M566" i="32" s="1"/>
  <c r="L567" i="32"/>
  <c r="M567" i="32" s="1"/>
  <c r="L568" i="32"/>
  <c r="M568" i="32" s="1"/>
  <c r="L569" i="32"/>
  <c r="M569" i="32" s="1"/>
  <c r="L570" i="32"/>
  <c r="M570" i="32" s="1"/>
  <c r="L571" i="32"/>
  <c r="M571" i="32" s="1"/>
  <c r="L572" i="32"/>
  <c r="M572" i="32" s="1"/>
  <c r="L573" i="32"/>
  <c r="M573" i="32" s="1"/>
  <c r="L574" i="32"/>
  <c r="M574" i="32" s="1"/>
  <c r="L575" i="32"/>
  <c r="M575" i="32" s="1"/>
  <c r="L576" i="32"/>
  <c r="M576" i="32" s="1"/>
  <c r="L577" i="32"/>
  <c r="M577" i="32" s="1"/>
  <c r="L578" i="32"/>
  <c r="M578" i="32" s="1"/>
  <c r="L579" i="32"/>
  <c r="M579" i="32" s="1"/>
  <c r="L580" i="32"/>
  <c r="M580" i="32" s="1"/>
  <c r="L581" i="32"/>
  <c r="M581" i="32" s="1"/>
  <c r="L582" i="32"/>
  <c r="M582" i="32" s="1"/>
  <c r="L583" i="32"/>
  <c r="M583" i="32" s="1"/>
  <c r="L584" i="32"/>
  <c r="M584" i="32" s="1"/>
  <c r="L585" i="32"/>
  <c r="M585" i="32" s="1"/>
  <c r="L586" i="32"/>
  <c r="M586" i="32" s="1"/>
  <c r="L587" i="32"/>
  <c r="M587" i="32" s="1"/>
  <c r="L588" i="32"/>
  <c r="M588" i="32" s="1"/>
  <c r="L589" i="32"/>
  <c r="M589" i="32" s="1"/>
  <c r="L590" i="32"/>
  <c r="M590" i="32" s="1"/>
  <c r="L591" i="32"/>
  <c r="M591" i="32" s="1"/>
  <c r="L592" i="32"/>
  <c r="M592" i="32" s="1"/>
  <c r="L593" i="32"/>
  <c r="M593" i="32" s="1"/>
  <c r="L594" i="32"/>
  <c r="M594" i="32" s="1"/>
  <c r="L595" i="32"/>
  <c r="M595" i="32" s="1"/>
  <c r="L596" i="32"/>
  <c r="M596" i="32" s="1"/>
  <c r="L597" i="32"/>
  <c r="M597" i="32" s="1"/>
  <c r="L598" i="32"/>
  <c r="M598" i="32" s="1"/>
  <c r="L599" i="32"/>
  <c r="M599" i="32" s="1"/>
  <c r="L600" i="32"/>
  <c r="M600" i="32" s="1"/>
  <c r="L601" i="32"/>
  <c r="M601" i="32" s="1"/>
  <c r="L602" i="32"/>
  <c r="M602" i="32" s="1"/>
  <c r="L603" i="32"/>
  <c r="M603" i="32" s="1"/>
  <c r="L604" i="32"/>
  <c r="M604" i="32" s="1"/>
  <c r="L605" i="32"/>
  <c r="M605" i="32" s="1"/>
  <c r="L606" i="32"/>
  <c r="M606" i="32" s="1"/>
  <c r="L607" i="32"/>
  <c r="M607" i="32" s="1"/>
  <c r="L608" i="32"/>
  <c r="M608" i="32" s="1"/>
  <c r="L609" i="32"/>
  <c r="M609" i="32" s="1"/>
  <c r="L610" i="32"/>
  <c r="M610" i="32" s="1"/>
  <c r="L611" i="32"/>
  <c r="M611" i="32" s="1"/>
  <c r="L612" i="32"/>
  <c r="M612" i="32" s="1"/>
  <c r="L613" i="32"/>
  <c r="M613" i="32" s="1"/>
  <c r="L614" i="32"/>
  <c r="M614" i="32" s="1"/>
  <c r="L615" i="32"/>
  <c r="M615" i="32" s="1"/>
  <c r="L616" i="32"/>
  <c r="M616" i="32" s="1"/>
  <c r="L617" i="32"/>
  <c r="M617" i="32" s="1"/>
  <c r="L618" i="32"/>
  <c r="M618" i="32" s="1"/>
  <c r="L619" i="32"/>
  <c r="M619" i="32" s="1"/>
  <c r="L620" i="32"/>
  <c r="M620" i="32" s="1"/>
  <c r="L621" i="32"/>
  <c r="M621" i="32" s="1"/>
  <c r="L622" i="32"/>
  <c r="M622" i="32" s="1"/>
  <c r="L623" i="32"/>
  <c r="M623" i="32" s="1"/>
  <c r="L624" i="32"/>
  <c r="M624" i="32" s="1"/>
  <c r="L625" i="32"/>
  <c r="M625" i="32" s="1"/>
  <c r="L626" i="32"/>
  <c r="M626" i="32" s="1"/>
  <c r="L627" i="32"/>
  <c r="M627" i="32" s="1"/>
  <c r="L628" i="32"/>
  <c r="M628" i="32" s="1"/>
  <c r="L629" i="32"/>
  <c r="M629" i="32" s="1"/>
  <c r="L630" i="32"/>
  <c r="M630" i="32" s="1"/>
  <c r="L631" i="32"/>
  <c r="M631" i="32" s="1"/>
  <c r="L632" i="32"/>
  <c r="M632" i="32" s="1"/>
  <c r="L633" i="32"/>
  <c r="M633" i="32" s="1"/>
  <c r="L634" i="32"/>
  <c r="M634" i="32" s="1"/>
  <c r="L635" i="32"/>
  <c r="M635" i="32" s="1"/>
  <c r="L636" i="32"/>
  <c r="M636" i="32" s="1"/>
  <c r="L637" i="32"/>
  <c r="M637" i="32" s="1"/>
  <c r="L638" i="32"/>
  <c r="M638" i="32" s="1"/>
  <c r="L639" i="32"/>
  <c r="M639" i="32" s="1"/>
  <c r="L640" i="32"/>
  <c r="M640" i="32" s="1"/>
  <c r="L641" i="32"/>
  <c r="M641" i="32" s="1"/>
  <c r="L642" i="32"/>
  <c r="M642" i="32" s="1"/>
  <c r="L643" i="32"/>
  <c r="M643" i="32" s="1"/>
  <c r="L644" i="32"/>
  <c r="M644" i="32" s="1"/>
  <c r="L645" i="32"/>
  <c r="M645" i="32" s="1"/>
  <c r="L646" i="32"/>
  <c r="M646" i="32" s="1"/>
  <c r="L647" i="32"/>
  <c r="M647" i="32" s="1"/>
  <c r="L648" i="32"/>
  <c r="M648" i="32" s="1"/>
  <c r="L649" i="32"/>
  <c r="M649" i="32" s="1"/>
  <c r="L650" i="32"/>
  <c r="M650" i="32" s="1"/>
  <c r="L651" i="32"/>
  <c r="M651" i="32" s="1"/>
  <c r="L652" i="32"/>
  <c r="M652" i="32" s="1"/>
  <c r="L653" i="32"/>
  <c r="M653" i="32" s="1"/>
  <c r="L654" i="32"/>
  <c r="M654" i="32" s="1"/>
  <c r="L655" i="32"/>
  <c r="M655" i="32" s="1"/>
  <c r="L656" i="32"/>
  <c r="M656" i="32" s="1"/>
  <c r="L657" i="32"/>
  <c r="M657" i="32" s="1"/>
  <c r="L658" i="32"/>
  <c r="M658" i="32" s="1"/>
  <c r="L659" i="32"/>
  <c r="M659" i="32" s="1"/>
  <c r="L660" i="32"/>
  <c r="M660" i="32" s="1"/>
  <c r="L661" i="32"/>
  <c r="M661" i="32" s="1"/>
  <c r="L662" i="32"/>
  <c r="M662" i="32" s="1"/>
  <c r="L663" i="32"/>
  <c r="M663" i="32" s="1"/>
  <c r="L664" i="32"/>
  <c r="M664" i="32" s="1"/>
  <c r="L665" i="32"/>
  <c r="M665" i="32" s="1"/>
  <c r="L666" i="32"/>
  <c r="M666" i="32" s="1"/>
  <c r="L667" i="32"/>
  <c r="M667" i="32" s="1"/>
  <c r="L668" i="32"/>
  <c r="M668" i="32" s="1"/>
  <c r="L669" i="32"/>
  <c r="M669" i="32" s="1"/>
  <c r="L670" i="32"/>
  <c r="M670" i="32" s="1"/>
  <c r="L671" i="32"/>
  <c r="M671" i="32" s="1"/>
  <c r="L672" i="32"/>
  <c r="M672" i="32" s="1"/>
  <c r="L673" i="32"/>
  <c r="M673" i="32" s="1"/>
  <c r="L674" i="32"/>
  <c r="M674" i="32" s="1"/>
  <c r="L675" i="32"/>
  <c r="M675" i="32" s="1"/>
  <c r="L676" i="32"/>
  <c r="M676" i="32" s="1"/>
  <c r="L677" i="32"/>
  <c r="M677" i="32" s="1"/>
  <c r="L678" i="32"/>
  <c r="M678" i="32" s="1"/>
  <c r="L679" i="32"/>
  <c r="M679" i="32" s="1"/>
  <c r="L680" i="32"/>
  <c r="M680" i="32" s="1"/>
  <c r="L681" i="32"/>
  <c r="M681" i="32" s="1"/>
  <c r="L682" i="32"/>
  <c r="M682" i="32" s="1"/>
  <c r="L683" i="32"/>
  <c r="M683" i="32" s="1"/>
  <c r="L684" i="32"/>
  <c r="M684" i="32" s="1"/>
  <c r="L685" i="32"/>
  <c r="M685" i="32" s="1"/>
  <c r="L686" i="32"/>
  <c r="M686" i="32" s="1"/>
  <c r="L687" i="32"/>
  <c r="M687" i="32" s="1"/>
  <c r="L688" i="32"/>
  <c r="M688" i="32" s="1"/>
  <c r="L689" i="32"/>
  <c r="M689" i="32" s="1"/>
  <c r="L690" i="32"/>
  <c r="M690" i="32" s="1"/>
  <c r="L691" i="32"/>
  <c r="M691" i="32" s="1"/>
  <c r="L692" i="32"/>
  <c r="M692" i="32" s="1"/>
  <c r="L693" i="32"/>
  <c r="M693" i="32" s="1"/>
  <c r="L694" i="32"/>
  <c r="M694" i="32" s="1"/>
  <c r="L695" i="32"/>
  <c r="M695" i="32" s="1"/>
  <c r="L696" i="32"/>
  <c r="M696" i="32" s="1"/>
  <c r="L697" i="32"/>
  <c r="M697" i="32" s="1"/>
  <c r="L698" i="32"/>
  <c r="M698" i="32" s="1"/>
  <c r="L699" i="32"/>
  <c r="M699" i="32" s="1"/>
  <c r="L700" i="32"/>
  <c r="M700" i="32" s="1"/>
  <c r="L701" i="32"/>
  <c r="M701" i="32" s="1"/>
  <c r="L702" i="32"/>
  <c r="M702" i="32" s="1"/>
  <c r="L703" i="32"/>
  <c r="M703" i="32" s="1"/>
  <c r="L704" i="32"/>
  <c r="M704" i="32" s="1"/>
  <c r="L705" i="32"/>
  <c r="M705" i="32" s="1"/>
  <c r="L706" i="32"/>
  <c r="M706" i="32" s="1"/>
  <c r="L707" i="32"/>
  <c r="M707" i="32" s="1"/>
  <c r="L708" i="32"/>
  <c r="M708" i="32" s="1"/>
  <c r="L709" i="32"/>
  <c r="M709" i="32" s="1"/>
  <c r="L710" i="32"/>
  <c r="M710" i="32" s="1"/>
  <c r="L711" i="32"/>
  <c r="M711" i="32" s="1"/>
  <c r="L712" i="32"/>
  <c r="M712" i="32" s="1"/>
  <c r="L713" i="32"/>
  <c r="M713" i="32" s="1"/>
  <c r="L714" i="32"/>
  <c r="M714" i="32" s="1"/>
  <c r="L715" i="32"/>
  <c r="M715" i="32" s="1"/>
  <c r="L716" i="32"/>
  <c r="M716" i="32" s="1"/>
  <c r="L717" i="32"/>
  <c r="M717" i="32" s="1"/>
  <c r="L718" i="32"/>
  <c r="M718" i="32" s="1"/>
  <c r="L719" i="32"/>
  <c r="M719" i="32" s="1"/>
  <c r="L720" i="32"/>
  <c r="M720" i="32" s="1"/>
  <c r="L721" i="32"/>
  <c r="M721" i="32" s="1"/>
  <c r="L722" i="32"/>
  <c r="M722" i="32" s="1"/>
  <c r="L723" i="32"/>
  <c r="M723" i="32" s="1"/>
  <c r="L724" i="32"/>
  <c r="M724" i="32" s="1"/>
  <c r="L725" i="32"/>
  <c r="M725" i="32" s="1"/>
  <c r="L726" i="32"/>
  <c r="M726" i="32" s="1"/>
  <c r="L727" i="32"/>
  <c r="M727" i="32" s="1"/>
  <c r="L728" i="32"/>
  <c r="M728" i="32" s="1"/>
  <c r="L729" i="32"/>
  <c r="M729" i="32" s="1"/>
  <c r="L730" i="32"/>
  <c r="M730" i="32" s="1"/>
  <c r="L731" i="32"/>
  <c r="M731" i="32" s="1"/>
  <c r="L732" i="32"/>
  <c r="M732" i="32" s="1"/>
  <c r="L733" i="32"/>
  <c r="M733" i="32" s="1"/>
  <c r="L734" i="32"/>
  <c r="M734" i="32" s="1"/>
  <c r="L735" i="32"/>
  <c r="M735" i="32" s="1"/>
  <c r="L736" i="32"/>
  <c r="M736" i="32" s="1"/>
  <c r="L737" i="32"/>
  <c r="M737" i="32" s="1"/>
  <c r="L738" i="32"/>
  <c r="M738" i="32" s="1"/>
  <c r="L739" i="32"/>
  <c r="M739" i="32" s="1"/>
  <c r="L740" i="32"/>
  <c r="M740" i="32" s="1"/>
  <c r="L741" i="32"/>
  <c r="M741" i="32" s="1"/>
  <c r="L742" i="32"/>
  <c r="M742" i="32" s="1"/>
  <c r="L743" i="32"/>
  <c r="M743" i="32" s="1"/>
  <c r="L744" i="32"/>
  <c r="M744" i="32" s="1"/>
  <c r="L745" i="32"/>
  <c r="M745" i="32" s="1"/>
  <c r="L746" i="32"/>
  <c r="M746" i="32" s="1"/>
  <c r="L747" i="32"/>
  <c r="M747" i="32" s="1"/>
  <c r="L748" i="32"/>
  <c r="M748" i="32" s="1"/>
  <c r="L749" i="32"/>
  <c r="M749" i="32" s="1"/>
  <c r="L750" i="32"/>
  <c r="M750" i="32" s="1"/>
  <c r="L751" i="32"/>
  <c r="M751" i="32" s="1"/>
  <c r="L752" i="32"/>
  <c r="M752" i="32" s="1"/>
  <c r="L753" i="32"/>
  <c r="M753" i="32" s="1"/>
  <c r="L754" i="32"/>
  <c r="M754" i="32" s="1"/>
  <c r="L755" i="32"/>
  <c r="M755" i="32" s="1"/>
  <c r="L756" i="32"/>
  <c r="M756" i="32" s="1"/>
  <c r="L757" i="32"/>
  <c r="M757" i="32" s="1"/>
  <c r="L758" i="32"/>
  <c r="M758" i="32" s="1"/>
  <c r="L759" i="32"/>
  <c r="M759" i="32" s="1"/>
  <c r="L760" i="32"/>
  <c r="M760" i="32" s="1"/>
  <c r="L761" i="32"/>
  <c r="M761" i="32" s="1"/>
  <c r="L762" i="32"/>
  <c r="M762" i="32" s="1"/>
  <c r="L763" i="32"/>
  <c r="M763" i="32" s="1"/>
  <c r="L764" i="32"/>
  <c r="M764" i="32" s="1"/>
  <c r="L765" i="32"/>
  <c r="M765" i="32" s="1"/>
  <c r="L766" i="32"/>
  <c r="M766" i="32" s="1"/>
  <c r="L767" i="32"/>
  <c r="M767" i="32" s="1"/>
  <c r="L768" i="32"/>
  <c r="M768" i="32" s="1"/>
  <c r="L769" i="32"/>
  <c r="M769" i="32" s="1"/>
  <c r="L770" i="32"/>
  <c r="M770" i="32" s="1"/>
  <c r="L771" i="32"/>
  <c r="M771" i="32" s="1"/>
  <c r="L772" i="32"/>
  <c r="M772" i="32" s="1"/>
  <c r="L773" i="32"/>
  <c r="M773" i="32" s="1"/>
  <c r="L774" i="32"/>
  <c r="M774" i="32" s="1"/>
  <c r="L775" i="32"/>
  <c r="M775" i="32" s="1"/>
  <c r="L776" i="32"/>
  <c r="M776" i="32" s="1"/>
  <c r="L777" i="32"/>
  <c r="M777" i="32" s="1"/>
  <c r="L778" i="32"/>
  <c r="M778" i="32" s="1"/>
  <c r="L779" i="32"/>
  <c r="M779" i="32" s="1"/>
  <c r="L780" i="32"/>
  <c r="M780" i="32" s="1"/>
  <c r="L781" i="32"/>
  <c r="M781" i="32" s="1"/>
  <c r="L782" i="32"/>
  <c r="M782" i="32" s="1"/>
  <c r="L783" i="32"/>
  <c r="M783" i="32" s="1"/>
  <c r="L784" i="32"/>
  <c r="M784" i="32" s="1"/>
  <c r="L785" i="32"/>
  <c r="M785" i="32" s="1"/>
  <c r="L786" i="32"/>
  <c r="M786" i="32" s="1"/>
  <c r="L787" i="32"/>
  <c r="M787" i="32" s="1"/>
  <c r="L788" i="32"/>
  <c r="M788" i="32" s="1"/>
  <c r="L789" i="32"/>
  <c r="M789" i="32" s="1"/>
  <c r="L790" i="32"/>
  <c r="M790" i="32" s="1"/>
  <c r="L791" i="32"/>
  <c r="M791" i="32" s="1"/>
  <c r="L792" i="32"/>
  <c r="M792" i="32" s="1"/>
  <c r="L793" i="32"/>
  <c r="M793" i="32" s="1"/>
  <c r="L794" i="32"/>
  <c r="M794" i="32" s="1"/>
  <c r="L795" i="32"/>
  <c r="M795" i="32" s="1"/>
  <c r="L796" i="32"/>
  <c r="M796" i="32" s="1"/>
  <c r="L797" i="32"/>
  <c r="M797" i="32" s="1"/>
  <c r="L798" i="32"/>
  <c r="M798" i="32" s="1"/>
  <c r="L799" i="32"/>
  <c r="M799" i="32" s="1"/>
  <c r="L800" i="32"/>
  <c r="M800" i="32" s="1"/>
  <c r="L801" i="32"/>
  <c r="M801" i="32" s="1"/>
  <c r="L802" i="32"/>
  <c r="M802" i="32" s="1"/>
  <c r="L803" i="32"/>
  <c r="M803" i="32" s="1"/>
  <c r="L804" i="32"/>
  <c r="M804" i="32" s="1"/>
  <c r="L805" i="32"/>
  <c r="M805" i="32" s="1"/>
  <c r="L806" i="32"/>
  <c r="M806" i="32" s="1"/>
  <c r="L807" i="32"/>
  <c r="M807" i="32" s="1"/>
  <c r="L808" i="32"/>
  <c r="M808" i="32" s="1"/>
  <c r="L809" i="32"/>
  <c r="M809" i="32" s="1"/>
  <c r="L810" i="32"/>
  <c r="M810" i="32" s="1"/>
  <c r="L811" i="32"/>
  <c r="M811" i="32" s="1"/>
  <c r="L812" i="32"/>
  <c r="M812" i="32" s="1"/>
  <c r="L813" i="32"/>
  <c r="M813" i="32" s="1"/>
  <c r="L814" i="32"/>
  <c r="M814" i="32" s="1"/>
  <c r="L815" i="32"/>
  <c r="M815" i="32" s="1"/>
  <c r="L816" i="32"/>
  <c r="M816" i="32" s="1"/>
  <c r="L817" i="32"/>
  <c r="M817" i="32" s="1"/>
  <c r="L818" i="32"/>
  <c r="M818" i="32" s="1"/>
  <c r="L819" i="32"/>
  <c r="M819" i="32" s="1"/>
  <c r="L820" i="32"/>
  <c r="M820" i="32" s="1"/>
  <c r="L821" i="32"/>
  <c r="M821" i="32" s="1"/>
  <c r="L822" i="32"/>
  <c r="M822" i="32" s="1"/>
  <c r="L823" i="32"/>
  <c r="M823" i="32" s="1"/>
  <c r="L824" i="32"/>
  <c r="M824" i="32" s="1"/>
  <c r="L825" i="32"/>
  <c r="M825" i="32" s="1"/>
  <c r="L826" i="32"/>
  <c r="M826" i="32" s="1"/>
  <c r="L827" i="32"/>
  <c r="M827" i="32" s="1"/>
  <c r="L828" i="32"/>
  <c r="M828" i="32" s="1"/>
  <c r="L829" i="32"/>
  <c r="M829" i="32" s="1"/>
  <c r="L830" i="32"/>
  <c r="M830" i="32" s="1"/>
  <c r="L831" i="32"/>
  <c r="M831" i="32" s="1"/>
  <c r="L832" i="32"/>
  <c r="M832" i="32" s="1"/>
  <c r="L833" i="32"/>
  <c r="M833" i="32" s="1"/>
  <c r="L834" i="32"/>
  <c r="M834" i="32" s="1"/>
  <c r="L835" i="32"/>
  <c r="M835" i="32" s="1"/>
  <c r="L836" i="32"/>
  <c r="M836" i="32" s="1"/>
  <c r="L837" i="32"/>
  <c r="M837" i="32" s="1"/>
  <c r="L838" i="32"/>
  <c r="M838" i="32" s="1"/>
  <c r="L839" i="32"/>
  <c r="M839" i="32" s="1"/>
  <c r="L840" i="32"/>
  <c r="M840" i="32" s="1"/>
  <c r="L841" i="32"/>
  <c r="M841" i="32" s="1"/>
  <c r="L842" i="32"/>
  <c r="M842" i="32" s="1"/>
  <c r="L843" i="32"/>
  <c r="M843" i="32" s="1"/>
  <c r="L844" i="32"/>
  <c r="M844" i="32" s="1"/>
  <c r="L845" i="32"/>
  <c r="M845" i="32" s="1"/>
  <c r="L846" i="32"/>
  <c r="M846" i="32" s="1"/>
  <c r="L847" i="32"/>
  <c r="M847" i="32" s="1"/>
  <c r="L848" i="32"/>
  <c r="M848" i="32" s="1"/>
  <c r="L849" i="32"/>
  <c r="M849" i="32" s="1"/>
  <c r="L850" i="32"/>
  <c r="M850" i="32" s="1"/>
  <c r="L851" i="32"/>
  <c r="M851" i="32" s="1"/>
  <c r="L852" i="32"/>
  <c r="M852" i="32" s="1"/>
  <c r="L853" i="32"/>
  <c r="M853" i="32" s="1"/>
  <c r="L854" i="32"/>
  <c r="M854" i="32" s="1"/>
  <c r="L855" i="32"/>
  <c r="M855" i="32" s="1"/>
  <c r="L856" i="32"/>
  <c r="M856" i="32" s="1"/>
  <c r="L857" i="32"/>
  <c r="M857" i="32" s="1"/>
  <c r="L858" i="32"/>
  <c r="M858" i="32" s="1"/>
  <c r="L859" i="32"/>
  <c r="M859" i="32" s="1"/>
  <c r="L860" i="32"/>
  <c r="M860" i="32" s="1"/>
  <c r="L861" i="32"/>
  <c r="M861" i="32" s="1"/>
  <c r="L862" i="32"/>
  <c r="M862" i="32" s="1"/>
  <c r="L863" i="32"/>
  <c r="M863" i="32" s="1"/>
  <c r="L864" i="32"/>
  <c r="M864" i="32" s="1"/>
  <c r="L865" i="32"/>
  <c r="M865" i="32" s="1"/>
  <c r="L866" i="32"/>
  <c r="M866" i="32" s="1"/>
  <c r="L867" i="32"/>
  <c r="M867" i="32" s="1"/>
  <c r="L868" i="32"/>
  <c r="M868" i="32" s="1"/>
  <c r="L869" i="32"/>
  <c r="M869" i="32" s="1"/>
  <c r="L870" i="32"/>
  <c r="M870" i="32" s="1"/>
  <c r="L871" i="32"/>
  <c r="M871" i="32" s="1"/>
  <c r="L872" i="32"/>
  <c r="M872" i="32" s="1"/>
  <c r="L873" i="32"/>
  <c r="M873" i="32" s="1"/>
  <c r="L874" i="32"/>
  <c r="M874" i="32" s="1"/>
  <c r="L875" i="32"/>
  <c r="M875" i="32" s="1"/>
  <c r="L876" i="32"/>
  <c r="M876" i="32" s="1"/>
  <c r="L877" i="32"/>
  <c r="M877" i="32" s="1"/>
  <c r="L878" i="32"/>
  <c r="M878" i="32" s="1"/>
  <c r="L879" i="32"/>
  <c r="M879" i="32" s="1"/>
  <c r="L880" i="32"/>
  <c r="M880" i="32" s="1"/>
  <c r="L881" i="32"/>
  <c r="M881" i="32" s="1"/>
  <c r="L882" i="32"/>
  <c r="M882" i="32" s="1"/>
  <c r="L883" i="32"/>
  <c r="M883" i="32" s="1"/>
  <c r="L884" i="32"/>
  <c r="M884" i="32" s="1"/>
  <c r="L885" i="32"/>
  <c r="M885" i="32" s="1"/>
  <c r="L886" i="32"/>
  <c r="M886" i="32" s="1"/>
  <c r="L887" i="32"/>
  <c r="M887" i="32" s="1"/>
  <c r="L888" i="32"/>
  <c r="M888" i="32" s="1"/>
  <c r="L889" i="32"/>
  <c r="M889" i="32" s="1"/>
  <c r="L890" i="32"/>
  <c r="M890" i="32" s="1"/>
  <c r="L891" i="32"/>
  <c r="M891" i="32" s="1"/>
  <c r="L892" i="32"/>
  <c r="M892" i="32" s="1"/>
  <c r="L893" i="32"/>
  <c r="M893" i="32" s="1"/>
  <c r="L894" i="32"/>
  <c r="M894" i="32" s="1"/>
  <c r="L895" i="32"/>
  <c r="M895" i="32" s="1"/>
  <c r="L896" i="32"/>
  <c r="M896" i="32" s="1"/>
  <c r="L897" i="32"/>
  <c r="M897" i="32" s="1"/>
  <c r="L898" i="32"/>
  <c r="M898" i="32" s="1"/>
  <c r="L899" i="32"/>
  <c r="M899" i="32" s="1"/>
  <c r="L900" i="32"/>
  <c r="M900" i="32" s="1"/>
  <c r="L901" i="32"/>
  <c r="M901" i="32" s="1"/>
  <c r="L902" i="32"/>
  <c r="M902" i="32" s="1"/>
  <c r="L903" i="32"/>
  <c r="M903" i="32" s="1"/>
  <c r="L904" i="32"/>
  <c r="M904" i="32" s="1"/>
  <c r="L905" i="32"/>
  <c r="M905" i="32" s="1"/>
  <c r="L906" i="32"/>
  <c r="M906" i="32" s="1"/>
  <c r="L907" i="32"/>
  <c r="M907" i="32" s="1"/>
  <c r="L908" i="32"/>
  <c r="M908" i="32" s="1"/>
  <c r="L909" i="32"/>
  <c r="M909" i="32" s="1"/>
  <c r="L910" i="32"/>
  <c r="M910" i="32" s="1"/>
  <c r="L911" i="32"/>
  <c r="M911" i="32" s="1"/>
  <c r="L912" i="32"/>
  <c r="M912" i="32" s="1"/>
  <c r="L913" i="32"/>
  <c r="M913" i="32" s="1"/>
  <c r="L914" i="32"/>
  <c r="M914" i="32" s="1"/>
  <c r="L915" i="32"/>
  <c r="M915" i="32" s="1"/>
  <c r="L916" i="32"/>
  <c r="M916" i="32" s="1"/>
  <c r="L917" i="32"/>
  <c r="M917" i="32" s="1"/>
  <c r="L918" i="32"/>
  <c r="M918" i="32" s="1"/>
  <c r="L919" i="32"/>
  <c r="M919" i="32" s="1"/>
  <c r="L920" i="32"/>
  <c r="M920" i="32" s="1"/>
  <c r="L921" i="32"/>
  <c r="M921" i="32" s="1"/>
  <c r="L922" i="32"/>
  <c r="M922" i="32" s="1"/>
  <c r="L923" i="32"/>
  <c r="M923" i="32" s="1"/>
  <c r="L924" i="32"/>
  <c r="M924" i="32" s="1"/>
  <c r="L925" i="32"/>
  <c r="M925" i="32" s="1"/>
  <c r="L926" i="32"/>
  <c r="M926" i="32" s="1"/>
  <c r="L927" i="32"/>
  <c r="M927" i="32" s="1"/>
  <c r="L928" i="32"/>
  <c r="M928" i="32" s="1"/>
  <c r="L929" i="32"/>
  <c r="M929" i="32" s="1"/>
  <c r="L930" i="32"/>
  <c r="M930" i="32" s="1"/>
  <c r="L931" i="32"/>
  <c r="M931" i="32" s="1"/>
  <c r="L932" i="32"/>
  <c r="M932" i="32" s="1"/>
  <c r="L933" i="32"/>
  <c r="M933" i="32" s="1"/>
  <c r="L934" i="32"/>
  <c r="M934" i="32" s="1"/>
  <c r="L935" i="32"/>
  <c r="M935" i="32" s="1"/>
  <c r="L936" i="32"/>
  <c r="M936" i="32" s="1"/>
  <c r="L937" i="32"/>
  <c r="M937" i="32" s="1"/>
  <c r="L938" i="32"/>
  <c r="M938" i="32" s="1"/>
  <c r="L939" i="32"/>
  <c r="M939" i="32" s="1"/>
  <c r="L940" i="32"/>
  <c r="M940" i="32" s="1"/>
  <c r="L941" i="32"/>
  <c r="M941" i="32" s="1"/>
  <c r="L942" i="32"/>
  <c r="M942" i="32" s="1"/>
  <c r="L943" i="32"/>
  <c r="M943" i="32" s="1"/>
  <c r="L944" i="32"/>
  <c r="M944" i="32" s="1"/>
  <c r="L945" i="32"/>
  <c r="M945" i="32" s="1"/>
  <c r="L946" i="32"/>
  <c r="M946" i="32" s="1"/>
  <c r="L947" i="32"/>
  <c r="M947" i="32" s="1"/>
  <c r="L948" i="32"/>
  <c r="M948" i="32" s="1"/>
  <c r="L949" i="32"/>
  <c r="M949" i="32" s="1"/>
  <c r="L950" i="32"/>
  <c r="M950" i="32" s="1"/>
  <c r="L951" i="32"/>
  <c r="M951" i="32" s="1"/>
  <c r="L952" i="32"/>
  <c r="M952" i="32" s="1"/>
  <c r="L953" i="32"/>
  <c r="M953" i="32" s="1"/>
  <c r="L954" i="32"/>
  <c r="M954" i="32" s="1"/>
  <c r="L955" i="32"/>
  <c r="M955" i="32" s="1"/>
  <c r="L956" i="32"/>
  <c r="M956" i="32" s="1"/>
  <c r="L957" i="32"/>
  <c r="M957" i="32" s="1"/>
  <c r="L958" i="32"/>
  <c r="M958" i="32" s="1"/>
  <c r="L959" i="32"/>
  <c r="M959" i="32" s="1"/>
  <c r="L960" i="32"/>
  <c r="M960" i="32" s="1"/>
  <c r="L961" i="32"/>
  <c r="M961" i="32" s="1"/>
  <c r="L962" i="32"/>
  <c r="M962" i="32" s="1"/>
  <c r="L963" i="32"/>
  <c r="M963" i="32" s="1"/>
  <c r="L964" i="32"/>
  <c r="M964" i="32" s="1"/>
  <c r="L965" i="32"/>
  <c r="M965" i="32" s="1"/>
  <c r="L966" i="32"/>
  <c r="M966" i="32" s="1"/>
  <c r="L967" i="32"/>
  <c r="M967" i="32" s="1"/>
  <c r="L968" i="32"/>
  <c r="M968" i="32" s="1"/>
  <c r="L969" i="32"/>
  <c r="M969" i="32" s="1"/>
  <c r="L970" i="32"/>
  <c r="M970" i="32" s="1"/>
  <c r="L971" i="32"/>
  <c r="M971" i="32" s="1"/>
  <c r="L972" i="32"/>
  <c r="M972" i="32" s="1"/>
  <c r="L973" i="32"/>
  <c r="M973" i="32" s="1"/>
  <c r="L974" i="32"/>
  <c r="M974" i="32" s="1"/>
  <c r="L975" i="32"/>
  <c r="M975" i="32" s="1"/>
  <c r="L976" i="32"/>
  <c r="M976" i="32" s="1"/>
  <c r="L977" i="32"/>
  <c r="M977" i="32" s="1"/>
  <c r="L978" i="32"/>
  <c r="M978" i="32" s="1"/>
  <c r="L979" i="32"/>
  <c r="M979" i="32" s="1"/>
  <c r="L980" i="32"/>
  <c r="M980" i="32" s="1"/>
  <c r="L981" i="32"/>
  <c r="M981" i="32" s="1"/>
  <c r="L982" i="32"/>
  <c r="M982" i="32" s="1"/>
  <c r="L983" i="32"/>
  <c r="M983" i="32" s="1"/>
  <c r="L984" i="32"/>
  <c r="M984" i="32" s="1"/>
  <c r="L985" i="32"/>
  <c r="M985" i="32" s="1"/>
  <c r="L986" i="32"/>
  <c r="M986" i="32" s="1"/>
  <c r="L987" i="32"/>
  <c r="M987" i="32" s="1"/>
  <c r="L988" i="32"/>
  <c r="M988" i="32" s="1"/>
  <c r="L989" i="32"/>
  <c r="M989" i="32" s="1"/>
  <c r="L990" i="32"/>
  <c r="M990" i="32" s="1"/>
  <c r="L991" i="32"/>
  <c r="M991" i="32" s="1"/>
  <c r="L992" i="32"/>
  <c r="M992" i="32" s="1"/>
  <c r="L993" i="32"/>
  <c r="M993" i="32" s="1"/>
  <c r="L994" i="32"/>
  <c r="M994" i="32" s="1"/>
  <c r="L995" i="32"/>
  <c r="M995" i="32" s="1"/>
  <c r="L996" i="32"/>
  <c r="M996" i="32" s="1"/>
  <c r="L997" i="32"/>
  <c r="M997" i="32" s="1"/>
  <c r="L998" i="32"/>
  <c r="M998" i="32" s="1"/>
  <c r="L999" i="32"/>
  <c r="M999" i="32" s="1"/>
  <c r="L1000" i="32"/>
  <c r="M1000" i="32" s="1"/>
  <c r="L1001" i="32"/>
  <c r="M1001" i="32" s="1"/>
  <c r="L1002" i="32"/>
  <c r="M1002" i="32" s="1"/>
  <c r="L1003" i="32"/>
  <c r="M1003" i="32" s="1"/>
  <c r="L1004" i="32"/>
  <c r="M1004" i="32" s="1"/>
  <c r="L1005" i="32"/>
  <c r="M1005" i="32" s="1"/>
  <c r="L1006" i="32"/>
  <c r="M1006" i="32" s="1"/>
  <c r="L1007" i="32"/>
  <c r="M1007" i="32" s="1"/>
  <c r="L1008" i="32"/>
  <c r="M1008" i="32" s="1"/>
  <c r="L1009" i="32"/>
  <c r="M1009" i="32" s="1"/>
  <c r="L1010" i="32"/>
  <c r="M1010" i="32" s="1"/>
  <c r="L1011" i="32"/>
  <c r="M1011" i="32" s="1"/>
  <c r="L1012" i="32"/>
  <c r="M1012" i="32" s="1"/>
  <c r="L1013" i="32"/>
  <c r="M1013" i="32" s="1"/>
  <c r="L1014" i="32"/>
  <c r="M1014" i="32" s="1"/>
  <c r="L1015" i="32"/>
  <c r="M1015" i="32" s="1"/>
  <c r="L1016" i="32"/>
  <c r="M1016" i="32" s="1"/>
  <c r="L1017" i="32"/>
  <c r="M1017" i="32" s="1"/>
  <c r="L1018" i="32"/>
  <c r="M1018" i="32" s="1"/>
  <c r="L1019" i="32"/>
  <c r="M1019" i="32" s="1"/>
  <c r="L1020" i="32"/>
  <c r="M1020" i="32" s="1"/>
  <c r="L1021" i="32"/>
  <c r="M1021" i="32" s="1"/>
  <c r="L1022" i="32"/>
  <c r="M1022" i="32" s="1"/>
  <c r="L1023" i="32"/>
  <c r="M1023" i="32" s="1"/>
  <c r="L1024" i="32"/>
  <c r="M1024" i="32" s="1"/>
  <c r="L1025" i="32"/>
  <c r="M1025" i="32" s="1"/>
  <c r="L1026" i="32"/>
  <c r="M1026" i="32" s="1"/>
  <c r="L1027" i="32"/>
  <c r="M1027" i="32" s="1"/>
  <c r="L1028" i="32"/>
  <c r="M1028" i="32" s="1"/>
  <c r="L1029" i="32"/>
  <c r="M1029" i="32" s="1"/>
  <c r="L1030" i="32"/>
  <c r="M1030" i="32" s="1"/>
  <c r="L1031" i="32"/>
  <c r="M1031" i="32" s="1"/>
  <c r="L1032" i="32"/>
  <c r="M1032" i="32" s="1"/>
  <c r="L1033" i="32"/>
  <c r="M1033" i="32" s="1"/>
  <c r="L1034" i="32"/>
  <c r="M1034" i="32" s="1"/>
  <c r="L1035" i="32"/>
  <c r="M1035" i="32" s="1"/>
  <c r="L1036" i="32"/>
  <c r="M1036" i="32" s="1"/>
  <c r="L1037" i="32"/>
  <c r="M1037" i="32" s="1"/>
  <c r="L1038" i="32"/>
  <c r="M1038" i="32" s="1"/>
  <c r="L1039" i="32"/>
  <c r="M1039" i="32" s="1"/>
  <c r="L1040" i="32"/>
  <c r="M1040" i="32" s="1"/>
  <c r="L1041" i="32"/>
  <c r="M1041" i="32" s="1"/>
  <c r="L1042" i="32"/>
  <c r="M1042" i="32" s="1"/>
  <c r="L1043" i="32"/>
  <c r="M1043" i="32" s="1"/>
  <c r="L1044" i="32"/>
  <c r="M1044" i="32" s="1"/>
  <c r="L1045" i="32"/>
  <c r="M1045" i="32" s="1"/>
  <c r="L1046" i="32"/>
  <c r="M1046" i="32" s="1"/>
  <c r="L1047" i="32"/>
  <c r="M1047" i="32" s="1"/>
  <c r="L1048" i="32"/>
  <c r="M1048" i="32" s="1"/>
  <c r="L1049" i="32"/>
  <c r="M1049" i="32" s="1"/>
  <c r="L1050" i="32"/>
  <c r="M1050" i="32" s="1"/>
  <c r="L1051" i="32"/>
  <c r="M1051" i="32" s="1"/>
  <c r="L1052" i="32"/>
  <c r="M1052" i="32" s="1"/>
  <c r="L1053" i="32"/>
  <c r="M1053" i="32" s="1"/>
  <c r="L1054" i="32"/>
  <c r="M1054" i="32" s="1"/>
  <c r="L1055" i="32"/>
  <c r="M1055" i="32" s="1"/>
  <c r="L1056" i="32"/>
  <c r="M1056" i="32" s="1"/>
  <c r="L1057" i="32"/>
  <c r="M1057" i="32" s="1"/>
  <c r="L1058" i="32"/>
  <c r="M1058" i="32" s="1"/>
  <c r="L1059" i="32"/>
  <c r="M1059" i="32" s="1"/>
  <c r="L1060" i="32"/>
  <c r="M1060" i="32" s="1"/>
  <c r="L1061" i="32"/>
  <c r="M1061" i="32" s="1"/>
  <c r="L1062" i="32"/>
  <c r="M1062" i="32" s="1"/>
  <c r="L1063" i="32"/>
  <c r="M1063" i="32" s="1"/>
  <c r="L1064" i="32"/>
  <c r="M1064" i="32" s="1"/>
  <c r="L1065" i="32"/>
  <c r="M1065" i="32" s="1"/>
  <c r="L1066" i="32"/>
  <c r="M1066" i="32" s="1"/>
  <c r="L1067" i="32"/>
  <c r="M1067" i="32" s="1"/>
  <c r="L1068" i="32"/>
  <c r="M1068" i="32" s="1"/>
  <c r="L1069" i="32"/>
  <c r="M1069" i="32" s="1"/>
  <c r="L1070" i="32"/>
  <c r="M1070" i="32" s="1"/>
  <c r="L1071" i="32"/>
  <c r="M1071" i="32" s="1"/>
  <c r="L1072" i="32"/>
  <c r="M1072" i="32" s="1"/>
  <c r="L1073" i="32"/>
  <c r="M1073" i="32" s="1"/>
  <c r="L1074" i="32"/>
  <c r="M1074" i="32" s="1"/>
  <c r="L1075" i="32"/>
  <c r="M1075" i="32" s="1"/>
  <c r="L1076" i="32"/>
  <c r="M1076" i="32" s="1"/>
  <c r="L1077" i="32"/>
  <c r="M1077" i="32" s="1"/>
  <c r="L1078" i="32"/>
  <c r="M1078" i="32" s="1"/>
  <c r="L1079" i="32"/>
  <c r="M1079" i="32" s="1"/>
  <c r="L1080" i="32"/>
  <c r="M1080" i="32" s="1"/>
  <c r="L1081" i="32"/>
  <c r="M1081" i="32" s="1"/>
  <c r="L1082" i="32"/>
  <c r="M1082" i="32" s="1"/>
  <c r="L1083" i="32"/>
  <c r="M1083" i="32" s="1"/>
  <c r="L1084" i="32"/>
  <c r="M1084" i="32" s="1"/>
  <c r="L1085" i="32"/>
  <c r="M1085" i="32" s="1"/>
  <c r="L1086" i="32"/>
  <c r="M1086" i="32" s="1"/>
  <c r="L1087" i="32"/>
  <c r="M1087" i="32" s="1"/>
  <c r="L1088" i="32"/>
  <c r="M1088" i="32" s="1"/>
  <c r="L1089" i="32"/>
  <c r="M1089" i="32" s="1"/>
  <c r="L1090" i="32"/>
  <c r="M1090" i="32" s="1"/>
  <c r="L1091" i="32"/>
  <c r="M1091" i="32" s="1"/>
  <c r="L1092" i="32"/>
  <c r="M1092" i="32" s="1"/>
  <c r="L1093" i="32"/>
  <c r="M1093" i="32" s="1"/>
  <c r="L1094" i="32"/>
  <c r="M1094" i="32" s="1"/>
  <c r="L1095" i="32"/>
  <c r="M1095" i="32" s="1"/>
  <c r="L1096" i="32"/>
  <c r="M1096" i="32" s="1"/>
  <c r="L1097" i="32"/>
  <c r="M1097" i="32" s="1"/>
  <c r="L1098" i="32"/>
  <c r="M1098" i="32" s="1"/>
  <c r="L1099" i="32"/>
  <c r="M1099" i="32" s="1"/>
  <c r="L1100" i="32"/>
  <c r="M1100" i="32" s="1"/>
  <c r="L1101" i="32"/>
  <c r="M1101" i="32" s="1"/>
  <c r="L1102" i="32"/>
  <c r="M1102" i="32" s="1"/>
  <c r="L1103" i="32"/>
  <c r="M1103" i="32" s="1"/>
  <c r="L1104" i="32"/>
  <c r="M1104" i="32" s="1"/>
  <c r="L1105" i="32"/>
  <c r="M1105" i="32" s="1"/>
  <c r="L1106" i="32"/>
  <c r="M1106" i="32" s="1"/>
  <c r="L1107" i="32"/>
  <c r="M1107" i="32" s="1"/>
  <c r="L1108" i="32"/>
  <c r="M1108" i="32" s="1"/>
  <c r="L1109" i="32"/>
  <c r="M1109" i="32" s="1"/>
  <c r="L1110" i="32"/>
  <c r="M1110" i="32" s="1"/>
  <c r="L1111" i="32"/>
  <c r="M1111" i="32" s="1"/>
  <c r="L1112" i="32"/>
  <c r="M1112" i="32" s="1"/>
  <c r="L1113" i="32"/>
  <c r="M1113" i="32" s="1"/>
  <c r="L1114" i="32"/>
  <c r="M1114" i="32" s="1"/>
  <c r="L1115" i="32"/>
  <c r="M1115" i="32" s="1"/>
  <c r="L1116" i="32"/>
  <c r="M1116" i="32" s="1"/>
  <c r="L1117" i="32"/>
  <c r="M1117" i="32" s="1"/>
  <c r="L1118" i="32"/>
  <c r="M1118" i="32" s="1"/>
  <c r="L1119" i="32"/>
  <c r="M1119" i="32" s="1"/>
  <c r="L1120" i="32"/>
  <c r="M1120" i="32" s="1"/>
  <c r="L1121" i="32"/>
  <c r="M1121" i="32" s="1"/>
  <c r="L1122" i="32"/>
  <c r="M1122" i="32" s="1"/>
  <c r="L1123" i="32"/>
  <c r="M1123" i="32" s="1"/>
  <c r="L1124" i="32"/>
  <c r="M1124" i="32" s="1"/>
  <c r="M27" i="54"/>
  <c r="M19" i="54"/>
  <c r="M20" i="54"/>
  <c r="M21" i="54" s="1"/>
  <c r="M22" i="54" s="1"/>
  <c r="M23" i="54" s="1"/>
  <c r="M24" i="54" s="1"/>
  <c r="M25" i="54" s="1"/>
  <c r="M26" i="54" s="1"/>
  <c r="M18" i="54"/>
  <c r="L22" i="44"/>
  <c r="F11" i="36"/>
  <c r="F10" i="36"/>
  <c r="F9" i="36"/>
  <c r="K13" i="36"/>
  <c r="K12" i="36"/>
  <c r="K18" i="36"/>
  <c r="K17" i="36"/>
  <c r="O43" i="34"/>
  <c r="O42" i="34"/>
  <c r="O41" i="34"/>
  <c r="O37" i="34"/>
  <c r="O36" i="34"/>
  <c r="O35" i="34"/>
  <c r="O34" i="34"/>
  <c r="O33" i="34"/>
  <c r="O32" i="34"/>
  <c r="O25" i="34"/>
  <c r="O24" i="34"/>
  <c r="O23" i="34"/>
  <c r="O22" i="34"/>
  <c r="O21" i="34"/>
  <c r="O20" i="34"/>
  <c r="O13" i="34"/>
  <c r="O12" i="34"/>
  <c r="O11" i="34"/>
  <c r="O10" i="34"/>
  <c r="O9" i="34"/>
  <c r="O8" i="34"/>
  <c r="G54" i="34" l="1"/>
  <c r="G55" i="34"/>
  <c r="G56" i="34"/>
  <c r="G57" i="34"/>
  <c r="G58" i="34"/>
  <c r="G61" i="34"/>
  <c r="O45" i="34"/>
  <c r="O46" i="34"/>
  <c r="O47" i="34"/>
  <c r="M40" i="34"/>
  <c r="O40" i="34" s="1"/>
  <c r="M29" i="34"/>
  <c r="O29" i="34" s="1"/>
  <c r="M30" i="34"/>
  <c r="O30" i="34" s="1"/>
  <c r="M31" i="34"/>
  <c r="O31" i="34" s="1"/>
  <c r="M38" i="34"/>
  <c r="O38" i="34" s="1"/>
  <c r="M39" i="34"/>
  <c r="O39" i="34" s="1"/>
  <c r="I34" i="54" l="1"/>
  <c r="M33" i="54"/>
  <c r="M32" i="54"/>
  <c r="M31" i="54"/>
  <c r="Q1407" i="32"/>
  <c r="S1407" i="32" s="1"/>
  <c r="Q1406" i="32"/>
  <c r="S1406" i="32" s="1"/>
  <c r="Q1405" i="32"/>
  <c r="S1405" i="32" s="1"/>
  <c r="Q1404" i="32"/>
  <c r="P1404" i="32" s="1"/>
  <c r="Q1403" i="32"/>
  <c r="S1403" i="32" s="1"/>
  <c r="P1403" i="32" l="1"/>
  <c r="P1407" i="32"/>
  <c r="P1405" i="32"/>
  <c r="P1406" i="32"/>
  <c r="S1404" i="32"/>
  <c r="S1395" i="32" l="1"/>
  <c r="P1395" i="32"/>
  <c r="S1396" i="32"/>
  <c r="P1396" i="32"/>
  <c r="P1383" i="32" l="1"/>
  <c r="P1382" i="32"/>
  <c r="N3" i="36" l="1"/>
  <c r="N4" i="36"/>
  <c r="N5" i="36"/>
  <c r="N6" i="36"/>
  <c r="N7" i="36"/>
  <c r="N8" i="36"/>
  <c r="N9" i="36"/>
  <c r="N10" i="36"/>
  <c r="N11" i="36"/>
  <c r="N12" i="36"/>
  <c r="N13" i="36"/>
  <c r="N14" i="36"/>
  <c r="N15" i="36"/>
  <c r="N16" i="36"/>
  <c r="N17" i="36"/>
  <c r="N18" i="36"/>
  <c r="N19" i="36"/>
  <c r="N20" i="36"/>
  <c r="N21" i="36"/>
  <c r="N22" i="36"/>
  <c r="N23" i="36"/>
  <c r="N24" i="36"/>
  <c r="N25" i="36"/>
  <c r="N26" i="36"/>
  <c r="N27" i="36"/>
  <c r="N28" i="36"/>
  <c r="N29" i="36"/>
  <c r="N30" i="36"/>
  <c r="N31" i="36"/>
  <c r="N32" i="36"/>
  <c r="N33" i="36"/>
  <c r="N34" i="36"/>
  <c r="N35" i="36"/>
  <c r="N36" i="36"/>
  <c r="F2" i="51"/>
  <c r="F3" i="51"/>
  <c r="F4" i="51"/>
  <c r="L21" i="44"/>
  <c r="L20" i="44"/>
  <c r="M50" i="34" l="1"/>
  <c r="O50" i="34" s="1"/>
  <c r="M28" i="34"/>
  <c r="O28" i="34" s="1"/>
  <c r="M27" i="34"/>
  <c r="O27" i="34" s="1"/>
  <c r="Q1410" i="32" l="1"/>
  <c r="P1410" i="32" s="1"/>
  <c r="Q1409" i="32"/>
  <c r="S1409" i="32" s="1"/>
  <c r="P1408" i="32"/>
  <c r="Q1402" i="32"/>
  <c r="P1402" i="32" s="1"/>
  <c r="Q1401" i="32"/>
  <c r="P1401" i="32" s="1"/>
  <c r="P1400" i="32"/>
  <c r="Q1399" i="32"/>
  <c r="P1399" i="32" s="1"/>
  <c r="Q1398" i="32"/>
  <c r="P1398" i="32" s="1"/>
  <c r="Q1397" i="32"/>
  <c r="P1397" i="32" s="1"/>
  <c r="Q1394" i="32"/>
  <c r="P1394" i="32" s="1"/>
  <c r="S1410" i="32" l="1"/>
  <c r="P1409" i="32"/>
  <c r="P1346" i="32" l="1"/>
  <c r="P1345" i="32"/>
  <c r="K29" i="36"/>
  <c r="K30" i="36"/>
  <c r="K31" i="36"/>
  <c r="K32" i="36"/>
  <c r="K33" i="36"/>
  <c r="K34" i="36"/>
  <c r="K35" i="36"/>
  <c r="K36" i="36"/>
  <c r="G29" i="36"/>
  <c r="H29" i="36" s="1"/>
  <c r="G30" i="36"/>
  <c r="H30" i="36" s="1"/>
  <c r="G31" i="36"/>
  <c r="H31" i="36" s="1"/>
  <c r="G32" i="36"/>
  <c r="H32" i="36" s="1"/>
  <c r="G33" i="36"/>
  <c r="H33" i="36" s="1"/>
  <c r="G34" i="36"/>
  <c r="H34" i="36" s="1"/>
  <c r="G35" i="36"/>
  <c r="H35" i="36" s="1"/>
  <c r="G36" i="36"/>
  <c r="H36" i="36" s="1"/>
  <c r="K4" i="36" l="1"/>
  <c r="K5" i="36"/>
  <c r="K6" i="36"/>
  <c r="K7" i="36"/>
  <c r="K8" i="36"/>
  <c r="K9" i="36"/>
  <c r="K10" i="36"/>
  <c r="K11" i="36"/>
  <c r="K14" i="36"/>
  <c r="K15" i="36"/>
  <c r="K16" i="36"/>
  <c r="K19" i="36"/>
  <c r="K20" i="36"/>
  <c r="K21" i="36"/>
  <c r="K22" i="36"/>
  <c r="K23" i="36"/>
  <c r="K24" i="36"/>
  <c r="K25" i="36"/>
  <c r="K26" i="36"/>
  <c r="K27" i="36"/>
  <c r="K28" i="36"/>
  <c r="K3" i="36"/>
  <c r="BE41" i="52" l="1"/>
  <c r="BE40" i="52"/>
  <c r="BF39" i="52"/>
  <c r="BG39" i="52" s="1"/>
  <c r="BF38" i="52"/>
  <c r="BG38" i="52" s="1"/>
  <c r="BF37" i="52"/>
  <c r="BG37" i="52" s="1"/>
  <c r="BF36" i="52"/>
  <c r="BG36" i="52" s="1"/>
  <c r="BG35" i="52"/>
  <c r="BF35" i="52"/>
  <c r="BF34" i="52"/>
  <c r="BG34" i="52" s="1"/>
  <c r="BF33" i="52"/>
  <c r="BG33" i="52" s="1"/>
  <c r="BF32" i="52"/>
  <c r="BG32" i="52" s="1"/>
  <c r="BG31" i="52"/>
  <c r="BF31" i="52"/>
  <c r="BG30" i="52"/>
  <c r="BF30" i="52"/>
  <c r="BF29" i="52"/>
  <c r="BG29" i="52" s="1"/>
  <c r="BF28" i="52"/>
  <c r="BG28" i="52" s="1"/>
  <c r="BF27" i="52"/>
  <c r="BG27" i="52" s="1"/>
  <c r="BG26" i="52"/>
  <c r="BF26" i="52"/>
  <c r="BF25" i="52"/>
  <c r="BG25" i="52" s="1"/>
  <c r="BF24" i="52"/>
  <c r="BG24" i="52" s="1"/>
  <c r="BF23" i="52"/>
  <c r="BG23" i="52" s="1"/>
  <c r="BF22" i="52"/>
  <c r="BG22" i="52" s="1"/>
  <c r="BF21" i="52"/>
  <c r="BG21" i="52" s="1"/>
  <c r="BF20" i="52"/>
  <c r="BG20" i="52" s="1"/>
  <c r="BG19" i="52"/>
  <c r="BF19" i="52"/>
  <c r="BF18" i="52"/>
  <c r="BG18" i="52" s="1"/>
  <c r="BF17" i="52"/>
  <c r="BG17" i="52" s="1"/>
  <c r="BF16" i="52"/>
  <c r="BG16" i="52" s="1"/>
  <c r="BG15" i="52"/>
  <c r="BF15" i="52"/>
  <c r="BG14" i="52"/>
  <c r="BF14" i="52"/>
  <c r="BF13" i="52"/>
  <c r="BG13" i="52" s="1"/>
  <c r="BF12" i="52"/>
  <c r="BG12" i="52" s="1"/>
  <c r="BF11" i="52"/>
  <c r="BG11" i="52" s="1"/>
  <c r="BF10" i="52"/>
  <c r="BG10" i="52" s="1"/>
  <c r="BF9" i="52"/>
  <c r="BG9" i="52" s="1"/>
  <c r="BF8" i="52"/>
  <c r="BG8" i="52" s="1"/>
  <c r="BF7" i="52"/>
  <c r="BG7" i="52" s="1"/>
  <c r="BF6" i="52"/>
  <c r="BG6" i="52" s="1"/>
  <c r="BF5" i="52"/>
  <c r="BG5" i="52" s="1"/>
  <c r="BC5" i="52"/>
  <c r="BC6" i="52" s="1"/>
  <c r="BC7" i="52" s="1"/>
  <c r="BC8" i="52" s="1"/>
  <c r="BC9" i="52" s="1"/>
  <c r="BC10" i="52" s="1"/>
  <c r="BC11" i="52" s="1"/>
  <c r="BC12" i="52" s="1"/>
  <c r="BC13" i="52" s="1"/>
  <c r="BC14" i="52" s="1"/>
  <c r="BC15" i="52" s="1"/>
  <c r="BC16" i="52" s="1"/>
  <c r="BC17" i="52" s="1"/>
  <c r="BC18" i="52" s="1"/>
  <c r="BC19" i="52" s="1"/>
  <c r="BC20" i="52" s="1"/>
  <c r="BC21" i="52" s="1"/>
  <c r="BC22" i="52" s="1"/>
  <c r="BC23" i="52" s="1"/>
  <c r="BC24" i="52" s="1"/>
  <c r="BC25" i="52" s="1"/>
  <c r="BC26" i="52" s="1"/>
  <c r="BC27" i="52" s="1"/>
  <c r="BC28" i="52" s="1"/>
  <c r="BC29" i="52" s="1"/>
  <c r="BC30" i="52" s="1"/>
  <c r="BC31" i="52" s="1"/>
  <c r="BC32" i="52" s="1"/>
  <c r="BC33" i="52" s="1"/>
  <c r="BC34" i="52" s="1"/>
  <c r="BC35" i="52" s="1"/>
  <c r="BC36" i="52" s="1"/>
  <c r="BC37" i="52" s="1"/>
  <c r="BC38" i="52" s="1"/>
  <c r="BC39" i="52" s="1"/>
  <c r="BF4" i="52"/>
  <c r="BG4" i="52" s="1"/>
  <c r="BE42" i="52" l="1"/>
  <c r="BF41" i="52"/>
  <c r="BG41" i="52"/>
  <c r="BG40" i="52"/>
  <c r="BG42" i="52" s="1"/>
  <c r="BF40" i="52"/>
  <c r="BF42" i="52" s="1"/>
  <c r="AY16" i="52" l="1"/>
  <c r="AW41" i="52"/>
  <c r="AW40" i="52"/>
  <c r="AX39" i="52"/>
  <c r="AY39" i="52" s="1"/>
  <c r="AX38" i="52"/>
  <c r="AY38" i="52" s="1"/>
  <c r="AX37" i="52"/>
  <c r="AY37" i="52" s="1"/>
  <c r="AX36" i="52"/>
  <c r="AY36" i="52" s="1"/>
  <c r="AX35" i="52"/>
  <c r="AY35" i="52" s="1"/>
  <c r="AX34" i="52"/>
  <c r="AY34" i="52" s="1"/>
  <c r="AX33" i="52"/>
  <c r="AY33" i="52" s="1"/>
  <c r="AX32" i="52"/>
  <c r="AY32" i="52" s="1"/>
  <c r="AX31" i="52"/>
  <c r="AY31" i="52" s="1"/>
  <c r="AX30" i="52"/>
  <c r="AY30" i="52" s="1"/>
  <c r="AX29" i="52"/>
  <c r="AY29" i="52" s="1"/>
  <c r="AX28" i="52"/>
  <c r="AY28" i="52" s="1"/>
  <c r="AX27" i="52"/>
  <c r="AY27" i="52" s="1"/>
  <c r="AX26" i="52"/>
  <c r="AY26" i="52" s="1"/>
  <c r="AX25" i="52"/>
  <c r="AY25" i="52" s="1"/>
  <c r="AX24" i="52"/>
  <c r="AY24" i="52" s="1"/>
  <c r="AX23" i="52"/>
  <c r="AY23" i="52" s="1"/>
  <c r="AX22" i="52"/>
  <c r="AY22" i="52" s="1"/>
  <c r="AX21" i="52"/>
  <c r="AY21" i="52" s="1"/>
  <c r="AX20" i="52"/>
  <c r="AY20" i="52" s="1"/>
  <c r="AX19" i="52"/>
  <c r="AY19" i="52" s="1"/>
  <c r="AX18" i="52"/>
  <c r="AY18" i="52" s="1"/>
  <c r="AX17" i="52"/>
  <c r="AY17" i="52" s="1"/>
  <c r="AX16" i="52"/>
  <c r="AX15" i="52"/>
  <c r="AY15" i="52" s="1"/>
  <c r="AX14" i="52"/>
  <c r="AY14" i="52" s="1"/>
  <c r="AX13" i="52"/>
  <c r="AY13" i="52" s="1"/>
  <c r="AX12" i="52"/>
  <c r="AY12" i="52" s="1"/>
  <c r="AX11" i="52"/>
  <c r="AY11" i="52" s="1"/>
  <c r="AX10" i="52"/>
  <c r="AY10" i="52" s="1"/>
  <c r="AX9" i="52"/>
  <c r="AY9" i="52" s="1"/>
  <c r="AX8" i="52"/>
  <c r="AY8" i="52" s="1"/>
  <c r="AX7" i="52"/>
  <c r="AY7" i="52" s="1"/>
  <c r="AX6" i="52"/>
  <c r="AY6" i="52" s="1"/>
  <c r="AX5" i="52"/>
  <c r="AY5" i="52" s="1"/>
  <c r="AU5" i="52"/>
  <c r="AU6" i="52" s="1"/>
  <c r="AU7" i="52" s="1"/>
  <c r="AU8" i="52" s="1"/>
  <c r="AU9" i="52" s="1"/>
  <c r="AU10" i="52" s="1"/>
  <c r="AU11" i="52" s="1"/>
  <c r="AU12" i="52" s="1"/>
  <c r="AU13" i="52" s="1"/>
  <c r="AU14" i="52" s="1"/>
  <c r="AU15" i="52" s="1"/>
  <c r="AU16" i="52" s="1"/>
  <c r="AU17" i="52" s="1"/>
  <c r="AU18" i="52" s="1"/>
  <c r="AU19" i="52" s="1"/>
  <c r="AU20" i="52" s="1"/>
  <c r="AU21" i="52" s="1"/>
  <c r="AU22" i="52" s="1"/>
  <c r="AU23" i="52" s="1"/>
  <c r="AU24" i="52" s="1"/>
  <c r="AU25" i="52" s="1"/>
  <c r="AU26" i="52" s="1"/>
  <c r="AU27" i="52" s="1"/>
  <c r="AU28" i="52" s="1"/>
  <c r="AU29" i="52" s="1"/>
  <c r="AU30" i="52" s="1"/>
  <c r="AU31" i="52" s="1"/>
  <c r="AU32" i="52" s="1"/>
  <c r="AU33" i="52" s="1"/>
  <c r="AU34" i="52" s="1"/>
  <c r="AU35" i="52" s="1"/>
  <c r="AU36" i="52" s="1"/>
  <c r="AU37" i="52" s="1"/>
  <c r="AU38" i="52" s="1"/>
  <c r="AU39" i="52" s="1"/>
  <c r="AX4" i="52"/>
  <c r="AX41" i="52" s="1"/>
  <c r="AW42" i="52" l="1"/>
  <c r="AY4" i="52"/>
  <c r="AX40" i="52"/>
  <c r="AX42" i="52" s="1"/>
  <c r="O24" i="44"/>
  <c r="O29" i="44"/>
  <c r="O70" i="34"/>
  <c r="O62" i="34"/>
  <c r="O15" i="44"/>
  <c r="H15" i="44"/>
  <c r="I15" i="44" s="1"/>
  <c r="O14" i="44"/>
  <c r="H14" i="44"/>
  <c r="I14" i="44" s="1"/>
  <c r="O13" i="44"/>
  <c r="H13" i="44"/>
  <c r="I13" i="44" s="1"/>
  <c r="O12" i="44"/>
  <c r="H12" i="44"/>
  <c r="I12" i="44" s="1"/>
  <c r="O11" i="44"/>
  <c r="H11" i="44"/>
  <c r="I11" i="44" s="1"/>
  <c r="O10" i="44"/>
  <c r="H10" i="44"/>
  <c r="I10" i="44" s="1"/>
  <c r="O16" i="44"/>
  <c r="H16" i="44"/>
  <c r="I16" i="44" s="1"/>
  <c r="O7" i="44"/>
  <c r="H7" i="44"/>
  <c r="I7" i="44" s="1"/>
  <c r="O6" i="44"/>
  <c r="H6" i="44"/>
  <c r="I6" i="44" s="1"/>
  <c r="O5" i="44"/>
  <c r="H5" i="44"/>
  <c r="I5" i="44" s="1"/>
  <c r="O4" i="44"/>
  <c r="H4" i="44"/>
  <c r="I4" i="44" s="1"/>
  <c r="O3" i="44"/>
  <c r="H3" i="44"/>
  <c r="I3" i="44" s="1"/>
  <c r="O2" i="44"/>
  <c r="H2" i="44"/>
  <c r="I2" i="44" s="1"/>
  <c r="O8" i="44"/>
  <c r="L8" i="44"/>
  <c r="H8" i="44"/>
  <c r="I8" i="44" s="1"/>
  <c r="H61" i="34"/>
  <c r="H58" i="34"/>
  <c r="H57" i="34"/>
  <c r="H56" i="34"/>
  <c r="H55" i="34"/>
  <c r="H54" i="34"/>
  <c r="H62" i="34"/>
  <c r="H70" i="34"/>
  <c r="N2" i="36"/>
  <c r="O53" i="34"/>
  <c r="O52" i="34"/>
  <c r="M44" i="34"/>
  <c r="O44" i="34" s="1"/>
  <c r="M19" i="34"/>
  <c r="O19" i="34" s="1"/>
  <c r="M26" i="34"/>
  <c r="O26" i="34" s="1"/>
  <c r="S1408" i="32"/>
  <c r="S1402" i="32"/>
  <c r="S1399" i="32"/>
  <c r="AY41" i="52" l="1"/>
  <c r="AY40" i="52"/>
  <c r="L1383" i="32"/>
  <c r="M1383" i="32" s="1"/>
  <c r="L1382" i="32"/>
  <c r="M1382" i="32" s="1"/>
  <c r="L1346" i="32"/>
  <c r="M1346" i="32" s="1"/>
  <c r="L1345" i="32"/>
  <c r="M1345" i="32" s="1"/>
  <c r="AY42" i="52" l="1"/>
  <c r="AB112" i="6"/>
  <c r="AE112" i="6" s="1"/>
  <c r="M5" i="51"/>
  <c r="O5" i="51" l="1"/>
  <c r="N5" i="51"/>
  <c r="O33" i="44" l="1"/>
  <c r="H33" i="44"/>
  <c r="I33" i="44" s="1"/>
  <c r="O32" i="44"/>
  <c r="H32" i="44"/>
  <c r="I32" i="44" s="1"/>
  <c r="L30" i="44"/>
  <c r="L29" i="44"/>
  <c r="L28" i="44"/>
  <c r="L27" i="44"/>
  <c r="O51" i="34" l="1"/>
  <c r="M5" i="34"/>
  <c r="O5" i="34" s="1"/>
  <c r="M6" i="34"/>
  <c r="O6" i="34" s="1"/>
  <c r="M7" i="34"/>
  <c r="O7" i="34" s="1"/>
  <c r="M14" i="34"/>
  <c r="O14" i="34" s="1"/>
  <c r="M15" i="34"/>
  <c r="O15" i="34" s="1"/>
  <c r="M16" i="34"/>
  <c r="O16" i="34" s="1"/>
  <c r="M17" i="34"/>
  <c r="O17" i="34" s="1"/>
  <c r="M18" i="34"/>
  <c r="O18" i="34" s="1"/>
  <c r="S1400" i="32" l="1"/>
  <c r="S1398" i="32"/>
  <c r="S1397" i="32"/>
  <c r="S1401" i="32"/>
  <c r="S1394" i="32"/>
  <c r="B17" i="54"/>
  <c r="P1344" i="32" l="1"/>
  <c r="P1343" i="32"/>
  <c r="O19" i="44" l="1"/>
  <c r="L19" i="44"/>
  <c r="H19" i="44"/>
  <c r="I19" i="44" s="1"/>
  <c r="O18" i="44"/>
  <c r="L18" i="44"/>
  <c r="H18" i="44"/>
  <c r="I18" i="44" s="1"/>
  <c r="O55" i="34" l="1"/>
  <c r="S1367" i="32"/>
  <c r="P1367" i="32"/>
  <c r="L1367" i="32"/>
  <c r="M1367" i="32" s="1"/>
  <c r="M4" i="54" l="1"/>
  <c r="M5" i="54"/>
  <c r="M6" i="54"/>
  <c r="M7" i="54"/>
  <c r="M8" i="54"/>
  <c r="M9" i="54"/>
  <c r="M10" i="54"/>
  <c r="M11" i="54"/>
  <c r="M12" i="54"/>
  <c r="M13" i="54"/>
  <c r="M14" i="54"/>
  <c r="M3" i="54"/>
  <c r="F4" i="54"/>
  <c r="F5" i="54"/>
  <c r="F6" i="54"/>
  <c r="F7" i="54"/>
  <c r="F8" i="54"/>
  <c r="F9" i="54"/>
  <c r="F10" i="54"/>
  <c r="F11" i="54"/>
  <c r="F12" i="54"/>
  <c r="F13" i="54"/>
  <c r="F14" i="54"/>
  <c r="F15" i="54"/>
  <c r="F16" i="54"/>
  <c r="F19" i="54"/>
  <c r="F20" i="54"/>
  <c r="F21" i="54"/>
  <c r="F22" i="54"/>
  <c r="F23" i="54"/>
  <c r="F24" i="54"/>
  <c r="F3" i="54"/>
  <c r="B9" i="54" l="1"/>
  <c r="B8" i="54"/>
  <c r="AO41" i="52"/>
  <c r="AP5" i="52"/>
  <c r="AQ5" i="52" s="1"/>
  <c r="AP6" i="52"/>
  <c r="AQ6" i="52" s="1"/>
  <c r="AP7" i="52"/>
  <c r="AQ7" i="52" s="1"/>
  <c r="AP8" i="52"/>
  <c r="AQ8" i="52" s="1"/>
  <c r="AP9" i="52"/>
  <c r="AQ9" i="52" s="1"/>
  <c r="AP10" i="52"/>
  <c r="AQ10" i="52" s="1"/>
  <c r="AP11" i="52"/>
  <c r="AQ11" i="52" s="1"/>
  <c r="AP12" i="52"/>
  <c r="AQ12" i="52" s="1"/>
  <c r="AP13" i="52"/>
  <c r="AQ13" i="52" s="1"/>
  <c r="AP14" i="52"/>
  <c r="AQ14" i="52" s="1"/>
  <c r="AP15" i="52"/>
  <c r="AQ15" i="52" s="1"/>
  <c r="AP16" i="52"/>
  <c r="AQ16" i="52" s="1"/>
  <c r="AP17" i="52"/>
  <c r="AQ17" i="52" s="1"/>
  <c r="AP18" i="52"/>
  <c r="AQ18" i="52" s="1"/>
  <c r="AP19" i="52"/>
  <c r="AQ19" i="52" s="1"/>
  <c r="AP20" i="52"/>
  <c r="AQ20" i="52" s="1"/>
  <c r="AP21" i="52"/>
  <c r="AQ21" i="52" s="1"/>
  <c r="AP22" i="52"/>
  <c r="AQ22" i="52" s="1"/>
  <c r="AP23" i="52"/>
  <c r="AQ23" i="52" s="1"/>
  <c r="AP24" i="52"/>
  <c r="AQ24" i="52" s="1"/>
  <c r="AP25" i="52"/>
  <c r="AQ25" i="52" s="1"/>
  <c r="AP26" i="52"/>
  <c r="AQ26" i="52" s="1"/>
  <c r="AP27" i="52"/>
  <c r="AQ27" i="52" s="1"/>
  <c r="AP28" i="52"/>
  <c r="AQ28" i="52" s="1"/>
  <c r="AP29" i="52"/>
  <c r="AQ29" i="52" s="1"/>
  <c r="AP30" i="52"/>
  <c r="AQ30" i="52" s="1"/>
  <c r="AP31" i="52"/>
  <c r="AQ31" i="52" s="1"/>
  <c r="AP32" i="52"/>
  <c r="AQ32" i="52" s="1"/>
  <c r="AP33" i="52"/>
  <c r="AQ33" i="52" s="1"/>
  <c r="AP34" i="52"/>
  <c r="AQ34" i="52" s="1"/>
  <c r="AP35" i="52"/>
  <c r="AQ35" i="52" s="1"/>
  <c r="AP36" i="52"/>
  <c r="AQ36" i="52" s="1"/>
  <c r="AP37" i="52"/>
  <c r="AQ37" i="52" s="1"/>
  <c r="AP38" i="52"/>
  <c r="AQ38" i="52" s="1"/>
  <c r="AP39" i="52"/>
  <c r="AQ39" i="52" s="1"/>
  <c r="AP4" i="52"/>
  <c r="AP41" i="52" s="1"/>
  <c r="AF41" i="52"/>
  <c r="AH41" i="52"/>
  <c r="AE41" i="52"/>
  <c r="V41" i="52"/>
  <c r="W41" i="52"/>
  <c r="X41" i="52"/>
  <c r="Y41" i="52"/>
  <c r="V40" i="52"/>
  <c r="W40" i="52"/>
  <c r="X40" i="52"/>
  <c r="Y40" i="52"/>
  <c r="U41" i="52"/>
  <c r="U40" i="52"/>
  <c r="M41" i="52"/>
  <c r="N41" i="52"/>
  <c r="O41" i="52"/>
  <c r="P41" i="52"/>
  <c r="L41" i="52"/>
  <c r="M40" i="52"/>
  <c r="N40" i="52"/>
  <c r="N42" i="52" s="1"/>
  <c r="O40" i="52"/>
  <c r="P40" i="52"/>
  <c r="L40" i="52"/>
  <c r="D41" i="52"/>
  <c r="F41" i="52"/>
  <c r="C41" i="52"/>
  <c r="AO40" i="52"/>
  <c r="AO42" i="52" s="1"/>
  <c r="AM5" i="52"/>
  <c r="AM6" i="52" s="1"/>
  <c r="AM7" i="52" s="1"/>
  <c r="AM8" i="52" s="1"/>
  <c r="AM9" i="52" s="1"/>
  <c r="AM10" i="52" s="1"/>
  <c r="AM11" i="52" s="1"/>
  <c r="AM12" i="52" s="1"/>
  <c r="AM13" i="52" s="1"/>
  <c r="AM14" i="52" s="1"/>
  <c r="AM15" i="52" s="1"/>
  <c r="AM16" i="52" s="1"/>
  <c r="AM17" i="52" s="1"/>
  <c r="AM18" i="52" s="1"/>
  <c r="AM19" i="52" s="1"/>
  <c r="AM20" i="52" s="1"/>
  <c r="AM21" i="52" s="1"/>
  <c r="AM22" i="52" s="1"/>
  <c r="AM23" i="52" s="1"/>
  <c r="AM24" i="52" s="1"/>
  <c r="AM25" i="52" s="1"/>
  <c r="AM26" i="52" s="1"/>
  <c r="AM27" i="52" s="1"/>
  <c r="AM28" i="52" s="1"/>
  <c r="AM29" i="52" s="1"/>
  <c r="AM30" i="52" s="1"/>
  <c r="AM31" i="52" s="1"/>
  <c r="AM32" i="52" s="1"/>
  <c r="AM33" i="52" s="1"/>
  <c r="AM34" i="52" s="1"/>
  <c r="AM35" i="52" s="1"/>
  <c r="AM36" i="52" s="1"/>
  <c r="AM37" i="52" s="1"/>
  <c r="AM38" i="52" s="1"/>
  <c r="AM39" i="52" s="1"/>
  <c r="D17" i="6"/>
  <c r="M42" i="52" l="1"/>
  <c r="X42" i="52"/>
  <c r="P42" i="52"/>
  <c r="V42" i="52"/>
  <c r="L42" i="52"/>
  <c r="AQ4" i="52"/>
  <c r="AQ41" i="52" s="1"/>
  <c r="O42" i="52"/>
  <c r="U42" i="52"/>
  <c r="AP40" i="52"/>
  <c r="AP42" i="52" s="1"/>
  <c r="Y42" i="52"/>
  <c r="W42" i="52"/>
  <c r="AQ40" i="52" l="1"/>
  <c r="AQ42" i="52" s="1"/>
  <c r="BO25" i="52"/>
  <c r="BN25" i="52"/>
  <c r="BP24" i="52"/>
  <c r="BP25" i="52" s="1"/>
  <c r="BO23" i="52"/>
  <c r="BN23" i="52"/>
  <c r="BP22" i="52"/>
  <c r="BP21" i="52"/>
  <c r="BO20" i="52"/>
  <c r="BN20" i="52"/>
  <c r="BP19" i="52"/>
  <c r="BP20" i="52" s="1"/>
  <c r="BO18" i="52"/>
  <c r="BN18" i="52"/>
  <c r="BP17" i="52"/>
  <c r="BP16" i="52"/>
  <c r="BO15" i="52"/>
  <c r="BN15" i="52"/>
  <c r="BP14" i="52"/>
  <c r="BO13" i="52"/>
  <c r="BN13" i="52"/>
  <c r="BP13" i="52" s="1"/>
  <c r="BP12" i="52"/>
  <c r="BP11" i="52"/>
  <c r="BO10" i="52"/>
  <c r="BN10" i="52"/>
  <c r="BP9" i="52"/>
  <c r="BO8" i="52"/>
  <c r="BN8" i="52"/>
  <c r="BP7" i="52"/>
  <c r="BP6" i="52"/>
  <c r="BO27" i="52" l="1"/>
  <c r="BP18" i="52"/>
  <c r="BP23" i="52"/>
  <c r="BP10" i="52"/>
  <c r="BP15" i="52"/>
  <c r="BP27" i="52" s="1"/>
  <c r="BP8" i="52"/>
  <c r="BN27" i="52"/>
  <c r="Q40" i="53"/>
  <c r="Q42" i="53" s="1"/>
  <c r="O40" i="53"/>
  <c r="O42" i="53" s="1"/>
  <c r="N40" i="53"/>
  <c r="N42" i="53" s="1"/>
  <c r="G40" i="53"/>
  <c r="G42" i="53" s="1"/>
  <c r="E40" i="53"/>
  <c r="E42" i="53" s="1"/>
  <c r="D40" i="53"/>
  <c r="D42" i="53" s="1"/>
  <c r="P39" i="53"/>
  <c r="R39" i="53" s="1"/>
  <c r="F39" i="53"/>
  <c r="H39" i="53" s="1"/>
  <c r="P38" i="53"/>
  <c r="R38" i="53" s="1"/>
  <c r="F38" i="53"/>
  <c r="H38" i="53" s="1"/>
  <c r="P37" i="53"/>
  <c r="R37" i="53" s="1"/>
  <c r="F37" i="53"/>
  <c r="H37" i="53" s="1"/>
  <c r="P36" i="53"/>
  <c r="R36" i="53" s="1"/>
  <c r="F36" i="53"/>
  <c r="H36" i="53" s="1"/>
  <c r="P35" i="53"/>
  <c r="R35" i="53" s="1"/>
  <c r="F35" i="53"/>
  <c r="H35" i="53" s="1"/>
  <c r="P34" i="53"/>
  <c r="R34" i="53" s="1"/>
  <c r="F34" i="53"/>
  <c r="H34" i="53" s="1"/>
  <c r="P33" i="53"/>
  <c r="R33" i="53" s="1"/>
  <c r="F33" i="53"/>
  <c r="H33" i="53" s="1"/>
  <c r="P32" i="53"/>
  <c r="R32" i="53" s="1"/>
  <c r="F32" i="53"/>
  <c r="H32" i="53" s="1"/>
  <c r="P31" i="53"/>
  <c r="R31" i="53" s="1"/>
  <c r="F31" i="53"/>
  <c r="H31" i="53" s="1"/>
  <c r="P30" i="53"/>
  <c r="R30" i="53" s="1"/>
  <c r="F30" i="53"/>
  <c r="H30" i="53" s="1"/>
  <c r="P29" i="53"/>
  <c r="R29" i="53" s="1"/>
  <c r="F29" i="53"/>
  <c r="H29" i="53" s="1"/>
  <c r="P28" i="53"/>
  <c r="R28" i="53" s="1"/>
  <c r="F28" i="53"/>
  <c r="H28" i="53" s="1"/>
  <c r="P27" i="53"/>
  <c r="R27" i="53" s="1"/>
  <c r="F27" i="53"/>
  <c r="H27" i="53" s="1"/>
  <c r="P26" i="53"/>
  <c r="R26" i="53" s="1"/>
  <c r="F26" i="53"/>
  <c r="H26" i="53" s="1"/>
  <c r="P25" i="53"/>
  <c r="R25" i="53" s="1"/>
  <c r="F25" i="53"/>
  <c r="H25" i="53" s="1"/>
  <c r="P24" i="53"/>
  <c r="R24" i="53" s="1"/>
  <c r="F24" i="53"/>
  <c r="H24" i="53" s="1"/>
  <c r="P23" i="53"/>
  <c r="R23" i="53" s="1"/>
  <c r="F23" i="53"/>
  <c r="H23" i="53" s="1"/>
  <c r="P22" i="53"/>
  <c r="R22" i="53" s="1"/>
  <c r="F22" i="53"/>
  <c r="H22" i="53" s="1"/>
  <c r="P21" i="53"/>
  <c r="R21" i="53" s="1"/>
  <c r="F21" i="53"/>
  <c r="H21" i="53" s="1"/>
  <c r="P20" i="53"/>
  <c r="R20" i="53" s="1"/>
  <c r="F20" i="53"/>
  <c r="H20" i="53" s="1"/>
  <c r="P19" i="53"/>
  <c r="R19" i="53" s="1"/>
  <c r="F19" i="53"/>
  <c r="H19" i="53" s="1"/>
  <c r="P18" i="53"/>
  <c r="R18" i="53" s="1"/>
  <c r="F18" i="53"/>
  <c r="H18" i="53" s="1"/>
  <c r="P17" i="53"/>
  <c r="R17" i="53" s="1"/>
  <c r="F17" i="53"/>
  <c r="H17" i="53" s="1"/>
  <c r="P16" i="53"/>
  <c r="R16" i="53" s="1"/>
  <c r="F16" i="53"/>
  <c r="H16" i="53" s="1"/>
  <c r="P15" i="53"/>
  <c r="R15" i="53" s="1"/>
  <c r="H15" i="53"/>
  <c r="F15" i="53"/>
  <c r="P14" i="53"/>
  <c r="R14" i="53" s="1"/>
  <c r="F14" i="53"/>
  <c r="H14" i="53" s="1"/>
  <c r="P13" i="53"/>
  <c r="R13" i="53" s="1"/>
  <c r="F13" i="53"/>
  <c r="H13" i="53" s="1"/>
  <c r="P12" i="53"/>
  <c r="R12" i="53" s="1"/>
  <c r="F12" i="53"/>
  <c r="H12" i="53" s="1"/>
  <c r="P11" i="53"/>
  <c r="R11" i="53" s="1"/>
  <c r="F11" i="53"/>
  <c r="H11" i="53" s="1"/>
  <c r="P10" i="53"/>
  <c r="R10" i="53" s="1"/>
  <c r="F10" i="53"/>
  <c r="H10" i="53" s="1"/>
  <c r="P9" i="53"/>
  <c r="R9" i="53" s="1"/>
  <c r="F9" i="53"/>
  <c r="H9" i="53" s="1"/>
  <c r="P8" i="53"/>
  <c r="R8" i="53" s="1"/>
  <c r="F8" i="53"/>
  <c r="H8" i="53" s="1"/>
  <c r="P7" i="53"/>
  <c r="R7" i="53" s="1"/>
  <c r="F7" i="53"/>
  <c r="H7" i="53" s="1"/>
  <c r="P6" i="53"/>
  <c r="R6" i="53" s="1"/>
  <c r="F6" i="53"/>
  <c r="H6" i="53" s="1"/>
  <c r="B6" i="53"/>
  <c r="B7" i="53" s="1"/>
  <c r="B8" i="53" s="1"/>
  <c r="B9" i="53" s="1"/>
  <c r="B10" i="53" s="1"/>
  <c r="B11" i="53" s="1"/>
  <c r="B12" i="53" s="1"/>
  <c r="B13" i="53" s="1"/>
  <c r="B14" i="53" s="1"/>
  <c r="B15" i="53" s="1"/>
  <c r="B16" i="53" s="1"/>
  <c r="B17" i="53" s="1"/>
  <c r="B18" i="53" s="1"/>
  <c r="B19" i="53" s="1"/>
  <c r="B20" i="53" s="1"/>
  <c r="B21" i="53" s="1"/>
  <c r="B22" i="53" s="1"/>
  <c r="B23" i="53" s="1"/>
  <c r="B24" i="53" s="1"/>
  <c r="B25" i="53" s="1"/>
  <c r="B26" i="53" s="1"/>
  <c r="B27" i="53" s="1"/>
  <c r="B28" i="53" s="1"/>
  <c r="B29" i="53" s="1"/>
  <c r="B30" i="53" s="1"/>
  <c r="B31" i="53" s="1"/>
  <c r="B32" i="53" s="1"/>
  <c r="B33" i="53" s="1"/>
  <c r="B34" i="53" s="1"/>
  <c r="B35" i="53" s="1"/>
  <c r="B36" i="53" s="1"/>
  <c r="B37" i="53" s="1"/>
  <c r="B38" i="53" s="1"/>
  <c r="B39" i="53" s="1"/>
  <c r="P5" i="53"/>
  <c r="L5" i="53"/>
  <c r="L6" i="53" s="1"/>
  <c r="L7" i="53" s="1"/>
  <c r="L8" i="53" s="1"/>
  <c r="L9" i="53" s="1"/>
  <c r="L10" i="53" s="1"/>
  <c r="L11" i="53" s="1"/>
  <c r="L12" i="53" s="1"/>
  <c r="L13" i="53" s="1"/>
  <c r="L14" i="53" s="1"/>
  <c r="L15" i="53" s="1"/>
  <c r="L16" i="53" s="1"/>
  <c r="L17" i="53" s="1"/>
  <c r="L18" i="53" s="1"/>
  <c r="L19" i="53" s="1"/>
  <c r="L20" i="53" s="1"/>
  <c r="L21" i="53" s="1"/>
  <c r="L22" i="53" s="1"/>
  <c r="L23" i="53" s="1"/>
  <c r="L24" i="53" s="1"/>
  <c r="L25" i="53" s="1"/>
  <c r="L26" i="53" s="1"/>
  <c r="L27" i="53" s="1"/>
  <c r="L28" i="53" s="1"/>
  <c r="L29" i="53" s="1"/>
  <c r="L30" i="53" s="1"/>
  <c r="L31" i="53" s="1"/>
  <c r="L32" i="53" s="1"/>
  <c r="L33" i="53" s="1"/>
  <c r="L34" i="53" s="1"/>
  <c r="L35" i="53" s="1"/>
  <c r="L36" i="53" s="1"/>
  <c r="L37" i="53" s="1"/>
  <c r="L38" i="53" s="1"/>
  <c r="L39" i="53" s="1"/>
  <c r="F5" i="53"/>
  <c r="H5" i="53" s="1"/>
  <c r="B5" i="53"/>
  <c r="P4" i="53"/>
  <c r="R4" i="53" s="1"/>
  <c r="F4" i="53"/>
  <c r="AH40" i="52"/>
  <c r="AH42" i="52" s="1"/>
  <c r="AF40" i="52"/>
  <c r="AE40" i="52"/>
  <c r="AE42" i="52" s="1"/>
  <c r="F40" i="52"/>
  <c r="F42" i="52" s="1"/>
  <c r="D40" i="52"/>
  <c r="D42" i="52" s="1"/>
  <c r="C40" i="52"/>
  <c r="C42" i="52" s="1"/>
  <c r="AG39" i="52"/>
  <c r="AI39" i="52" s="1"/>
  <c r="E39" i="52"/>
  <c r="G39" i="52" s="1"/>
  <c r="AG38" i="52"/>
  <c r="AI38" i="52" s="1"/>
  <c r="E38" i="52"/>
  <c r="G38" i="52" s="1"/>
  <c r="AG37" i="52"/>
  <c r="AI37" i="52" s="1"/>
  <c r="E37" i="52"/>
  <c r="G37" i="52" s="1"/>
  <c r="AG36" i="52"/>
  <c r="AI36" i="52" s="1"/>
  <c r="E36" i="52"/>
  <c r="G36" i="52" s="1"/>
  <c r="AG35" i="52"/>
  <c r="AI35" i="52" s="1"/>
  <c r="E35" i="52"/>
  <c r="G35" i="52" s="1"/>
  <c r="AG34" i="52"/>
  <c r="AI34" i="52" s="1"/>
  <c r="E34" i="52"/>
  <c r="G34" i="52" s="1"/>
  <c r="AG33" i="52"/>
  <c r="AI33" i="52" s="1"/>
  <c r="E33" i="52"/>
  <c r="G33" i="52" s="1"/>
  <c r="AG32" i="52"/>
  <c r="AI32" i="52" s="1"/>
  <c r="E32" i="52"/>
  <c r="G32" i="52" s="1"/>
  <c r="AG31" i="52"/>
  <c r="AI31" i="52" s="1"/>
  <c r="E31" i="52"/>
  <c r="G31" i="52" s="1"/>
  <c r="AG30" i="52"/>
  <c r="AI30" i="52" s="1"/>
  <c r="E30" i="52"/>
  <c r="G30" i="52" s="1"/>
  <c r="AG29" i="52"/>
  <c r="AI29" i="52" s="1"/>
  <c r="E29" i="52"/>
  <c r="G29" i="52" s="1"/>
  <c r="AG28" i="52"/>
  <c r="AI28" i="52" s="1"/>
  <c r="E28" i="52"/>
  <c r="G28" i="52" s="1"/>
  <c r="AG27" i="52"/>
  <c r="AI27" i="52" s="1"/>
  <c r="E27" i="52"/>
  <c r="G27" i="52" s="1"/>
  <c r="AG26" i="52"/>
  <c r="AI26" i="52" s="1"/>
  <c r="E26" i="52"/>
  <c r="G26" i="52" s="1"/>
  <c r="AG25" i="52"/>
  <c r="AI25" i="52" s="1"/>
  <c r="E25" i="52"/>
  <c r="G25" i="52" s="1"/>
  <c r="AG24" i="52"/>
  <c r="AI24" i="52" s="1"/>
  <c r="E24" i="52"/>
  <c r="G24" i="52" s="1"/>
  <c r="AG23" i="52"/>
  <c r="AI23" i="52" s="1"/>
  <c r="E23" i="52"/>
  <c r="G23" i="52" s="1"/>
  <c r="AG22" i="52"/>
  <c r="AI22" i="52" s="1"/>
  <c r="E22" i="52"/>
  <c r="G22" i="52" s="1"/>
  <c r="AG21" i="52"/>
  <c r="AI21" i="52" s="1"/>
  <c r="E21" i="52"/>
  <c r="G21" i="52" s="1"/>
  <c r="AG20" i="52"/>
  <c r="AI20" i="52" s="1"/>
  <c r="E20" i="52"/>
  <c r="G20" i="52" s="1"/>
  <c r="AG19" i="52"/>
  <c r="AI19" i="52" s="1"/>
  <c r="E19" i="52"/>
  <c r="G19" i="52" s="1"/>
  <c r="AG18" i="52"/>
  <c r="AI18" i="52" s="1"/>
  <c r="E18" i="52"/>
  <c r="G18" i="52" s="1"/>
  <c r="AG17" i="52"/>
  <c r="AI17" i="52" s="1"/>
  <c r="E17" i="52"/>
  <c r="G17" i="52" s="1"/>
  <c r="AG16" i="52"/>
  <c r="AI16" i="52" s="1"/>
  <c r="E16" i="52"/>
  <c r="G16" i="52" s="1"/>
  <c r="AG15" i="52"/>
  <c r="AI15" i="52" s="1"/>
  <c r="E15" i="52"/>
  <c r="G15" i="52" s="1"/>
  <c r="AG14" i="52"/>
  <c r="AI14" i="52" s="1"/>
  <c r="E14" i="52"/>
  <c r="G14" i="52" s="1"/>
  <c r="AG13" i="52"/>
  <c r="AI13" i="52" s="1"/>
  <c r="E13" i="52"/>
  <c r="G13" i="52" s="1"/>
  <c r="AG12" i="52"/>
  <c r="AI12" i="52" s="1"/>
  <c r="E12" i="52"/>
  <c r="G12" i="52" s="1"/>
  <c r="AG11" i="52"/>
  <c r="AI11" i="52" s="1"/>
  <c r="E11" i="52"/>
  <c r="G11" i="52" s="1"/>
  <c r="AG10" i="52"/>
  <c r="AI10" i="52" s="1"/>
  <c r="E10" i="52"/>
  <c r="G10" i="52" s="1"/>
  <c r="AG9" i="52"/>
  <c r="AI9" i="52" s="1"/>
  <c r="E9" i="52"/>
  <c r="AG8" i="52"/>
  <c r="AI8" i="52" s="1"/>
  <c r="E8" i="52"/>
  <c r="G8" i="52" s="1"/>
  <c r="AG7" i="52"/>
  <c r="AI7" i="52" s="1"/>
  <c r="E7" i="52"/>
  <c r="G7" i="52" s="1"/>
  <c r="BY6" i="52"/>
  <c r="CC6" i="52" s="1"/>
  <c r="CD6" i="52" s="1"/>
  <c r="AG6" i="52"/>
  <c r="AI6" i="52" s="1"/>
  <c r="E6" i="52"/>
  <c r="G6" i="52" s="1"/>
  <c r="BY5" i="52"/>
  <c r="CC5" i="52" s="1"/>
  <c r="CD5" i="52" s="1"/>
  <c r="AG5" i="52"/>
  <c r="AI5" i="52" s="1"/>
  <c r="AC5" i="52"/>
  <c r="AC6" i="52" s="1"/>
  <c r="AC7" i="52" s="1"/>
  <c r="AC8" i="52" s="1"/>
  <c r="AC9" i="52" s="1"/>
  <c r="AC10" i="52" s="1"/>
  <c r="AC11" i="52" s="1"/>
  <c r="AC12" i="52" s="1"/>
  <c r="AC13" i="52" s="1"/>
  <c r="AC14" i="52" s="1"/>
  <c r="AC15" i="52" s="1"/>
  <c r="AC16" i="52" s="1"/>
  <c r="AC17" i="52" s="1"/>
  <c r="AC18" i="52" s="1"/>
  <c r="AC19" i="52" s="1"/>
  <c r="AC20" i="52" s="1"/>
  <c r="AC21" i="52" s="1"/>
  <c r="AC22" i="52" s="1"/>
  <c r="AC23" i="52" s="1"/>
  <c r="AC24" i="52" s="1"/>
  <c r="AC25" i="52" s="1"/>
  <c r="AC26" i="52" s="1"/>
  <c r="AC27" i="52" s="1"/>
  <c r="AC28" i="52" s="1"/>
  <c r="AC29" i="52" s="1"/>
  <c r="AC30" i="52" s="1"/>
  <c r="AC31" i="52" s="1"/>
  <c r="AC32" i="52" s="1"/>
  <c r="AC33" i="52" s="1"/>
  <c r="AC34" i="52" s="1"/>
  <c r="AC35" i="52" s="1"/>
  <c r="AC36" i="52" s="1"/>
  <c r="AC37" i="52" s="1"/>
  <c r="AC38" i="52" s="1"/>
  <c r="AC39" i="52" s="1"/>
  <c r="E5" i="52"/>
  <c r="G5" i="52" s="1"/>
  <c r="A5" i="52"/>
  <c r="A6" i="52" s="1"/>
  <c r="A7" i="52" s="1"/>
  <c r="A8" i="52" s="1"/>
  <c r="A9" i="52" s="1"/>
  <c r="A10" i="52" s="1"/>
  <c r="A11" i="52" s="1"/>
  <c r="A12" i="52" s="1"/>
  <c r="A13" i="52" s="1"/>
  <c r="A14" i="52" s="1"/>
  <c r="A15" i="52" s="1"/>
  <c r="A16" i="52" s="1"/>
  <c r="A17" i="52" s="1"/>
  <c r="A18" i="52" s="1"/>
  <c r="A19" i="52" s="1"/>
  <c r="A20" i="52" s="1"/>
  <c r="A21" i="52" s="1"/>
  <c r="A22" i="52" s="1"/>
  <c r="A23" i="52" s="1"/>
  <c r="A24" i="52" s="1"/>
  <c r="A25" i="52" s="1"/>
  <c r="A26" i="52" s="1"/>
  <c r="A27" i="52" s="1"/>
  <c r="A28" i="52" s="1"/>
  <c r="A29" i="52" s="1"/>
  <c r="A30" i="52" s="1"/>
  <c r="A31" i="52" s="1"/>
  <c r="A32" i="52" s="1"/>
  <c r="A33" i="52" s="1"/>
  <c r="A34" i="52" s="1"/>
  <c r="A35" i="52" s="1"/>
  <c r="A36" i="52" s="1"/>
  <c r="A37" i="52" s="1"/>
  <c r="A38" i="52" s="1"/>
  <c r="A39" i="52" s="1"/>
  <c r="AG4" i="52"/>
  <c r="E4" i="52"/>
  <c r="O35" i="44"/>
  <c r="H35" i="44"/>
  <c r="I35" i="44" s="1"/>
  <c r="O34" i="44"/>
  <c r="H34" i="44"/>
  <c r="I34" i="44" s="1"/>
  <c r="H29" i="44"/>
  <c r="I29" i="44" s="1"/>
  <c r="O28" i="44"/>
  <c r="H28" i="44"/>
  <c r="I28" i="44" s="1"/>
  <c r="O27" i="44"/>
  <c r="H27" i="44"/>
  <c r="I27" i="44" s="1"/>
  <c r="O30" i="44"/>
  <c r="H30" i="44"/>
  <c r="I30" i="44" s="1"/>
  <c r="O26" i="44"/>
  <c r="L26" i="44"/>
  <c r="H26" i="44"/>
  <c r="I26" i="44" s="1"/>
  <c r="O25" i="44"/>
  <c r="L25" i="44"/>
  <c r="H25" i="44"/>
  <c r="I25" i="44" s="1"/>
  <c r="L24" i="44"/>
  <c r="H24" i="44"/>
  <c r="I24" i="44" s="1"/>
  <c r="O31" i="44"/>
  <c r="L31" i="44"/>
  <c r="H31" i="44"/>
  <c r="I31" i="44" s="1"/>
  <c r="O23" i="44"/>
  <c r="L23" i="44"/>
  <c r="H23" i="44"/>
  <c r="I23" i="44" s="1"/>
  <c r="O22" i="44"/>
  <c r="H22" i="44"/>
  <c r="I22" i="44" s="1"/>
  <c r="O21" i="44"/>
  <c r="H21" i="44"/>
  <c r="I21" i="44" s="1"/>
  <c r="O20" i="44"/>
  <c r="H20" i="44"/>
  <c r="I20" i="44" s="1"/>
  <c r="O61" i="34"/>
  <c r="O58" i="34"/>
  <c r="O57" i="34"/>
  <c r="O56" i="34"/>
  <c r="O54" i="34"/>
  <c r="P136" i="6" l="1"/>
  <c r="S136" i="6" s="1"/>
  <c r="I62" i="34"/>
  <c r="G4" i="52"/>
  <c r="E41" i="52"/>
  <c r="AI4" i="52"/>
  <c r="AI41" i="52" s="1"/>
  <c r="AG41" i="52"/>
  <c r="AF42" i="52"/>
  <c r="AG47" i="52"/>
  <c r="P40" i="53"/>
  <c r="P42" i="53" s="1"/>
  <c r="E40" i="52"/>
  <c r="R5" i="53"/>
  <c r="R40" i="53" s="1"/>
  <c r="R42" i="53" s="1"/>
  <c r="F40" i="53"/>
  <c r="F42" i="53" s="1"/>
  <c r="H4" i="53"/>
  <c r="H40" i="53" s="1"/>
  <c r="H42" i="53" s="1"/>
  <c r="G9" i="52"/>
  <c r="G40" i="52" s="1"/>
  <c r="AI40" i="52"/>
  <c r="AI42" i="52" s="1"/>
  <c r="AG40" i="52"/>
  <c r="I61" i="34"/>
  <c r="I55" i="34"/>
  <c r="I58" i="34"/>
  <c r="I70" i="34"/>
  <c r="I54" i="34"/>
  <c r="I56" i="34"/>
  <c r="I57" i="34"/>
  <c r="M2" i="34"/>
  <c r="O2" i="34" s="1"/>
  <c r="M3" i="34"/>
  <c r="O3" i="34" s="1"/>
  <c r="M4" i="34"/>
  <c r="O4" i="34" s="1"/>
  <c r="S1366" i="32"/>
  <c r="L1366" i="32"/>
  <c r="M1366" i="32" s="1"/>
  <c r="E42" i="52" l="1"/>
  <c r="AG42" i="52"/>
  <c r="G41" i="52"/>
  <c r="G42" i="52" s="1"/>
  <c r="E4" i="6" l="1"/>
  <c r="E3" i="6"/>
  <c r="E2" i="6"/>
  <c r="C11" i="6"/>
  <c r="AT112" i="6"/>
  <c r="C71" i="6" l="1"/>
  <c r="D71" i="6"/>
  <c r="F71" i="6"/>
  <c r="F72" i="6"/>
  <c r="D72" i="6"/>
  <c r="C72" i="6"/>
  <c r="D69" i="6"/>
  <c r="C86" i="6"/>
  <c r="F86" i="6"/>
  <c r="D86" i="6"/>
  <c r="E86" i="6"/>
  <c r="AJ112" i="6"/>
  <c r="G86" i="6" l="1"/>
  <c r="P1347" i="32" l="1"/>
  <c r="S1348" i="32"/>
  <c r="S1349" i="32"/>
  <c r="S1350" i="32"/>
  <c r="S1351" i="32"/>
  <c r="S1352" i="32"/>
  <c r="S1353" i="32"/>
  <c r="S1354" i="32"/>
  <c r="S1355" i="32"/>
  <c r="S1356" i="32"/>
  <c r="S1357" i="32"/>
  <c r="S1358" i="32"/>
  <c r="S1359" i="32"/>
  <c r="S1360" i="32"/>
  <c r="S1361" i="32"/>
  <c r="L1348" i="32"/>
  <c r="M1348" i="32" s="1"/>
  <c r="L1349" i="32"/>
  <c r="M1349" i="32" s="1"/>
  <c r="L1350" i="32"/>
  <c r="M1350" i="32" s="1"/>
  <c r="L1351" i="32"/>
  <c r="M1351" i="32" s="1"/>
  <c r="L1352" i="32"/>
  <c r="M1352" i="32" s="1"/>
  <c r="L1353" i="32"/>
  <c r="M1353" i="32" s="1"/>
  <c r="L1354" i="32"/>
  <c r="M1354" i="32" s="1"/>
  <c r="L1355" i="32"/>
  <c r="M1355" i="32" s="1"/>
  <c r="L1356" i="32"/>
  <c r="M1356" i="32" s="1"/>
  <c r="L1357" i="32"/>
  <c r="M1357" i="32" s="1"/>
  <c r="L1358" i="32"/>
  <c r="M1358" i="32" s="1"/>
  <c r="L1359" i="32"/>
  <c r="M1359" i="32" s="1"/>
  <c r="L1360" i="32"/>
  <c r="M1360" i="32" s="1"/>
  <c r="L1361" i="32"/>
  <c r="M1361" i="32" s="1"/>
  <c r="P1392" i="32" l="1"/>
  <c r="P1386" i="32"/>
  <c r="P1387" i="32"/>
  <c r="P1388" i="32"/>
  <c r="P1389" i="32"/>
  <c r="P1390" i="32"/>
  <c r="S1347" i="32"/>
  <c r="L1362" i="32" l="1"/>
  <c r="M1362" i="32" s="1"/>
  <c r="S1362" i="32"/>
  <c r="L1363" i="32"/>
  <c r="M1363" i="32" s="1"/>
  <c r="S1363" i="32"/>
  <c r="L1364" i="32"/>
  <c r="M1364" i="32" s="1"/>
  <c r="S1364" i="32"/>
  <c r="L1365" i="32"/>
  <c r="M1365" i="32" s="1"/>
  <c r="S1365" i="32"/>
  <c r="S1382" i="32"/>
  <c r="S1383" i="32"/>
  <c r="S1370" i="32"/>
  <c r="S1371" i="32"/>
  <c r="S1372" i="32"/>
  <c r="S1373" i="32"/>
  <c r="S1374" i="32"/>
  <c r="S1375" i="32"/>
  <c r="S1376" i="32"/>
  <c r="S1377" i="32"/>
  <c r="S1378" i="32"/>
  <c r="S1379" i="32"/>
  <c r="S1380" i="32"/>
  <c r="S1381" i="32"/>
  <c r="Q1391" i="32"/>
  <c r="P1391" i="32" s="1"/>
  <c r="S1392" i="32"/>
  <c r="S1386" i="32"/>
  <c r="S1387" i="32"/>
  <c r="S1388" i="32"/>
  <c r="S1389" i="32"/>
  <c r="S1390" i="32"/>
  <c r="S1391" i="32" l="1"/>
  <c r="S1393" i="32" l="1"/>
  <c r="P1393" i="32"/>
  <c r="L1347" i="32"/>
  <c r="M1347" i="32" s="1"/>
  <c r="S1342" i="32" l="1"/>
  <c r="S1341" i="32"/>
  <c r="S1340" i="32"/>
  <c r="S1339" i="32"/>
  <c r="S1338" i="32"/>
  <c r="S1337" i="32"/>
  <c r="S1336" i="32"/>
  <c r="S1335" i="32"/>
  <c r="S1334" i="32"/>
  <c r="S1333" i="32"/>
  <c r="S1346" i="32"/>
  <c r="S1345" i="32"/>
  <c r="C17" i="6" l="1"/>
  <c r="C69" i="6" s="1"/>
  <c r="AZ93" i="6" l="1"/>
  <c r="AZ100" i="6" l="1"/>
  <c r="AZ105" i="6"/>
  <c r="AZ110" i="6"/>
  <c r="D111" i="6"/>
  <c r="F111" i="6"/>
  <c r="J111" i="6"/>
  <c r="P111" i="6"/>
  <c r="R111" i="6"/>
  <c r="V111" i="6"/>
  <c r="X111" i="6"/>
  <c r="AB111" i="6"/>
  <c r="AH111" i="6"/>
  <c r="AJ111" i="6"/>
  <c r="AP111" i="6"/>
  <c r="AT111" i="6"/>
  <c r="AV111" i="6"/>
  <c r="L111" i="6"/>
  <c r="AD111" i="6"/>
  <c r="AZ119" i="6"/>
  <c r="H20" i="49" l="1"/>
  <c r="H19" i="49"/>
  <c r="G19" i="49"/>
  <c r="H21" i="49"/>
  <c r="H22" i="49"/>
  <c r="H23" i="49"/>
  <c r="L1343" i="32" l="1"/>
  <c r="M1343" i="32" s="1"/>
  <c r="L1344" i="32"/>
  <c r="M1344" i="32" s="1"/>
  <c r="K27" i="49" l="1"/>
  <c r="I27" i="49"/>
  <c r="F2" i="36"/>
  <c r="L19" i="49" l="1"/>
  <c r="L24" i="49"/>
  <c r="G6" i="49" l="1"/>
  <c r="G4" i="49"/>
  <c r="G9" i="49" l="1"/>
  <c r="C9" i="49" l="1"/>
  <c r="C11" i="49"/>
  <c r="C7" i="49"/>
  <c r="C6" i="49"/>
  <c r="C5" i="49"/>
  <c r="C12" i="49" l="1"/>
  <c r="C14" i="49" s="1"/>
  <c r="AM118" i="6" l="1"/>
  <c r="AG118" i="6"/>
  <c r="AA118" i="6"/>
  <c r="S1343" i="32" l="1"/>
  <c r="S1344" i="32"/>
  <c r="E72" i="6" l="1"/>
  <c r="G72" i="6" s="1"/>
  <c r="E67" i="6"/>
  <c r="E71" i="6"/>
  <c r="G71" i="6" s="1"/>
  <c r="E70" i="6"/>
  <c r="G70" i="6" s="1"/>
  <c r="E68" i="6"/>
  <c r="E69" i="6"/>
  <c r="E62" i="6"/>
  <c r="G62" i="6" s="1"/>
  <c r="F16" i="6"/>
  <c r="E66" i="6" l="1"/>
  <c r="F67" i="6"/>
  <c r="L1393" i="32"/>
  <c r="M1393" i="32" s="1"/>
  <c r="G18" i="36"/>
  <c r="H18" i="36" s="1"/>
  <c r="G17" i="36"/>
  <c r="H17" i="36" s="1"/>
  <c r="G6" i="36"/>
  <c r="H6" i="36" s="1"/>
  <c r="G12" i="36"/>
  <c r="H12" i="36" s="1"/>
  <c r="G13" i="36"/>
  <c r="H13" i="36" s="1"/>
  <c r="G7" i="36"/>
  <c r="H7" i="36" s="1"/>
  <c r="AZ153" i="6"/>
  <c r="C146" i="6" l="1"/>
  <c r="I33" i="46" l="1"/>
  <c r="I25" i="46"/>
  <c r="I31" i="46"/>
  <c r="I30" i="46"/>
  <c r="H30" i="46"/>
  <c r="I29" i="46"/>
  <c r="H29" i="46"/>
  <c r="I28" i="46"/>
  <c r="H28" i="46"/>
  <c r="H27" i="46"/>
  <c r="I27" i="46"/>
  <c r="I35" i="46" l="1"/>
  <c r="I36" i="46" s="1"/>
  <c r="I38" i="46" s="1"/>
  <c r="AZ169" i="6"/>
  <c r="AZ162" i="6"/>
  <c r="AZ140" i="6"/>
  <c r="AZ121" i="6"/>
  <c r="AZ88" i="6"/>
  <c r="AZ65" i="6"/>
  <c r="AZ63" i="6"/>
  <c r="AT58" i="6"/>
  <c r="AW58" i="6" s="1"/>
  <c r="AN58" i="6"/>
  <c r="AQ58" i="6" s="1"/>
  <c r="AH58" i="6"/>
  <c r="AK58" i="6" s="1"/>
  <c r="AB58" i="6"/>
  <c r="AE58" i="6" s="1"/>
  <c r="V58" i="6"/>
  <c r="Y58" i="6" s="1"/>
  <c r="P58" i="6"/>
  <c r="S58" i="6" s="1"/>
  <c r="D58" i="6"/>
  <c r="G58" i="6" s="1"/>
  <c r="E17" i="6" l="1"/>
  <c r="AV33" i="6"/>
  <c r="AU33" i="6"/>
  <c r="AP33" i="6"/>
  <c r="AO33" i="6"/>
  <c r="AJ33" i="6"/>
  <c r="AI33" i="6"/>
  <c r="AD33" i="6"/>
  <c r="AC33" i="6"/>
  <c r="X33" i="6"/>
  <c r="W33" i="6"/>
  <c r="R33" i="6"/>
  <c r="Q33" i="6"/>
  <c r="AV151" i="6"/>
  <c r="AU151" i="6"/>
  <c r="AV150" i="6"/>
  <c r="AU150" i="6"/>
  <c r="AP151" i="6"/>
  <c r="AO151" i="6"/>
  <c r="AP150" i="6"/>
  <c r="AO150" i="6"/>
  <c r="AJ151" i="6"/>
  <c r="AI151" i="6"/>
  <c r="AJ150" i="6"/>
  <c r="AI150" i="6"/>
  <c r="AD151" i="6"/>
  <c r="AC151" i="6"/>
  <c r="AD150" i="6"/>
  <c r="AC150" i="6"/>
  <c r="X151" i="6"/>
  <c r="W151" i="6"/>
  <c r="X150" i="6"/>
  <c r="W150" i="6"/>
  <c r="R151" i="6"/>
  <c r="Q151" i="6"/>
  <c r="R150" i="6"/>
  <c r="Q150" i="6"/>
  <c r="L151" i="6"/>
  <c r="K151" i="6"/>
  <c r="L150" i="6"/>
  <c r="K150" i="6"/>
  <c r="L33" i="6"/>
  <c r="K33" i="6"/>
  <c r="AV163" i="6"/>
  <c r="AU163" i="6"/>
  <c r="AT163" i="6"/>
  <c r="AS163" i="6"/>
  <c r="AV157" i="6"/>
  <c r="AU157" i="6"/>
  <c r="AT157" i="6"/>
  <c r="AS157" i="6"/>
  <c r="AO163" i="6"/>
  <c r="AN163" i="6"/>
  <c r="AM163" i="6"/>
  <c r="AP157" i="6"/>
  <c r="AO157" i="6"/>
  <c r="AN157" i="6"/>
  <c r="AM157" i="6"/>
  <c r="AJ163" i="6"/>
  <c r="AI163" i="6"/>
  <c r="AH163" i="6"/>
  <c r="AG163" i="6"/>
  <c r="AJ157" i="6"/>
  <c r="AI157" i="6"/>
  <c r="AH157" i="6"/>
  <c r="AG157" i="6"/>
  <c r="AC163" i="6"/>
  <c r="AE163" i="6" s="1"/>
  <c r="AB163" i="6"/>
  <c r="AA163" i="6"/>
  <c r="AD157" i="6"/>
  <c r="AC157" i="6"/>
  <c r="AB157" i="6"/>
  <c r="AA157" i="6"/>
  <c r="X163" i="6"/>
  <c r="W163" i="6"/>
  <c r="Y163" i="6" s="1"/>
  <c r="V163" i="6"/>
  <c r="U163" i="6"/>
  <c r="X157" i="6"/>
  <c r="W157" i="6"/>
  <c r="V157" i="6"/>
  <c r="U157" i="6"/>
  <c r="R163" i="6"/>
  <c r="Q163" i="6"/>
  <c r="S163" i="6" s="1"/>
  <c r="P163" i="6"/>
  <c r="O163" i="6"/>
  <c r="R157" i="6"/>
  <c r="Q157" i="6"/>
  <c r="P157" i="6"/>
  <c r="O157" i="6"/>
  <c r="L163" i="6"/>
  <c r="K163" i="6"/>
  <c r="M163" i="6" s="1"/>
  <c r="J163" i="6"/>
  <c r="I163" i="6"/>
  <c r="L157" i="6"/>
  <c r="K157" i="6"/>
  <c r="J157" i="6"/>
  <c r="I157" i="6"/>
  <c r="F163" i="6"/>
  <c r="D163" i="6"/>
  <c r="C163" i="6"/>
  <c r="F157" i="6"/>
  <c r="E157" i="6"/>
  <c r="D157" i="6"/>
  <c r="I32" i="46"/>
  <c r="H12" i="46"/>
  <c r="H31" i="46" s="1"/>
  <c r="J139" i="6"/>
  <c r="AH139" i="6"/>
  <c r="F17" i="6"/>
  <c r="K16" i="6"/>
  <c r="Q16" i="6" s="1"/>
  <c r="W16" i="6" s="1"/>
  <c r="AC16" i="6" s="1"/>
  <c r="AI16" i="6" s="1"/>
  <c r="AO16" i="6" s="1"/>
  <c r="AU16" i="6" s="1"/>
  <c r="L16" i="6"/>
  <c r="D16" i="6"/>
  <c r="C16" i="6"/>
  <c r="AV139" i="6"/>
  <c r="AU139" i="6"/>
  <c r="AS139" i="6"/>
  <c r="AV56" i="6"/>
  <c r="AT56" i="6"/>
  <c r="AS56" i="6"/>
  <c r="AP139" i="6"/>
  <c r="AO139" i="6"/>
  <c r="AN139" i="6"/>
  <c r="AM139" i="6"/>
  <c r="AP56" i="6"/>
  <c r="AN56" i="6"/>
  <c r="AM56" i="6"/>
  <c r="AJ139" i="6"/>
  <c r="AI139" i="6"/>
  <c r="AG139" i="6"/>
  <c r="AJ56" i="6"/>
  <c r="AH56" i="6"/>
  <c r="AG56" i="6"/>
  <c r="AA139" i="6"/>
  <c r="AD56" i="6"/>
  <c r="AB56" i="6"/>
  <c r="AA56" i="6"/>
  <c r="X139" i="6"/>
  <c r="W139" i="6"/>
  <c r="V139" i="6"/>
  <c r="U139" i="6"/>
  <c r="X56" i="6"/>
  <c r="V56" i="6"/>
  <c r="U56" i="6"/>
  <c r="R139" i="6"/>
  <c r="Q139" i="6"/>
  <c r="P139" i="6"/>
  <c r="O139" i="6"/>
  <c r="R56" i="6"/>
  <c r="P56" i="6"/>
  <c r="O56" i="6"/>
  <c r="L139" i="6"/>
  <c r="K139" i="6"/>
  <c r="I139" i="6"/>
  <c r="L56" i="6"/>
  <c r="J56" i="6"/>
  <c r="I56" i="6"/>
  <c r="D146" i="6"/>
  <c r="F139" i="6"/>
  <c r="E139" i="6"/>
  <c r="R16" i="6" l="1"/>
  <c r="F69" i="6"/>
  <c r="G69" i="6" s="1"/>
  <c r="F68" i="6"/>
  <c r="C67" i="6"/>
  <c r="C68" i="6"/>
  <c r="H71" i="6"/>
  <c r="H72" i="6"/>
  <c r="J16" i="6"/>
  <c r="D68" i="6"/>
  <c r="D67" i="6"/>
  <c r="H49" i="34"/>
  <c r="I49" i="34" s="1"/>
  <c r="H48" i="34"/>
  <c r="I48" i="34" s="1"/>
  <c r="L1416" i="32"/>
  <c r="M1416" i="32" s="1"/>
  <c r="L1411" i="32"/>
  <c r="M1411" i="32" s="1"/>
  <c r="L1417" i="32"/>
  <c r="M1417" i="32" s="1"/>
  <c r="L1418" i="32"/>
  <c r="M1418" i="32" s="1"/>
  <c r="L1419" i="32"/>
  <c r="M1419" i="32" s="1"/>
  <c r="L1413" i="32"/>
  <c r="M1413" i="32" s="1"/>
  <c r="L1421" i="32"/>
  <c r="M1421" i="32" s="1"/>
  <c r="L1414" i="32"/>
  <c r="M1414" i="32" s="1"/>
  <c r="L1422" i="32"/>
  <c r="M1422" i="32" s="1"/>
  <c r="L1415" i="32"/>
  <c r="M1415" i="32" s="1"/>
  <c r="L1412" i="32"/>
  <c r="M1412" i="32" s="1"/>
  <c r="L1420" i="32"/>
  <c r="M1420" i="32" s="1"/>
  <c r="H41" i="34"/>
  <c r="I41" i="34" s="1"/>
  <c r="H34" i="34"/>
  <c r="I34" i="34" s="1"/>
  <c r="H24" i="34"/>
  <c r="I24" i="34" s="1"/>
  <c r="H20" i="34"/>
  <c r="I20" i="34" s="1"/>
  <c r="H10" i="34"/>
  <c r="I10" i="34" s="1"/>
  <c r="H33" i="34"/>
  <c r="I33" i="34" s="1"/>
  <c r="H35" i="34"/>
  <c r="I35" i="34" s="1"/>
  <c r="H11" i="34"/>
  <c r="I11" i="34" s="1"/>
  <c r="H37" i="34"/>
  <c r="I37" i="34" s="1"/>
  <c r="H13" i="34"/>
  <c r="I13" i="34" s="1"/>
  <c r="H9" i="34"/>
  <c r="I9" i="34" s="1"/>
  <c r="H42" i="34"/>
  <c r="I42" i="34" s="1"/>
  <c r="H21" i="34"/>
  <c r="I21" i="34" s="1"/>
  <c r="H23" i="34"/>
  <c r="I23" i="34" s="1"/>
  <c r="H25" i="34"/>
  <c r="I25" i="34" s="1"/>
  <c r="H43" i="34"/>
  <c r="I43" i="34" s="1"/>
  <c r="H36" i="34"/>
  <c r="I36" i="34" s="1"/>
  <c r="H32" i="34"/>
  <c r="I32" i="34" s="1"/>
  <c r="H22" i="34"/>
  <c r="I22" i="34" s="1"/>
  <c r="H12" i="34"/>
  <c r="I12" i="34" s="1"/>
  <c r="H8" i="34"/>
  <c r="I8" i="34" s="1"/>
  <c r="H29" i="34"/>
  <c r="I29" i="34" s="1"/>
  <c r="H39" i="34"/>
  <c r="I39" i="34" s="1"/>
  <c r="H30" i="34"/>
  <c r="I30" i="34" s="1"/>
  <c r="H46" i="34"/>
  <c r="I46" i="34" s="1"/>
  <c r="H45" i="34"/>
  <c r="I45" i="34" s="1"/>
  <c r="H47" i="34"/>
  <c r="I47" i="34" s="1"/>
  <c r="H31" i="34"/>
  <c r="I31" i="34" s="1"/>
  <c r="H38" i="34"/>
  <c r="I38" i="34" s="1"/>
  <c r="H40" i="34"/>
  <c r="I40" i="34" s="1"/>
  <c r="L1407" i="32"/>
  <c r="M1407" i="32" s="1"/>
  <c r="L1406" i="32"/>
  <c r="M1406" i="32" s="1"/>
  <c r="L1404" i="32"/>
  <c r="M1404" i="32" s="1"/>
  <c r="L1403" i="32"/>
  <c r="M1403" i="32" s="1"/>
  <c r="L1405" i="32"/>
  <c r="M1405" i="32" s="1"/>
  <c r="L1395" i="32"/>
  <c r="M1395" i="32" s="1"/>
  <c r="L1396" i="32"/>
  <c r="M1396" i="32" s="1"/>
  <c r="H50" i="34"/>
  <c r="I50" i="34" s="1"/>
  <c r="H27" i="34"/>
  <c r="I27" i="34" s="1"/>
  <c r="H28" i="34"/>
  <c r="I28" i="34" s="1"/>
  <c r="L1409" i="32"/>
  <c r="M1409" i="32" s="1"/>
  <c r="L1410" i="32"/>
  <c r="M1410" i="32" s="1"/>
  <c r="G27" i="36"/>
  <c r="H27" i="36" s="1"/>
  <c r="G20" i="36"/>
  <c r="H20" i="36" s="1"/>
  <c r="G11" i="36"/>
  <c r="H11" i="36" s="1"/>
  <c r="G21" i="36"/>
  <c r="H21" i="36" s="1"/>
  <c r="G22" i="36"/>
  <c r="H22" i="36" s="1"/>
  <c r="G23" i="36"/>
  <c r="H23" i="36" s="1"/>
  <c r="G14" i="36"/>
  <c r="H14" i="36" s="1"/>
  <c r="G24" i="36"/>
  <c r="H24" i="36" s="1"/>
  <c r="G15" i="36"/>
  <c r="H15" i="36" s="1"/>
  <c r="G25" i="36"/>
  <c r="H25" i="36" s="1"/>
  <c r="G8" i="36"/>
  <c r="H8" i="36" s="1"/>
  <c r="G16" i="36"/>
  <c r="H16" i="36" s="1"/>
  <c r="G26" i="36"/>
  <c r="H26" i="36" s="1"/>
  <c r="G9" i="36"/>
  <c r="H9" i="36" s="1"/>
  <c r="G19" i="36"/>
  <c r="H19" i="36" s="1"/>
  <c r="G10" i="36"/>
  <c r="H10" i="36" s="1"/>
  <c r="G28" i="36"/>
  <c r="H28" i="36" s="1"/>
  <c r="G5" i="36"/>
  <c r="H5" i="36" s="1"/>
  <c r="G3" i="36"/>
  <c r="H3" i="36" s="1"/>
  <c r="G4" i="36"/>
  <c r="H4" i="36" s="1"/>
  <c r="H19" i="34"/>
  <c r="I19" i="34" s="1"/>
  <c r="H26" i="34"/>
  <c r="I26" i="34" s="1"/>
  <c r="L1402" i="32"/>
  <c r="M1402" i="32" s="1"/>
  <c r="L1408" i="32"/>
  <c r="M1408" i="32" s="1"/>
  <c r="H53" i="34"/>
  <c r="I53" i="34" s="1"/>
  <c r="H52" i="34"/>
  <c r="I52" i="34" s="1"/>
  <c r="H44" i="34"/>
  <c r="I44" i="34" s="1"/>
  <c r="L1399" i="32"/>
  <c r="M1399" i="32" s="1"/>
  <c r="H17" i="34"/>
  <c r="I17" i="34" s="1"/>
  <c r="H18" i="34"/>
  <c r="I18" i="34" s="1"/>
  <c r="H6" i="34"/>
  <c r="I6" i="34" s="1"/>
  <c r="H7" i="34"/>
  <c r="I7" i="34" s="1"/>
  <c r="H15" i="34"/>
  <c r="I15" i="34" s="1"/>
  <c r="H51" i="34"/>
  <c r="I51" i="34" s="1"/>
  <c r="H14" i="34"/>
  <c r="I14" i="34" s="1"/>
  <c r="H5" i="34"/>
  <c r="I5" i="34" s="1"/>
  <c r="H16" i="34"/>
  <c r="I16" i="34" s="1"/>
  <c r="L1398" i="32"/>
  <c r="M1398" i="32" s="1"/>
  <c r="L1401" i="32"/>
  <c r="M1401" i="32" s="1"/>
  <c r="L1400" i="32"/>
  <c r="M1400" i="32" s="1"/>
  <c r="H2" i="34"/>
  <c r="I2" i="34" s="1"/>
  <c r="L1397" i="32"/>
  <c r="M1397" i="32" s="1"/>
  <c r="H4" i="34"/>
  <c r="I4" i="34" s="1"/>
  <c r="H3" i="34"/>
  <c r="I3" i="34" s="1"/>
  <c r="L1394" i="32"/>
  <c r="M1394" i="32" s="1"/>
  <c r="L1390" i="32"/>
  <c r="M1390" i="32" s="1"/>
  <c r="L1392" i="32"/>
  <c r="M1392" i="32" s="1"/>
  <c r="L1388" i="32"/>
  <c r="M1388" i="32" s="1"/>
  <c r="L1389" i="32"/>
  <c r="M1389" i="32" s="1"/>
  <c r="L1386" i="32"/>
  <c r="M1386" i="32" s="1"/>
  <c r="L1391" i="32"/>
  <c r="M1391" i="32" s="1"/>
  <c r="L1387" i="32"/>
  <c r="M1387" i="32" s="1"/>
  <c r="N137" i="6"/>
  <c r="AR113" i="6"/>
  <c r="Z114" i="6"/>
  <c r="N115" i="6"/>
  <c r="AR115" i="6"/>
  <c r="Z113" i="6"/>
  <c r="AR116" i="6"/>
  <c r="AX114" i="6"/>
  <c r="T116" i="6"/>
  <c r="N113" i="6"/>
  <c r="N114" i="6"/>
  <c r="T115" i="6"/>
  <c r="Z116" i="6"/>
  <c r="AL114" i="6"/>
  <c r="T114" i="6"/>
  <c r="Z115" i="6"/>
  <c r="AF116" i="6"/>
  <c r="AX115" i="6"/>
  <c r="AF114" i="6"/>
  <c r="AF115" i="6"/>
  <c r="AL113" i="6"/>
  <c r="AX116" i="6"/>
  <c r="AF113" i="6"/>
  <c r="AL116" i="6"/>
  <c r="AR114" i="6"/>
  <c r="AX113" i="6"/>
  <c r="H115" i="6"/>
  <c r="H113" i="6"/>
  <c r="N116" i="6"/>
  <c r="AF157" i="6"/>
  <c r="N163" i="6"/>
  <c r="N157" i="6"/>
  <c r="AF165" i="6"/>
  <c r="AX165" i="6"/>
  <c r="Z165" i="6"/>
  <c r="AR165" i="6"/>
  <c r="T165" i="6"/>
  <c r="AL165" i="6"/>
  <c r="N165" i="6"/>
  <c r="N168" i="6"/>
  <c r="N58" i="6"/>
  <c r="N167" i="6"/>
  <c r="N145" i="6"/>
  <c r="N166" i="6"/>
  <c r="N138" i="6"/>
  <c r="N160" i="6"/>
  <c r="N61" i="6"/>
  <c r="N159" i="6"/>
  <c r="N164" i="6"/>
  <c r="N60" i="6"/>
  <c r="N158" i="6"/>
  <c r="N59" i="6"/>
  <c r="N161" i="6"/>
  <c r="N136" i="6"/>
  <c r="G2" i="36"/>
  <c r="H2" i="36" s="1"/>
  <c r="Z157" i="6"/>
  <c r="AL163" i="6"/>
  <c r="T157" i="6"/>
  <c r="AX157" i="6"/>
  <c r="AR160" i="6"/>
  <c r="AR59" i="6"/>
  <c r="AL159" i="6"/>
  <c r="T167" i="6"/>
  <c r="T138" i="6"/>
  <c r="Z59" i="6"/>
  <c r="AX135" i="6"/>
  <c r="AR159" i="6"/>
  <c r="AL158" i="6"/>
  <c r="AF167" i="6"/>
  <c r="Z161" i="6"/>
  <c r="T166" i="6"/>
  <c r="T137" i="6"/>
  <c r="T61" i="6"/>
  <c r="AX161" i="6"/>
  <c r="AF166" i="6"/>
  <c r="AF145" i="6"/>
  <c r="AF61" i="6"/>
  <c r="Z160" i="6"/>
  <c r="T164" i="6"/>
  <c r="T136" i="6"/>
  <c r="T60" i="6"/>
  <c r="T145" i="6"/>
  <c r="AX160" i="6"/>
  <c r="AR168" i="6"/>
  <c r="AR158" i="6"/>
  <c r="AL168" i="6"/>
  <c r="AF137" i="6"/>
  <c r="Z159" i="6"/>
  <c r="T59" i="6"/>
  <c r="Z137" i="6"/>
  <c r="AF168" i="6"/>
  <c r="AX159" i="6"/>
  <c r="AL145" i="6"/>
  <c r="AF164" i="6"/>
  <c r="AF135" i="6"/>
  <c r="AF60" i="6"/>
  <c r="Z158" i="6"/>
  <c r="AF161" i="6"/>
  <c r="AF158" i="6"/>
  <c r="Z164" i="6"/>
  <c r="AX158" i="6"/>
  <c r="AR167" i="6"/>
  <c r="AL167" i="6"/>
  <c r="AL138" i="6"/>
  <c r="AL61" i="6"/>
  <c r="AF59" i="6"/>
  <c r="Z61" i="6"/>
  <c r="T161" i="6"/>
  <c r="AR166" i="6"/>
  <c r="AR145" i="6"/>
  <c r="AL166" i="6"/>
  <c r="AL137" i="6"/>
  <c r="AL60" i="6"/>
  <c r="Z145" i="6"/>
  <c r="Z60" i="6"/>
  <c r="T160" i="6"/>
  <c r="T159" i="6"/>
  <c r="AR161" i="6"/>
  <c r="AX168" i="6"/>
  <c r="AR164" i="6"/>
  <c r="AR138" i="6"/>
  <c r="AL164" i="6"/>
  <c r="AL59" i="6"/>
  <c r="AX164" i="6"/>
  <c r="AX145" i="6"/>
  <c r="AR137" i="6"/>
  <c r="AF160" i="6"/>
  <c r="Z168" i="6"/>
  <c r="Z136" i="6"/>
  <c r="T158" i="6"/>
  <c r="AX59" i="6"/>
  <c r="AX167" i="6"/>
  <c r="AX137" i="6"/>
  <c r="AX61" i="6"/>
  <c r="AR136" i="6"/>
  <c r="AR61" i="6"/>
  <c r="Z167" i="6"/>
  <c r="Z135" i="6"/>
  <c r="AX166" i="6"/>
  <c r="AX136" i="6"/>
  <c r="AX60" i="6"/>
  <c r="AR60" i="6"/>
  <c r="AL161" i="6"/>
  <c r="AF159" i="6"/>
  <c r="Z166" i="6"/>
  <c r="T168" i="6"/>
  <c r="AL160" i="6"/>
  <c r="AL136" i="6"/>
  <c r="AF136" i="6"/>
  <c r="AR58" i="6"/>
  <c r="Z58" i="6"/>
  <c r="AL58" i="6"/>
  <c r="AF58" i="6"/>
  <c r="T58" i="6"/>
  <c r="AX58" i="6"/>
  <c r="Z163" i="6"/>
  <c r="AR157" i="6"/>
  <c r="T163" i="6"/>
  <c r="AL157" i="6"/>
  <c r="AX163" i="6"/>
  <c r="Z138" i="6"/>
  <c r="D139" i="6"/>
  <c r="AX138" i="6"/>
  <c r="AT139" i="6"/>
  <c r="AA170" i="6"/>
  <c r="AN170" i="6"/>
  <c r="I170" i="6"/>
  <c r="AS170" i="6"/>
  <c r="AU170" i="6"/>
  <c r="AJ170" i="6"/>
  <c r="L170" i="6"/>
  <c r="X170" i="6"/>
  <c r="AT170" i="6"/>
  <c r="AB170" i="6"/>
  <c r="AH170" i="6"/>
  <c r="AI170" i="6"/>
  <c r="AV170" i="6"/>
  <c r="R170" i="6"/>
  <c r="K170" i="6"/>
  <c r="M170" i="6" s="1"/>
  <c r="Q170" i="6"/>
  <c r="S170" i="6" s="1"/>
  <c r="J170" i="6"/>
  <c r="U170" i="6"/>
  <c r="O170" i="6"/>
  <c r="AO170" i="6"/>
  <c r="P170" i="6"/>
  <c r="AC170" i="6"/>
  <c r="AE170" i="6" s="1"/>
  <c r="AG170" i="6"/>
  <c r="D170" i="6"/>
  <c r="H146" i="6"/>
  <c r="H145" i="6"/>
  <c r="V170" i="6"/>
  <c r="W170" i="6"/>
  <c r="Y170" i="6" s="1"/>
  <c r="AM170" i="6"/>
  <c r="F170" i="6"/>
  <c r="H136" i="6"/>
  <c r="I16" i="6"/>
  <c r="G68" i="6" l="1"/>
  <c r="H68" i="6" s="1"/>
  <c r="G67" i="6"/>
  <c r="H67" i="6" s="1"/>
  <c r="H69" i="6"/>
  <c r="P16" i="6"/>
  <c r="X16" i="6"/>
  <c r="H86" i="6"/>
  <c r="AZ115" i="6"/>
  <c r="AL115" i="6"/>
  <c r="H112" i="6"/>
  <c r="Z112" i="6"/>
  <c r="AX112" i="6"/>
  <c r="N112" i="6"/>
  <c r="AZ113" i="6"/>
  <c r="T113" i="6"/>
  <c r="T112" i="6"/>
  <c r="AL112" i="6"/>
  <c r="H114" i="6"/>
  <c r="AZ114" i="6"/>
  <c r="H116" i="6"/>
  <c r="AZ116" i="6"/>
  <c r="AF112" i="6"/>
  <c r="N170" i="6"/>
  <c r="M139" i="6"/>
  <c r="AZ165" i="6"/>
  <c r="H165" i="6"/>
  <c r="M74" i="6"/>
  <c r="N74" i="6" s="1"/>
  <c r="M73" i="6"/>
  <c r="N73" i="6" s="1"/>
  <c r="Z170" i="6"/>
  <c r="AX139" i="6"/>
  <c r="T170" i="6"/>
  <c r="Z139" i="6"/>
  <c r="S139" i="6"/>
  <c r="T135" i="6"/>
  <c r="T139" i="6" s="1"/>
  <c r="AR135" i="6"/>
  <c r="AR139" i="6" s="1"/>
  <c r="AQ139" i="6"/>
  <c r="AL135" i="6"/>
  <c r="AL139" i="6" s="1"/>
  <c r="AK139" i="6"/>
  <c r="AL170" i="6"/>
  <c r="AX170" i="6"/>
  <c r="N135" i="6"/>
  <c r="N139" i="6" s="1"/>
  <c r="Y139" i="6"/>
  <c r="AW139" i="6"/>
  <c r="AF138" i="6"/>
  <c r="AF139" i="6" s="1"/>
  <c r="AE139" i="6"/>
  <c r="H138" i="6"/>
  <c r="AZ138" i="6"/>
  <c r="H135" i="6"/>
  <c r="H166" i="6"/>
  <c r="AZ166" i="6"/>
  <c r="H168" i="6"/>
  <c r="H161" i="6"/>
  <c r="AZ161" i="6"/>
  <c r="H160" i="6"/>
  <c r="AZ160" i="6"/>
  <c r="H158" i="6"/>
  <c r="AZ158" i="6"/>
  <c r="H137" i="6"/>
  <c r="AZ137" i="6"/>
  <c r="H159" i="6"/>
  <c r="AZ159" i="6"/>
  <c r="AZ136" i="6"/>
  <c r="O16" i="6"/>
  <c r="AD16" i="6" l="1"/>
  <c r="V16" i="6"/>
  <c r="S73" i="6"/>
  <c r="T73" i="6" s="1"/>
  <c r="S74" i="6"/>
  <c r="T74" i="6" s="1"/>
  <c r="U16" i="6"/>
  <c r="AB16" i="6" l="1"/>
  <c r="AJ16" i="6"/>
  <c r="Y74" i="6"/>
  <c r="Z74" i="6" s="1"/>
  <c r="Y73" i="6"/>
  <c r="Z73" i="6" s="1"/>
  <c r="AA16" i="6"/>
  <c r="AH16" i="6" l="1"/>
  <c r="AP16" i="6"/>
  <c r="AE74" i="6"/>
  <c r="AF74" i="6" s="1"/>
  <c r="AE73" i="6"/>
  <c r="AF73" i="6" s="1"/>
  <c r="AG16" i="6"/>
  <c r="AV16" i="6" l="1"/>
  <c r="AN16" i="6"/>
  <c r="AK74" i="6"/>
  <c r="AL74" i="6" s="1"/>
  <c r="AK73" i="6"/>
  <c r="AL73" i="6" s="1"/>
  <c r="AM16" i="6"/>
  <c r="AT16" i="6" l="1"/>
  <c r="AQ74" i="6"/>
  <c r="AR74" i="6" s="1"/>
  <c r="AQ73" i="6"/>
  <c r="AR73" i="6" s="1"/>
  <c r="AS16" i="6"/>
  <c r="AW74" i="6" l="1"/>
  <c r="AX74" i="6" s="1"/>
  <c r="AW73" i="6"/>
  <c r="AX73" i="6" s="1"/>
  <c r="F150" i="6"/>
  <c r="E150" i="6"/>
  <c r="AZ61" i="6"/>
  <c r="F56" i="6"/>
  <c r="D56" i="6"/>
  <c r="C56" i="6"/>
  <c r="S1" i="44"/>
  <c r="N342" i="44" l="1"/>
  <c r="P342" i="44" s="1"/>
  <c r="N338" i="44"/>
  <c r="P338" i="44" s="1"/>
  <c r="N334" i="44"/>
  <c r="P334" i="44" s="1"/>
  <c r="N330" i="44"/>
  <c r="P330" i="44" s="1"/>
  <c r="N326" i="44"/>
  <c r="P326" i="44" s="1"/>
  <c r="N322" i="44"/>
  <c r="P322" i="44" s="1"/>
  <c r="N318" i="44"/>
  <c r="P318" i="44" s="1"/>
  <c r="N314" i="44"/>
  <c r="P314" i="44" s="1"/>
  <c r="N310" i="44"/>
  <c r="P310" i="44" s="1"/>
  <c r="N306" i="44"/>
  <c r="P306" i="44" s="1"/>
  <c r="N302" i="44"/>
  <c r="P302" i="44" s="1"/>
  <c r="N298" i="44"/>
  <c r="P298" i="44" s="1"/>
  <c r="N294" i="44"/>
  <c r="P294" i="44" s="1"/>
  <c r="N291" i="44"/>
  <c r="P291" i="44" s="1"/>
  <c r="N287" i="44"/>
  <c r="P287" i="44" s="1"/>
  <c r="N283" i="44"/>
  <c r="P283" i="44" s="1"/>
  <c r="N279" i="44"/>
  <c r="P279" i="44" s="1"/>
  <c r="N274" i="44"/>
  <c r="P274" i="44" s="1"/>
  <c r="N343" i="44"/>
  <c r="P343" i="44" s="1"/>
  <c r="N339" i="44"/>
  <c r="P339" i="44" s="1"/>
  <c r="N335" i="44"/>
  <c r="P335" i="44" s="1"/>
  <c r="N331" i="44"/>
  <c r="P331" i="44" s="1"/>
  <c r="N327" i="44"/>
  <c r="P327" i="44" s="1"/>
  <c r="N323" i="44"/>
  <c r="P323" i="44" s="1"/>
  <c r="N319" i="44"/>
  <c r="P319" i="44" s="1"/>
  <c r="N315" i="44"/>
  <c r="P315" i="44" s="1"/>
  <c r="N311" i="44"/>
  <c r="P311" i="44" s="1"/>
  <c r="N307" i="44"/>
  <c r="P307" i="44" s="1"/>
  <c r="N303" i="44"/>
  <c r="P303" i="44" s="1"/>
  <c r="N299" i="44"/>
  <c r="P299" i="44" s="1"/>
  <c r="N295" i="44"/>
  <c r="P295" i="44" s="1"/>
  <c r="N288" i="44"/>
  <c r="P288" i="44" s="1"/>
  <c r="N284" i="44"/>
  <c r="P284" i="44" s="1"/>
  <c r="N280" i="44"/>
  <c r="P280" i="44" s="1"/>
  <c r="N276" i="44"/>
  <c r="P276" i="44" s="1"/>
  <c r="N275" i="44"/>
  <c r="P275" i="44" s="1"/>
  <c r="N271" i="44"/>
  <c r="P271" i="44" s="1"/>
  <c r="N340" i="44"/>
  <c r="P340" i="44" s="1"/>
  <c r="N336" i="44"/>
  <c r="P336" i="44" s="1"/>
  <c r="N332" i="44"/>
  <c r="P332" i="44" s="1"/>
  <c r="N328" i="44"/>
  <c r="P328" i="44" s="1"/>
  <c r="N324" i="44"/>
  <c r="P324" i="44" s="1"/>
  <c r="N320" i="44"/>
  <c r="P320" i="44" s="1"/>
  <c r="N316" i="44"/>
  <c r="P316" i="44" s="1"/>
  <c r="N312" i="44"/>
  <c r="P312" i="44" s="1"/>
  <c r="N308" i="44"/>
  <c r="P308" i="44" s="1"/>
  <c r="N304" i="44"/>
  <c r="P304" i="44" s="1"/>
  <c r="N300" i="44"/>
  <c r="P300" i="44" s="1"/>
  <c r="N296" i="44"/>
  <c r="P296" i="44" s="1"/>
  <c r="N292" i="44"/>
  <c r="P292" i="44" s="1"/>
  <c r="N289" i="44"/>
  <c r="P289" i="44" s="1"/>
  <c r="N285" i="44"/>
  <c r="P285" i="44" s="1"/>
  <c r="N281" i="44"/>
  <c r="P281" i="44" s="1"/>
  <c r="N277" i="44"/>
  <c r="P277" i="44" s="1"/>
  <c r="N272" i="44"/>
  <c r="P272" i="44" s="1"/>
  <c r="N341" i="44"/>
  <c r="P341" i="44" s="1"/>
  <c r="N337" i="44"/>
  <c r="P337" i="44" s="1"/>
  <c r="N333" i="44"/>
  <c r="P333" i="44" s="1"/>
  <c r="N329" i="44"/>
  <c r="P329" i="44" s="1"/>
  <c r="N325" i="44"/>
  <c r="P325" i="44" s="1"/>
  <c r="N321" i="44"/>
  <c r="P321" i="44" s="1"/>
  <c r="N317" i="44"/>
  <c r="P317" i="44" s="1"/>
  <c r="N313" i="44"/>
  <c r="P313" i="44" s="1"/>
  <c r="N309" i="44"/>
  <c r="P309" i="44" s="1"/>
  <c r="N305" i="44"/>
  <c r="P305" i="44" s="1"/>
  <c r="N301" i="44"/>
  <c r="P301" i="44" s="1"/>
  <c r="N297" i="44"/>
  <c r="P297" i="44" s="1"/>
  <c r="N293" i="44"/>
  <c r="P293" i="44" s="1"/>
  <c r="N290" i="44"/>
  <c r="P290" i="44" s="1"/>
  <c r="N286" i="44"/>
  <c r="P286" i="44" s="1"/>
  <c r="N282" i="44"/>
  <c r="P282" i="44" s="1"/>
  <c r="N278" i="44"/>
  <c r="P278" i="44" s="1"/>
  <c r="N273" i="44"/>
  <c r="P273" i="44" s="1"/>
  <c r="N160" i="44"/>
  <c r="P160" i="44" s="1"/>
  <c r="N156" i="44"/>
  <c r="P156" i="44" s="1"/>
  <c r="N152" i="44"/>
  <c r="P152" i="44" s="1"/>
  <c r="N148" i="44"/>
  <c r="P148" i="44" s="1"/>
  <c r="N144" i="44"/>
  <c r="P144" i="44" s="1"/>
  <c r="N140" i="44"/>
  <c r="P140" i="44" s="1"/>
  <c r="N136" i="44"/>
  <c r="P136" i="44" s="1"/>
  <c r="N132" i="44"/>
  <c r="P132" i="44" s="1"/>
  <c r="N128" i="44"/>
  <c r="P128" i="44" s="1"/>
  <c r="N124" i="44"/>
  <c r="P124" i="44" s="1"/>
  <c r="N120" i="44"/>
  <c r="P120" i="44" s="1"/>
  <c r="N116" i="44"/>
  <c r="P116" i="44" s="1"/>
  <c r="N112" i="44"/>
  <c r="P112" i="44" s="1"/>
  <c r="N108" i="44"/>
  <c r="P108" i="44" s="1"/>
  <c r="N104" i="44"/>
  <c r="P104" i="44" s="1"/>
  <c r="N100" i="44"/>
  <c r="P100" i="44" s="1"/>
  <c r="N161" i="44"/>
  <c r="P161" i="44" s="1"/>
  <c r="N157" i="44"/>
  <c r="P157" i="44" s="1"/>
  <c r="N153" i="44"/>
  <c r="P153" i="44" s="1"/>
  <c r="N149" i="44"/>
  <c r="P149" i="44" s="1"/>
  <c r="N145" i="44"/>
  <c r="P145" i="44" s="1"/>
  <c r="N141" i="44"/>
  <c r="P141" i="44" s="1"/>
  <c r="N137" i="44"/>
  <c r="P137" i="44" s="1"/>
  <c r="N133" i="44"/>
  <c r="P133" i="44" s="1"/>
  <c r="N129" i="44"/>
  <c r="P129" i="44" s="1"/>
  <c r="N125" i="44"/>
  <c r="P125" i="44" s="1"/>
  <c r="N121" i="44"/>
  <c r="P121" i="44" s="1"/>
  <c r="N117" i="44"/>
  <c r="P117" i="44" s="1"/>
  <c r="N113" i="44"/>
  <c r="P113" i="44" s="1"/>
  <c r="N109" i="44"/>
  <c r="P109" i="44" s="1"/>
  <c r="N105" i="44"/>
  <c r="P105" i="44" s="1"/>
  <c r="N101" i="44"/>
  <c r="P101" i="44" s="1"/>
  <c r="N158" i="44"/>
  <c r="P158" i="44" s="1"/>
  <c r="N154" i="44"/>
  <c r="P154" i="44" s="1"/>
  <c r="N150" i="44"/>
  <c r="P150" i="44" s="1"/>
  <c r="N146" i="44"/>
  <c r="P146" i="44" s="1"/>
  <c r="N142" i="44"/>
  <c r="P142" i="44" s="1"/>
  <c r="N138" i="44"/>
  <c r="P138" i="44" s="1"/>
  <c r="N134" i="44"/>
  <c r="P134" i="44" s="1"/>
  <c r="N130" i="44"/>
  <c r="P130" i="44" s="1"/>
  <c r="N126" i="44"/>
  <c r="P126" i="44" s="1"/>
  <c r="N122" i="44"/>
  <c r="P122" i="44" s="1"/>
  <c r="N118" i="44"/>
  <c r="P118" i="44" s="1"/>
  <c r="N114" i="44"/>
  <c r="P114" i="44" s="1"/>
  <c r="N110" i="44"/>
  <c r="P110" i="44" s="1"/>
  <c r="N106" i="44"/>
  <c r="P106" i="44" s="1"/>
  <c r="N102" i="44"/>
  <c r="P102" i="44" s="1"/>
  <c r="N155" i="44"/>
  <c r="P155" i="44" s="1"/>
  <c r="N147" i="44"/>
  <c r="P147" i="44" s="1"/>
  <c r="N139" i="44"/>
  <c r="P139" i="44" s="1"/>
  <c r="N135" i="44"/>
  <c r="P135" i="44" s="1"/>
  <c r="N131" i="44"/>
  <c r="P131" i="44" s="1"/>
  <c r="N127" i="44"/>
  <c r="P127" i="44" s="1"/>
  <c r="N115" i="44"/>
  <c r="P115" i="44" s="1"/>
  <c r="N111" i="44"/>
  <c r="P111" i="44" s="1"/>
  <c r="N107" i="44"/>
  <c r="P107" i="44" s="1"/>
  <c r="N103" i="44"/>
  <c r="P103" i="44" s="1"/>
  <c r="N159" i="44"/>
  <c r="P159" i="44" s="1"/>
  <c r="N151" i="44"/>
  <c r="P151" i="44" s="1"/>
  <c r="N143" i="44"/>
  <c r="P143" i="44" s="1"/>
  <c r="N123" i="44"/>
  <c r="P123" i="44" s="1"/>
  <c r="N119" i="44"/>
  <c r="P119" i="44" s="1"/>
  <c r="N99" i="44"/>
  <c r="P99" i="44" s="1"/>
  <c r="N198" i="44"/>
  <c r="P198" i="44" s="1"/>
  <c r="N247" i="44"/>
  <c r="P247" i="44" s="1"/>
  <c r="N251" i="44"/>
  <c r="P251" i="44" s="1"/>
  <c r="N255" i="44"/>
  <c r="P255" i="44" s="1"/>
  <c r="N257" i="44"/>
  <c r="P257" i="44" s="1"/>
  <c r="N204" i="44"/>
  <c r="P204" i="44" s="1"/>
  <c r="N217" i="44"/>
  <c r="P217" i="44" s="1"/>
  <c r="N218" i="44"/>
  <c r="P218" i="44" s="1"/>
  <c r="N233" i="44"/>
  <c r="P233" i="44" s="1"/>
  <c r="N228" i="44"/>
  <c r="P228" i="44" s="1"/>
  <c r="N65" i="44"/>
  <c r="P65" i="44" s="1"/>
  <c r="N58" i="44"/>
  <c r="P58" i="44" s="1"/>
  <c r="N67" i="44"/>
  <c r="P67" i="44" s="1"/>
  <c r="N81" i="44"/>
  <c r="P81" i="44" s="1"/>
  <c r="N41" i="44"/>
  <c r="P41" i="44" s="1"/>
  <c r="N44" i="44"/>
  <c r="P44" i="44" s="1"/>
  <c r="N200" i="44"/>
  <c r="P200" i="44" s="1"/>
  <c r="N240" i="44"/>
  <c r="P240" i="44" s="1"/>
  <c r="N252" i="44"/>
  <c r="P252" i="44" s="1"/>
  <c r="N262" i="44"/>
  <c r="P262" i="44" s="1"/>
  <c r="N206" i="44"/>
  <c r="P206" i="44" s="1"/>
  <c r="N213" i="44"/>
  <c r="P213" i="44" s="1"/>
  <c r="N237" i="44"/>
  <c r="P237" i="44" s="1"/>
  <c r="N236" i="44"/>
  <c r="P236" i="44" s="1"/>
  <c r="N88" i="44"/>
  <c r="P88" i="44" s="1"/>
  <c r="N93" i="44"/>
  <c r="P93" i="44" s="1"/>
  <c r="N54" i="44"/>
  <c r="P54" i="44" s="1"/>
  <c r="N70" i="44"/>
  <c r="P70" i="44" s="1"/>
  <c r="N38" i="44"/>
  <c r="P38" i="44" s="1"/>
  <c r="N37" i="44"/>
  <c r="P37" i="44" s="1"/>
  <c r="N83" i="44"/>
  <c r="P83" i="44" s="1"/>
  <c r="N224" i="44"/>
  <c r="P224" i="44" s="1"/>
  <c r="N97" i="44"/>
  <c r="P97" i="44" s="1"/>
  <c r="N181" i="44"/>
  <c r="P181" i="44" s="1"/>
  <c r="N182" i="44"/>
  <c r="P182" i="44" s="1"/>
  <c r="N185" i="44"/>
  <c r="P185" i="44" s="1"/>
  <c r="N171" i="44"/>
  <c r="P171" i="44" s="1"/>
  <c r="N164" i="44"/>
  <c r="P164" i="44" s="1"/>
  <c r="N183" i="44"/>
  <c r="P183" i="44" s="1"/>
  <c r="N94" i="44"/>
  <c r="P94" i="44" s="1"/>
  <c r="N188" i="44"/>
  <c r="P188" i="44" s="1"/>
  <c r="N242" i="44"/>
  <c r="P242" i="44" s="1"/>
  <c r="N244" i="44"/>
  <c r="P244" i="44" s="1"/>
  <c r="N256" i="44"/>
  <c r="P256" i="44" s="1"/>
  <c r="N260" i="44"/>
  <c r="P260" i="44" s="1"/>
  <c r="N207" i="44"/>
  <c r="P207" i="44" s="1"/>
  <c r="N209" i="44"/>
  <c r="P209" i="44" s="1"/>
  <c r="N231" i="44"/>
  <c r="P231" i="44" s="1"/>
  <c r="N232" i="44"/>
  <c r="P232" i="44" s="1"/>
  <c r="N227" i="44"/>
  <c r="P227" i="44" s="1"/>
  <c r="N79" i="44"/>
  <c r="P79" i="44" s="1"/>
  <c r="N85" i="44"/>
  <c r="P85" i="44" s="1"/>
  <c r="N56" i="44"/>
  <c r="P56" i="44" s="1"/>
  <c r="N73" i="44"/>
  <c r="P73" i="44" s="1"/>
  <c r="N76" i="44"/>
  <c r="P76" i="44" s="1"/>
  <c r="N80" i="44"/>
  <c r="P80" i="44" s="1"/>
  <c r="N258" i="44"/>
  <c r="P258" i="44" s="1"/>
  <c r="N46" i="44"/>
  <c r="P46" i="44" s="1"/>
  <c r="N86" i="44"/>
  <c r="P86" i="44" s="1"/>
  <c r="N178" i="44"/>
  <c r="P178" i="44" s="1"/>
  <c r="N172" i="44"/>
  <c r="P172" i="44" s="1"/>
  <c r="N184" i="44"/>
  <c r="P184" i="44" s="1"/>
  <c r="N174" i="44"/>
  <c r="P174" i="44" s="1"/>
  <c r="N39" i="44"/>
  <c r="P39" i="44" s="1"/>
  <c r="N47" i="44"/>
  <c r="P47" i="44" s="1"/>
  <c r="N195" i="44"/>
  <c r="P195" i="44" s="1"/>
  <c r="N175" i="44"/>
  <c r="P175" i="44" s="1"/>
  <c r="N165" i="44"/>
  <c r="P165" i="44" s="1"/>
  <c r="N199" i="44"/>
  <c r="P199" i="44" s="1"/>
  <c r="N253" i="44"/>
  <c r="P253" i="44" s="1"/>
  <c r="N241" i="44"/>
  <c r="P241" i="44" s="1"/>
  <c r="N264" i="44"/>
  <c r="P264" i="44" s="1"/>
  <c r="N266" i="44"/>
  <c r="P266" i="44" s="1"/>
  <c r="N205" i="44"/>
  <c r="P205" i="44" s="1"/>
  <c r="N210" i="44"/>
  <c r="P210" i="44" s="1"/>
  <c r="N235" i="44"/>
  <c r="P235" i="44" s="1"/>
  <c r="N221" i="44"/>
  <c r="P221" i="44" s="1"/>
  <c r="N84" i="44"/>
  <c r="P84" i="44" s="1"/>
  <c r="N49" i="44"/>
  <c r="P49" i="44" s="1"/>
  <c r="N52" i="44"/>
  <c r="P52" i="44" s="1"/>
  <c r="N68" i="44"/>
  <c r="P68" i="44" s="1"/>
  <c r="N50" i="44"/>
  <c r="P50" i="44" s="1"/>
  <c r="N91" i="44"/>
  <c r="P91" i="44" s="1"/>
  <c r="N40" i="44"/>
  <c r="P40" i="44" s="1"/>
  <c r="N219" i="44"/>
  <c r="P219" i="44" s="1"/>
  <c r="N95" i="44"/>
  <c r="P95" i="44" s="1"/>
  <c r="N187" i="44"/>
  <c r="P187" i="44" s="1"/>
  <c r="N189" i="44"/>
  <c r="P189" i="44" s="1"/>
  <c r="N176" i="44"/>
  <c r="P176" i="44" s="1"/>
  <c r="N186" i="44"/>
  <c r="P186" i="44" s="1"/>
  <c r="N166" i="44"/>
  <c r="P166" i="44" s="1"/>
  <c r="N180" i="44"/>
  <c r="P180" i="44" s="1"/>
  <c r="N191" i="44"/>
  <c r="P191" i="44" s="1"/>
  <c r="N66" i="44"/>
  <c r="P66" i="44" s="1"/>
  <c r="N45" i="44"/>
  <c r="P45" i="44" s="1"/>
  <c r="N169" i="44"/>
  <c r="P169" i="44" s="1"/>
  <c r="N163" i="44"/>
  <c r="P163" i="44" s="1"/>
  <c r="N201" i="44"/>
  <c r="P201" i="44" s="1"/>
  <c r="N243" i="44"/>
  <c r="P243" i="44" s="1"/>
  <c r="N268" i="44"/>
  <c r="P268" i="44" s="1"/>
  <c r="N265" i="44"/>
  <c r="P265" i="44" s="1"/>
  <c r="N215" i="44"/>
  <c r="P215" i="44" s="1"/>
  <c r="N238" i="44"/>
  <c r="P238" i="44" s="1"/>
  <c r="N223" i="44"/>
  <c r="P223" i="44" s="1"/>
  <c r="N90" i="44"/>
  <c r="P90" i="44" s="1"/>
  <c r="N98" i="44"/>
  <c r="P98" i="44" s="1"/>
  <c r="N55" i="44"/>
  <c r="P55" i="44" s="1"/>
  <c r="N71" i="44"/>
  <c r="P71" i="44" s="1"/>
  <c r="N60" i="44"/>
  <c r="P60" i="44" s="1"/>
  <c r="N77" i="44"/>
  <c r="P77" i="44" s="1"/>
  <c r="N250" i="44"/>
  <c r="P250" i="44" s="1"/>
  <c r="N249" i="44"/>
  <c r="P249" i="44" s="1"/>
  <c r="N269" i="44"/>
  <c r="P269" i="44" s="1"/>
  <c r="N263" i="44"/>
  <c r="P263" i="44" s="1"/>
  <c r="N208" i="44"/>
  <c r="P208" i="44" s="1"/>
  <c r="N216" i="44"/>
  <c r="P216" i="44" s="1"/>
  <c r="N239" i="44"/>
  <c r="P239" i="44" s="1"/>
  <c r="N226" i="44"/>
  <c r="P226" i="44" s="1"/>
  <c r="N42" i="44"/>
  <c r="P42" i="44" s="1"/>
  <c r="N78" i="44"/>
  <c r="P78" i="44" s="1"/>
  <c r="N57" i="44"/>
  <c r="P57" i="44" s="1"/>
  <c r="N74" i="44"/>
  <c r="P74" i="44" s="1"/>
  <c r="N82" i="44"/>
  <c r="P82" i="44" s="1"/>
  <c r="N92" i="44"/>
  <c r="P92" i="44" s="1"/>
  <c r="N212" i="44"/>
  <c r="P212" i="44" s="1"/>
  <c r="N36" i="44"/>
  <c r="P36" i="44" s="1"/>
  <c r="N62" i="44"/>
  <c r="P62" i="44" s="1"/>
  <c r="N196" i="44"/>
  <c r="P196" i="44" s="1"/>
  <c r="N170" i="44"/>
  <c r="P170" i="44" s="1"/>
  <c r="N162" i="44"/>
  <c r="P162" i="44" s="1"/>
  <c r="N197" i="44"/>
  <c r="P197" i="44" s="1"/>
  <c r="N254" i="44"/>
  <c r="P254" i="44" s="1"/>
  <c r="N261" i="44"/>
  <c r="P261" i="44" s="1"/>
  <c r="N229" i="44"/>
  <c r="P229" i="44" s="1"/>
  <c r="N87" i="44"/>
  <c r="P87" i="44" s="1"/>
  <c r="N72" i="44"/>
  <c r="P72" i="44" s="1"/>
  <c r="N43" i="44"/>
  <c r="P43" i="44" s="1"/>
  <c r="N48" i="44"/>
  <c r="P48" i="44" s="1"/>
  <c r="N222" i="44"/>
  <c r="P222" i="44" s="1"/>
  <c r="N190" i="44"/>
  <c r="P190" i="44" s="1"/>
  <c r="N192" i="44"/>
  <c r="P192" i="44" s="1"/>
  <c r="N202" i="44"/>
  <c r="P202" i="44" s="1"/>
  <c r="N245" i="44"/>
  <c r="P245" i="44" s="1"/>
  <c r="N246" i="44"/>
  <c r="P246" i="44" s="1"/>
  <c r="N259" i="44"/>
  <c r="P259" i="44" s="1"/>
  <c r="N203" i="44"/>
  <c r="P203" i="44" s="1"/>
  <c r="N211" i="44"/>
  <c r="P211" i="44" s="1"/>
  <c r="N234" i="44"/>
  <c r="P234" i="44" s="1"/>
  <c r="N225" i="44"/>
  <c r="P225" i="44" s="1"/>
  <c r="N64" i="44"/>
  <c r="P64" i="44" s="1"/>
  <c r="N51" i="44"/>
  <c r="P51" i="44" s="1"/>
  <c r="N53" i="44"/>
  <c r="P53" i="44" s="1"/>
  <c r="N69" i="44"/>
  <c r="P69" i="44" s="1"/>
  <c r="N61" i="44"/>
  <c r="P61" i="44" s="1"/>
  <c r="N63" i="44"/>
  <c r="P63" i="44" s="1"/>
  <c r="N59" i="44"/>
  <c r="P59" i="44" s="1"/>
  <c r="N220" i="44"/>
  <c r="P220" i="44" s="1"/>
  <c r="N96" i="44"/>
  <c r="P96" i="44" s="1"/>
  <c r="N193" i="44"/>
  <c r="P193" i="44" s="1"/>
  <c r="N194" i="44"/>
  <c r="P194" i="44" s="1"/>
  <c r="N177" i="44"/>
  <c r="P177" i="44" s="1"/>
  <c r="N179" i="44"/>
  <c r="P179" i="44" s="1"/>
  <c r="N167" i="44"/>
  <c r="P167" i="44" s="1"/>
  <c r="N248" i="44"/>
  <c r="P248" i="44" s="1"/>
  <c r="N270" i="44"/>
  <c r="P270" i="44" s="1"/>
  <c r="N214" i="44"/>
  <c r="P214" i="44" s="1"/>
  <c r="N230" i="44"/>
  <c r="P230" i="44" s="1"/>
  <c r="N89" i="44"/>
  <c r="P89" i="44" s="1"/>
  <c r="N75" i="44"/>
  <c r="P75" i="44" s="1"/>
  <c r="N267" i="44"/>
  <c r="P267" i="44" s="1"/>
  <c r="N168" i="44"/>
  <c r="P168" i="44" s="1"/>
  <c r="N173" i="44"/>
  <c r="P173" i="44" s="1"/>
  <c r="N135" i="34"/>
  <c r="P135" i="34" s="1"/>
  <c r="N131" i="34"/>
  <c r="P131" i="34" s="1"/>
  <c r="N136" i="34"/>
  <c r="P136" i="34" s="1"/>
  <c r="N132" i="34"/>
  <c r="P132" i="34" s="1"/>
  <c r="N128" i="34"/>
  <c r="P128" i="34" s="1"/>
  <c r="N133" i="34"/>
  <c r="P133" i="34" s="1"/>
  <c r="N129" i="34"/>
  <c r="P129" i="34" s="1"/>
  <c r="N134" i="34"/>
  <c r="P134" i="34" s="1"/>
  <c r="N130" i="34"/>
  <c r="P130" i="34" s="1"/>
  <c r="N98" i="34"/>
  <c r="P98" i="34" s="1"/>
  <c r="N99" i="34"/>
  <c r="P99" i="34" s="1"/>
  <c r="N97" i="34"/>
  <c r="P97" i="34" s="1"/>
  <c r="N121" i="34"/>
  <c r="P121" i="34" s="1"/>
  <c r="N96" i="34"/>
  <c r="P96" i="34" s="1"/>
  <c r="N107" i="34"/>
  <c r="P107" i="34" s="1"/>
  <c r="N124" i="34"/>
  <c r="P124" i="34" s="1"/>
  <c r="N126" i="34"/>
  <c r="P126" i="34" s="1"/>
  <c r="N94" i="34"/>
  <c r="P94" i="34" s="1"/>
  <c r="N100" i="34"/>
  <c r="P100" i="34" s="1"/>
  <c r="N116" i="34"/>
  <c r="P116" i="34" s="1"/>
  <c r="N105" i="34"/>
  <c r="P105" i="34" s="1"/>
  <c r="N112" i="34"/>
  <c r="P112" i="34" s="1"/>
  <c r="N118" i="34"/>
  <c r="P118" i="34" s="1"/>
  <c r="N122" i="34"/>
  <c r="P122" i="34" s="1"/>
  <c r="N127" i="34"/>
  <c r="P127" i="34" s="1"/>
  <c r="N101" i="34"/>
  <c r="P101" i="34" s="1"/>
  <c r="N111" i="34"/>
  <c r="P111" i="34" s="1"/>
  <c r="N119" i="34"/>
  <c r="P119" i="34" s="1"/>
  <c r="N109" i="34"/>
  <c r="P109" i="34" s="1"/>
  <c r="N103" i="34"/>
  <c r="P103" i="34" s="1"/>
  <c r="N104" i="34"/>
  <c r="P104" i="34" s="1"/>
  <c r="N106" i="34"/>
  <c r="P106" i="34" s="1"/>
  <c r="N117" i="34"/>
  <c r="P117" i="34" s="1"/>
  <c r="N113" i="34"/>
  <c r="P113" i="34" s="1"/>
  <c r="N95" i="34"/>
  <c r="P95" i="34" s="1"/>
  <c r="N114" i="34"/>
  <c r="P114" i="34" s="1"/>
  <c r="N123" i="34"/>
  <c r="P123" i="34" s="1"/>
  <c r="N125" i="34"/>
  <c r="P125" i="34" s="1"/>
  <c r="N108" i="34"/>
  <c r="P108" i="34" s="1"/>
  <c r="N102" i="34"/>
  <c r="P102" i="34" s="1"/>
  <c r="N120" i="34"/>
  <c r="P120" i="34" s="1"/>
  <c r="N115" i="34"/>
  <c r="P115" i="34" s="1"/>
  <c r="N110" i="34"/>
  <c r="P110" i="34" s="1"/>
  <c r="N9" i="44"/>
  <c r="P9" i="44" s="1"/>
  <c r="N17" i="44"/>
  <c r="P17" i="44" s="1"/>
  <c r="N14" i="44"/>
  <c r="P14" i="44" s="1"/>
  <c r="N10" i="44"/>
  <c r="P10" i="44" s="1"/>
  <c r="N6" i="44"/>
  <c r="P6" i="44" s="1"/>
  <c r="N2" i="44"/>
  <c r="P2" i="44" s="1"/>
  <c r="N15" i="44"/>
  <c r="P15" i="44" s="1"/>
  <c r="N11" i="44"/>
  <c r="P11" i="44" s="1"/>
  <c r="N12" i="44"/>
  <c r="P12" i="44" s="1"/>
  <c r="N4" i="44"/>
  <c r="P4" i="44" s="1"/>
  <c r="N8" i="44"/>
  <c r="P8" i="44" s="1"/>
  <c r="N13" i="44"/>
  <c r="P13" i="44" s="1"/>
  <c r="N16" i="44"/>
  <c r="P16" i="44" s="1"/>
  <c r="N5" i="44"/>
  <c r="P5" i="44" s="1"/>
  <c r="N7" i="44"/>
  <c r="P7" i="44" s="1"/>
  <c r="N3" i="44"/>
  <c r="P3" i="44" s="1"/>
  <c r="N33" i="44"/>
  <c r="P33" i="44" s="1"/>
  <c r="N32" i="44"/>
  <c r="P32" i="44" s="1"/>
  <c r="N19" i="44"/>
  <c r="P19" i="44" s="1"/>
  <c r="N18" i="44"/>
  <c r="P18" i="44" s="1"/>
  <c r="N35" i="44"/>
  <c r="P35" i="44" s="1"/>
  <c r="N28" i="44"/>
  <c r="P28" i="44" s="1"/>
  <c r="N26" i="44"/>
  <c r="P26" i="44" s="1"/>
  <c r="N23" i="44"/>
  <c r="P23" i="44" s="1"/>
  <c r="N29" i="44"/>
  <c r="P29" i="44" s="1"/>
  <c r="N31" i="44"/>
  <c r="P31" i="44" s="1"/>
  <c r="N21" i="44"/>
  <c r="P21" i="44" s="1"/>
  <c r="N30" i="44"/>
  <c r="P30" i="44" s="1"/>
  <c r="N24" i="44"/>
  <c r="P24" i="44" s="1"/>
  <c r="N22" i="44"/>
  <c r="P22" i="44" s="1"/>
  <c r="N34" i="44"/>
  <c r="P34" i="44" s="1"/>
  <c r="N27" i="44"/>
  <c r="P27" i="44" s="1"/>
  <c r="N25" i="44"/>
  <c r="P25" i="44" s="1"/>
  <c r="N20" i="44"/>
  <c r="P20" i="44" s="1"/>
  <c r="H61" i="6"/>
  <c r="H60" i="6"/>
  <c r="AZ60" i="6"/>
  <c r="H59" i="6"/>
  <c r="AZ59" i="6"/>
  <c r="H57" i="6"/>
  <c r="H58" i="6"/>
  <c r="AZ58" i="6"/>
  <c r="F151" i="6"/>
  <c r="E151" i="6"/>
  <c r="C157" i="6" l="1"/>
  <c r="R1" i="36"/>
  <c r="M31" i="36" l="1"/>
  <c r="O31" i="36" s="1"/>
  <c r="M34" i="36"/>
  <c r="O34" i="36" s="1"/>
  <c r="M29" i="36"/>
  <c r="O29" i="36" s="1"/>
  <c r="M35" i="36"/>
  <c r="O35" i="36" s="1"/>
  <c r="M32" i="36"/>
  <c r="O32" i="36" s="1"/>
  <c r="M33" i="36"/>
  <c r="O33" i="36" s="1"/>
  <c r="M36" i="36"/>
  <c r="O36" i="36" s="1"/>
  <c r="M30" i="36"/>
  <c r="O30" i="36" s="1"/>
  <c r="M28" i="36"/>
  <c r="O28" i="36" s="1"/>
  <c r="M26" i="36"/>
  <c r="O26" i="36" s="1"/>
  <c r="M27" i="36"/>
  <c r="O27" i="36" s="1"/>
  <c r="M20" i="36"/>
  <c r="O20" i="36" s="1"/>
  <c r="M24" i="36"/>
  <c r="O24" i="36" s="1"/>
  <c r="M23" i="36"/>
  <c r="O23" i="36" s="1"/>
  <c r="M16" i="36"/>
  <c r="O16" i="36" s="1"/>
  <c r="M18" i="36"/>
  <c r="O18" i="36" s="1"/>
  <c r="M17" i="36"/>
  <c r="O17" i="36" s="1"/>
  <c r="M13" i="36"/>
  <c r="O13" i="36" s="1"/>
  <c r="M12" i="36"/>
  <c r="O12" i="36" s="1"/>
  <c r="M11" i="36"/>
  <c r="O11" i="36" s="1"/>
  <c r="M10" i="36"/>
  <c r="O10" i="36" s="1"/>
  <c r="M7" i="36"/>
  <c r="O7" i="36" s="1"/>
  <c r="M6" i="36"/>
  <c r="O6" i="36" s="1"/>
  <c r="M4" i="36"/>
  <c r="O4" i="36" s="1"/>
  <c r="M22" i="36"/>
  <c r="O22" i="36" s="1"/>
  <c r="M14" i="36"/>
  <c r="O14" i="36" s="1"/>
  <c r="M8" i="36"/>
  <c r="O8" i="36" s="1"/>
  <c r="M25" i="36"/>
  <c r="O25" i="36" s="1"/>
  <c r="M5" i="36"/>
  <c r="O5" i="36" s="1"/>
  <c r="M19" i="36"/>
  <c r="O19" i="36" s="1"/>
  <c r="M9" i="36"/>
  <c r="O9" i="36" s="1"/>
  <c r="M15" i="36"/>
  <c r="O15" i="36" s="1"/>
  <c r="M21" i="36"/>
  <c r="O21" i="36" s="1"/>
  <c r="M3" i="36"/>
  <c r="O3" i="36" s="1"/>
  <c r="M2" i="36"/>
  <c r="O2" i="36" s="1"/>
  <c r="H157" i="6"/>
  <c r="AZ157" i="6"/>
  <c r="H17" i="6" l="1"/>
  <c r="C117" i="6" l="1"/>
  <c r="G117" i="6" s="1"/>
  <c r="F95" i="6"/>
  <c r="E96" i="6"/>
  <c r="D97" i="6"/>
  <c r="C98" i="6"/>
  <c r="C102" i="6"/>
  <c r="D109" i="6"/>
  <c r="E118" i="6"/>
  <c r="F96" i="6"/>
  <c r="F98" i="6"/>
  <c r="F99" i="6"/>
  <c r="F103" i="6"/>
  <c r="E104" i="6"/>
  <c r="F107" i="6"/>
  <c r="C108" i="6"/>
  <c r="C120" i="6"/>
  <c r="C95" i="6"/>
  <c r="D95" i="6"/>
  <c r="C96" i="6"/>
  <c r="E108" i="6"/>
  <c r="C97" i="6"/>
  <c r="D102" i="6"/>
  <c r="C107" i="6"/>
  <c r="F109" i="6"/>
  <c r="D104" i="6"/>
  <c r="F104" i="6"/>
  <c r="E95" i="6"/>
  <c r="E97" i="6"/>
  <c r="E102" i="6"/>
  <c r="C103" i="6"/>
  <c r="D107" i="6"/>
  <c r="E99" i="6"/>
  <c r="F108" i="6"/>
  <c r="E120" i="6"/>
  <c r="F97" i="6"/>
  <c r="C99" i="6"/>
  <c r="F102" i="6"/>
  <c r="D103" i="6"/>
  <c r="E107" i="6"/>
  <c r="D98" i="6"/>
  <c r="D96" i="6"/>
  <c r="D99" i="6"/>
  <c r="E103" i="6"/>
  <c r="C104" i="6"/>
  <c r="D108" i="6"/>
  <c r="D120" i="6"/>
  <c r="C118" i="6"/>
  <c r="E98" i="6"/>
  <c r="C109" i="6"/>
  <c r="F120" i="6"/>
  <c r="E109" i="6"/>
  <c r="C47" i="6"/>
  <c r="C40" i="6"/>
  <c r="F64" i="6"/>
  <c r="C49" i="6"/>
  <c r="C46" i="6"/>
  <c r="C41" i="6"/>
  <c r="F49" i="6"/>
  <c r="F41" i="6"/>
  <c r="E41" i="6"/>
  <c r="D66" i="6"/>
  <c r="E64" i="6"/>
  <c r="F54" i="6"/>
  <c r="F48" i="6"/>
  <c r="F43" i="6"/>
  <c r="C66" i="6"/>
  <c r="D64" i="6"/>
  <c r="E54" i="6"/>
  <c r="E48" i="6"/>
  <c r="E43" i="6"/>
  <c r="C64" i="6"/>
  <c r="C54" i="6"/>
  <c r="C48" i="6"/>
  <c r="C43" i="6"/>
  <c r="E49" i="6"/>
  <c r="F53" i="6"/>
  <c r="F50" i="6"/>
  <c r="F47" i="6"/>
  <c r="F42" i="6"/>
  <c r="E50" i="6"/>
  <c r="E47" i="6"/>
  <c r="E42" i="6"/>
  <c r="F46" i="6"/>
  <c r="C53" i="6"/>
  <c r="C42" i="6"/>
  <c r="E46" i="6"/>
  <c r="F66" i="6"/>
  <c r="E40" i="6"/>
  <c r="F40" i="6"/>
  <c r="G118" i="6" l="1"/>
  <c r="H118" i="6" s="1"/>
  <c r="G64" i="6"/>
  <c r="G66" i="6"/>
  <c r="G120" i="6"/>
  <c r="H120" i="6" s="1"/>
  <c r="G108" i="6"/>
  <c r="H108" i="6" s="1"/>
  <c r="G97" i="6"/>
  <c r="G103" i="6"/>
  <c r="G102" i="6"/>
  <c r="G98" i="6"/>
  <c r="H98" i="6" s="1"/>
  <c r="G104" i="6"/>
  <c r="H104" i="6" s="1"/>
  <c r="G99" i="6"/>
  <c r="G96" i="6"/>
  <c r="G107" i="6"/>
  <c r="H107" i="6" s="1"/>
  <c r="G109" i="6"/>
  <c r="H109" i="6" s="1"/>
  <c r="G95" i="6"/>
  <c r="E111" i="6"/>
  <c r="H117" i="6"/>
  <c r="E101" i="6"/>
  <c r="F101" i="6"/>
  <c r="D106" i="6"/>
  <c r="D101" i="6"/>
  <c r="C101" i="6"/>
  <c r="F106" i="6"/>
  <c r="C111" i="6"/>
  <c r="E94" i="6"/>
  <c r="F94" i="6"/>
  <c r="C106" i="6"/>
  <c r="D94" i="6"/>
  <c r="E106" i="6"/>
  <c r="C94" i="6"/>
  <c r="F52" i="6"/>
  <c r="E39" i="6"/>
  <c r="F39" i="6"/>
  <c r="F45" i="6"/>
  <c r="E45" i="6"/>
  <c r="H103" i="6" l="1"/>
  <c r="H106" i="6"/>
  <c r="H99" i="6"/>
  <c r="G106" i="6"/>
  <c r="H96" i="6"/>
  <c r="H111" i="6"/>
  <c r="G111" i="6"/>
  <c r="G101" i="6"/>
  <c r="H102" i="6"/>
  <c r="H95" i="6"/>
  <c r="G94" i="6"/>
  <c r="H97" i="6"/>
  <c r="H64" i="6"/>
  <c r="F76" i="6"/>
  <c r="H101" i="6" l="1"/>
  <c r="H94" i="6"/>
  <c r="S1" i="34"/>
  <c r="N85" i="34" l="1"/>
  <c r="P85" i="34" s="1"/>
  <c r="N93" i="34"/>
  <c r="P93" i="34" s="1"/>
  <c r="N69" i="34"/>
  <c r="P69" i="34" s="1"/>
  <c r="N77" i="34"/>
  <c r="P77" i="34" s="1"/>
  <c r="N60" i="34"/>
  <c r="P60" i="34" s="1"/>
  <c r="N59" i="34"/>
  <c r="P59" i="34" s="1"/>
  <c r="N48" i="34"/>
  <c r="P48" i="34" s="1"/>
  <c r="N49" i="34"/>
  <c r="P49" i="34" s="1"/>
  <c r="N92" i="34"/>
  <c r="P92" i="34" s="1"/>
  <c r="N68" i="34"/>
  <c r="P68" i="34" s="1"/>
  <c r="N84" i="34"/>
  <c r="P84" i="34" s="1"/>
  <c r="N76" i="34"/>
  <c r="P76" i="34" s="1"/>
  <c r="N89" i="34"/>
  <c r="P89" i="34" s="1"/>
  <c r="N81" i="34"/>
  <c r="P81" i="34" s="1"/>
  <c r="N64" i="34"/>
  <c r="P64" i="34" s="1"/>
  <c r="N80" i="34"/>
  <c r="P80" i="34" s="1"/>
  <c r="N72" i="34"/>
  <c r="P72" i="34" s="1"/>
  <c r="N65" i="34"/>
  <c r="P65" i="34" s="1"/>
  <c r="N73" i="34"/>
  <c r="P73" i="34" s="1"/>
  <c r="N88" i="34"/>
  <c r="P88" i="34" s="1"/>
  <c r="N91" i="34"/>
  <c r="P91" i="34" s="1"/>
  <c r="N83" i="34"/>
  <c r="P83" i="34" s="1"/>
  <c r="N66" i="34"/>
  <c r="P66" i="34" s="1"/>
  <c r="N90" i="34"/>
  <c r="P90" i="34" s="1"/>
  <c r="N74" i="34"/>
  <c r="P74" i="34" s="1"/>
  <c r="N82" i="34"/>
  <c r="P82" i="34" s="1"/>
  <c r="N67" i="34"/>
  <c r="P67" i="34" s="1"/>
  <c r="N75" i="34"/>
  <c r="P75" i="34" s="1"/>
  <c r="N87" i="34"/>
  <c r="P87" i="34" s="1"/>
  <c r="N79" i="34"/>
  <c r="P79" i="34" s="1"/>
  <c r="N63" i="34"/>
  <c r="P63" i="34" s="1"/>
  <c r="N71" i="34"/>
  <c r="P71" i="34" s="1"/>
  <c r="N78" i="34"/>
  <c r="P78" i="34" s="1"/>
  <c r="N86" i="34"/>
  <c r="P86" i="34" s="1"/>
  <c r="N42" i="34"/>
  <c r="P42" i="34" s="1"/>
  <c r="N43" i="34"/>
  <c r="P43" i="34" s="1"/>
  <c r="N41" i="34"/>
  <c r="P41" i="34" s="1"/>
  <c r="N37" i="34"/>
  <c r="P37" i="34" s="1"/>
  <c r="N33" i="34"/>
  <c r="P33" i="34" s="1"/>
  <c r="N34" i="34"/>
  <c r="P34" i="34" s="1"/>
  <c r="N35" i="34"/>
  <c r="P35" i="34" s="1"/>
  <c r="N36" i="34"/>
  <c r="P36" i="34" s="1"/>
  <c r="N32" i="34"/>
  <c r="P32" i="34" s="1"/>
  <c r="N24" i="34"/>
  <c r="P24" i="34" s="1"/>
  <c r="N20" i="34"/>
  <c r="P20" i="34" s="1"/>
  <c r="N25" i="34"/>
  <c r="P25" i="34" s="1"/>
  <c r="N21" i="34"/>
  <c r="P21" i="34" s="1"/>
  <c r="N22" i="34"/>
  <c r="P22" i="34" s="1"/>
  <c r="N23" i="34"/>
  <c r="P23" i="34" s="1"/>
  <c r="N13" i="34"/>
  <c r="P13" i="34" s="1"/>
  <c r="N9" i="34"/>
  <c r="P9" i="34" s="1"/>
  <c r="N12" i="34"/>
  <c r="P12" i="34" s="1"/>
  <c r="N8" i="34"/>
  <c r="P8" i="34" s="1"/>
  <c r="N10" i="34"/>
  <c r="P10" i="34" s="1"/>
  <c r="N11" i="34"/>
  <c r="P11" i="34" s="1"/>
  <c r="N40" i="34"/>
  <c r="P40" i="34" s="1"/>
  <c r="N46" i="34"/>
  <c r="P46" i="34" s="1"/>
  <c r="N47" i="34"/>
  <c r="P47" i="34" s="1"/>
  <c r="N45" i="34"/>
  <c r="P45" i="34" s="1"/>
  <c r="N29" i="34"/>
  <c r="P29" i="34" s="1"/>
  <c r="N39" i="34"/>
  <c r="P39" i="34" s="1"/>
  <c r="N38" i="34"/>
  <c r="P38" i="34" s="1"/>
  <c r="N31" i="34"/>
  <c r="P31" i="34" s="1"/>
  <c r="N30" i="34"/>
  <c r="P30" i="34" s="1"/>
  <c r="N50" i="34"/>
  <c r="P50" i="34" s="1"/>
  <c r="N44" i="34"/>
  <c r="P44" i="34" s="1"/>
  <c r="N28" i="34"/>
  <c r="P28" i="34" s="1"/>
  <c r="N27" i="34"/>
  <c r="P27" i="34" s="1"/>
  <c r="N53" i="34"/>
  <c r="P53" i="34" s="1"/>
  <c r="N52" i="34"/>
  <c r="P52" i="34" s="1"/>
  <c r="N19" i="34"/>
  <c r="P19" i="34" s="1"/>
  <c r="N26" i="34"/>
  <c r="P26" i="34" s="1"/>
  <c r="N51" i="34"/>
  <c r="P51" i="34" s="1"/>
  <c r="N5" i="34"/>
  <c r="P5" i="34" s="1"/>
  <c r="N14" i="34"/>
  <c r="P14" i="34" s="1"/>
  <c r="N17" i="34"/>
  <c r="P17" i="34" s="1"/>
  <c r="N6" i="34"/>
  <c r="P6" i="34" s="1"/>
  <c r="N15" i="34"/>
  <c r="P15" i="34" s="1"/>
  <c r="N18" i="34"/>
  <c r="P18" i="34" s="1"/>
  <c r="N16" i="34"/>
  <c r="P16" i="34" s="1"/>
  <c r="N7" i="34"/>
  <c r="P7" i="34" s="1"/>
  <c r="N61" i="34"/>
  <c r="P61" i="34" s="1"/>
  <c r="N55" i="34"/>
  <c r="P55" i="34" s="1"/>
  <c r="N62" i="34"/>
  <c r="P62" i="34" s="1"/>
  <c r="N54" i="34"/>
  <c r="P54" i="34" s="1"/>
  <c r="N70" i="34"/>
  <c r="P70" i="34" s="1"/>
  <c r="N58" i="34"/>
  <c r="P58" i="34" s="1"/>
  <c r="N56" i="34"/>
  <c r="P56" i="34" s="1"/>
  <c r="N57" i="34"/>
  <c r="P57" i="34" s="1"/>
  <c r="N2" i="34"/>
  <c r="P2" i="34" s="1"/>
  <c r="N3" i="34"/>
  <c r="P3" i="34" s="1"/>
  <c r="N4" i="34"/>
  <c r="P4" i="34" s="1"/>
  <c r="E126" i="6"/>
  <c r="C129" i="6"/>
  <c r="F131" i="6"/>
  <c r="F127" i="6"/>
  <c r="F130" i="6"/>
  <c r="D130" i="6"/>
  <c r="D129" i="6"/>
  <c r="C126" i="6"/>
  <c r="D128" i="6"/>
  <c r="E128" i="6"/>
  <c r="F129" i="6"/>
  <c r="C130" i="6"/>
  <c r="C131" i="6"/>
  <c r="D126" i="6"/>
  <c r="F128" i="6"/>
  <c r="E129" i="6"/>
  <c r="E130" i="6"/>
  <c r="E127" i="6"/>
  <c r="F126" i="6"/>
  <c r="E131" i="6"/>
  <c r="C127" i="6"/>
  <c r="C128" i="6"/>
  <c r="G129" i="6" l="1"/>
  <c r="G126" i="6"/>
  <c r="G128" i="6"/>
  <c r="G127" i="6"/>
  <c r="G131" i="6"/>
  <c r="G130" i="6"/>
  <c r="AP163" i="6"/>
  <c r="AR163" i="6" s="1"/>
  <c r="AD163" i="6"/>
  <c r="AF163" i="6" s="1"/>
  <c r="W1" i="32"/>
  <c r="R1384" i="32" l="1"/>
  <c r="T1384" i="32" s="1"/>
  <c r="R1385" i="32"/>
  <c r="T1385" i="32" s="1"/>
  <c r="R1369" i="32"/>
  <c r="T1369" i="32" s="1"/>
  <c r="R1368" i="32"/>
  <c r="T1368" i="32" s="1"/>
  <c r="R20" i="32"/>
  <c r="T20" i="32" s="1"/>
  <c r="R24" i="32"/>
  <c r="T24" i="32" s="1"/>
  <c r="R32" i="32"/>
  <c r="T32" i="32" s="1"/>
  <c r="R40" i="32"/>
  <c r="T40" i="32" s="1"/>
  <c r="R48" i="32"/>
  <c r="T48" i="32" s="1"/>
  <c r="R56" i="32"/>
  <c r="T56" i="32" s="1"/>
  <c r="R64" i="32"/>
  <c r="T64" i="32" s="1"/>
  <c r="R72" i="32"/>
  <c r="T72" i="32" s="1"/>
  <c r="R80" i="32"/>
  <c r="T80" i="32" s="1"/>
  <c r="R88" i="32"/>
  <c r="T88" i="32" s="1"/>
  <c r="R27" i="32"/>
  <c r="T27" i="32" s="1"/>
  <c r="R35" i="32"/>
  <c r="T35" i="32" s="1"/>
  <c r="R43" i="32"/>
  <c r="T43" i="32" s="1"/>
  <c r="R51" i="32"/>
  <c r="T51" i="32" s="1"/>
  <c r="R59" i="32"/>
  <c r="T59" i="32" s="1"/>
  <c r="R67" i="32"/>
  <c r="T67" i="32" s="1"/>
  <c r="R75" i="32"/>
  <c r="T75" i="32" s="1"/>
  <c r="R83" i="32"/>
  <c r="T83" i="32" s="1"/>
  <c r="R91" i="32"/>
  <c r="T91" i="32" s="1"/>
  <c r="R99" i="32"/>
  <c r="T99" i="32" s="1"/>
  <c r="R107" i="32"/>
  <c r="T107" i="32" s="1"/>
  <c r="R115" i="32"/>
  <c r="T115" i="32" s="1"/>
  <c r="R123" i="32"/>
  <c r="T123" i="32" s="1"/>
  <c r="R131" i="32"/>
  <c r="T131" i="32" s="1"/>
  <c r="R139" i="32"/>
  <c r="T139" i="32" s="1"/>
  <c r="R22" i="32"/>
  <c r="T22" i="32" s="1"/>
  <c r="R30" i="32"/>
  <c r="T30" i="32" s="1"/>
  <c r="R38" i="32"/>
  <c r="T38" i="32" s="1"/>
  <c r="R46" i="32"/>
  <c r="T46" i="32" s="1"/>
  <c r="R54" i="32"/>
  <c r="T54" i="32" s="1"/>
  <c r="R62" i="32"/>
  <c r="T62" i="32" s="1"/>
  <c r="R70" i="32"/>
  <c r="T70" i="32" s="1"/>
  <c r="R78" i="32"/>
  <c r="T78" i="32" s="1"/>
  <c r="R86" i="32"/>
  <c r="T86" i="32" s="1"/>
  <c r="R94" i="32"/>
  <c r="T94" i="32" s="1"/>
  <c r="R102" i="32"/>
  <c r="T102" i="32" s="1"/>
  <c r="R110" i="32"/>
  <c r="T110" i="32" s="1"/>
  <c r="R118" i="32"/>
  <c r="T118" i="32" s="1"/>
  <c r="R126" i="32"/>
  <c r="T126" i="32" s="1"/>
  <c r="R134" i="32"/>
  <c r="T134" i="32" s="1"/>
  <c r="R142" i="32"/>
  <c r="T142" i="32" s="1"/>
  <c r="R150" i="32"/>
  <c r="T150" i="32" s="1"/>
  <c r="R158" i="32"/>
  <c r="T158" i="32" s="1"/>
  <c r="R166" i="32"/>
  <c r="T166" i="32" s="1"/>
  <c r="R174" i="32"/>
  <c r="T174" i="32" s="1"/>
  <c r="R182" i="32"/>
  <c r="T182" i="32" s="1"/>
  <c r="R190" i="32"/>
  <c r="T190" i="32" s="1"/>
  <c r="R198" i="32"/>
  <c r="T198" i="32" s="1"/>
  <c r="R206" i="32"/>
  <c r="T206" i="32" s="1"/>
  <c r="R214" i="32"/>
  <c r="T214" i="32" s="1"/>
  <c r="R222" i="32"/>
  <c r="T222" i="32" s="1"/>
  <c r="R230" i="32"/>
  <c r="T230" i="32" s="1"/>
  <c r="R238" i="32"/>
  <c r="T238" i="32" s="1"/>
  <c r="R246" i="32"/>
  <c r="T246" i="32" s="1"/>
  <c r="R254" i="32"/>
  <c r="T254" i="32" s="1"/>
  <c r="R262" i="32"/>
  <c r="T262" i="32" s="1"/>
  <c r="R270" i="32"/>
  <c r="T270" i="32" s="1"/>
  <c r="R278" i="32"/>
  <c r="T278" i="32" s="1"/>
  <c r="R286" i="32"/>
  <c r="T286" i="32" s="1"/>
  <c r="R294" i="32"/>
  <c r="T294" i="32" s="1"/>
  <c r="R302" i="32"/>
  <c r="T302" i="32" s="1"/>
  <c r="R310" i="32"/>
  <c r="T310" i="32" s="1"/>
  <c r="R318" i="32"/>
  <c r="T318" i="32" s="1"/>
  <c r="R326" i="32"/>
  <c r="T326" i="32" s="1"/>
  <c r="R334" i="32"/>
  <c r="T334" i="32" s="1"/>
  <c r="R342" i="32"/>
  <c r="T342" i="32" s="1"/>
  <c r="R350" i="32"/>
  <c r="T350" i="32" s="1"/>
  <c r="R358" i="32"/>
  <c r="T358" i="32" s="1"/>
  <c r="R25" i="32"/>
  <c r="T25" i="32" s="1"/>
  <c r="R33" i="32"/>
  <c r="T33" i="32" s="1"/>
  <c r="R41" i="32"/>
  <c r="T41" i="32" s="1"/>
  <c r="R49" i="32"/>
  <c r="T49" i="32" s="1"/>
  <c r="R57" i="32"/>
  <c r="T57" i="32" s="1"/>
  <c r="R65" i="32"/>
  <c r="T65" i="32" s="1"/>
  <c r="R73" i="32"/>
  <c r="T73" i="32" s="1"/>
  <c r="R81" i="32"/>
  <c r="T81" i="32" s="1"/>
  <c r="R89" i="32"/>
  <c r="T89" i="32" s="1"/>
  <c r="R97" i="32"/>
  <c r="T97" i="32" s="1"/>
  <c r="R105" i="32"/>
  <c r="T105" i="32" s="1"/>
  <c r="R113" i="32"/>
  <c r="T113" i="32" s="1"/>
  <c r="R121" i="32"/>
  <c r="T121" i="32" s="1"/>
  <c r="R129" i="32"/>
  <c r="T129" i="32" s="1"/>
  <c r="R137" i="32"/>
  <c r="T137" i="32" s="1"/>
  <c r="R28" i="32"/>
  <c r="T28" i="32" s="1"/>
  <c r="R36" i="32"/>
  <c r="T36" i="32" s="1"/>
  <c r="R44" i="32"/>
  <c r="T44" i="32" s="1"/>
  <c r="R52" i="32"/>
  <c r="T52" i="32" s="1"/>
  <c r="R60" i="32"/>
  <c r="T60" i="32" s="1"/>
  <c r="R68" i="32"/>
  <c r="T68" i="32" s="1"/>
  <c r="R76" i="32"/>
  <c r="T76" i="32" s="1"/>
  <c r="R84" i="32"/>
  <c r="T84" i="32" s="1"/>
  <c r="R92" i="32"/>
  <c r="T92" i="32" s="1"/>
  <c r="R23" i="32"/>
  <c r="T23" i="32" s="1"/>
  <c r="R31" i="32"/>
  <c r="T31" i="32" s="1"/>
  <c r="R39" i="32"/>
  <c r="T39" i="32" s="1"/>
  <c r="R47" i="32"/>
  <c r="T47" i="32" s="1"/>
  <c r="R55" i="32"/>
  <c r="T55" i="32" s="1"/>
  <c r="R63" i="32"/>
  <c r="T63" i="32" s="1"/>
  <c r="R71" i="32"/>
  <c r="T71" i="32" s="1"/>
  <c r="R79" i="32"/>
  <c r="T79" i="32" s="1"/>
  <c r="R87" i="32"/>
  <c r="T87" i="32" s="1"/>
  <c r="R95" i="32"/>
  <c r="T95" i="32" s="1"/>
  <c r="R103" i="32"/>
  <c r="T103" i="32" s="1"/>
  <c r="R111" i="32"/>
  <c r="T111" i="32" s="1"/>
  <c r="R119" i="32"/>
  <c r="T119" i="32" s="1"/>
  <c r="R127" i="32"/>
  <c r="T127" i="32" s="1"/>
  <c r="R135" i="32"/>
  <c r="T135" i="32" s="1"/>
  <c r="R143" i="32"/>
  <c r="T143" i="32" s="1"/>
  <c r="R26" i="32"/>
  <c r="T26" i="32" s="1"/>
  <c r="R34" i="32"/>
  <c r="T34" i="32" s="1"/>
  <c r="R42" i="32"/>
  <c r="T42" i="32" s="1"/>
  <c r="R50" i="32"/>
  <c r="T50" i="32" s="1"/>
  <c r="R58" i="32"/>
  <c r="T58" i="32" s="1"/>
  <c r="R66" i="32"/>
  <c r="T66" i="32" s="1"/>
  <c r="R74" i="32"/>
  <c r="T74" i="32" s="1"/>
  <c r="R82" i="32"/>
  <c r="T82" i="32" s="1"/>
  <c r="R90" i="32"/>
  <c r="T90" i="32" s="1"/>
  <c r="R98" i="32"/>
  <c r="T98" i="32" s="1"/>
  <c r="R106" i="32"/>
  <c r="T106" i="32" s="1"/>
  <c r="R114" i="32"/>
  <c r="T114" i="32" s="1"/>
  <c r="R122" i="32"/>
  <c r="T122" i="32" s="1"/>
  <c r="R130" i="32"/>
  <c r="T130" i="32" s="1"/>
  <c r="R138" i="32"/>
  <c r="T138" i="32" s="1"/>
  <c r="R29" i="32"/>
  <c r="T29" i="32" s="1"/>
  <c r="R61" i="32"/>
  <c r="T61" i="32" s="1"/>
  <c r="R93" i="32"/>
  <c r="T93" i="32" s="1"/>
  <c r="R147" i="32"/>
  <c r="T147" i="32" s="1"/>
  <c r="R153" i="32"/>
  <c r="T153" i="32" s="1"/>
  <c r="R173" i="32"/>
  <c r="T173" i="32" s="1"/>
  <c r="R176" i="32"/>
  <c r="T176" i="32" s="1"/>
  <c r="R179" i="32"/>
  <c r="T179" i="32" s="1"/>
  <c r="R185" i="32"/>
  <c r="T185" i="32" s="1"/>
  <c r="R205" i="32"/>
  <c r="T205" i="32" s="1"/>
  <c r="R208" i="32"/>
  <c r="T208" i="32" s="1"/>
  <c r="R211" i="32"/>
  <c r="T211" i="32" s="1"/>
  <c r="R217" i="32"/>
  <c r="T217" i="32" s="1"/>
  <c r="R237" i="32"/>
  <c r="T237" i="32" s="1"/>
  <c r="R240" i="32"/>
  <c r="T240" i="32" s="1"/>
  <c r="R243" i="32"/>
  <c r="T243" i="32" s="1"/>
  <c r="R249" i="32"/>
  <c r="T249" i="32" s="1"/>
  <c r="R269" i="32"/>
  <c r="T269" i="32" s="1"/>
  <c r="R272" i="32"/>
  <c r="T272" i="32" s="1"/>
  <c r="R275" i="32"/>
  <c r="T275" i="32" s="1"/>
  <c r="R281" i="32"/>
  <c r="T281" i="32" s="1"/>
  <c r="R301" i="32"/>
  <c r="T301" i="32" s="1"/>
  <c r="R304" i="32"/>
  <c r="T304" i="32" s="1"/>
  <c r="R307" i="32"/>
  <c r="T307" i="32" s="1"/>
  <c r="R313" i="32"/>
  <c r="T313" i="32" s="1"/>
  <c r="R333" i="32"/>
  <c r="T333" i="32" s="1"/>
  <c r="R336" i="32"/>
  <c r="T336" i="32" s="1"/>
  <c r="R339" i="32"/>
  <c r="T339" i="32" s="1"/>
  <c r="R345" i="32"/>
  <c r="T345" i="32" s="1"/>
  <c r="R362" i="32"/>
  <c r="T362" i="32" s="1"/>
  <c r="R370" i="32"/>
  <c r="T370" i="32" s="1"/>
  <c r="R378" i="32"/>
  <c r="T378" i="32" s="1"/>
  <c r="R386" i="32"/>
  <c r="T386" i="32" s="1"/>
  <c r="R394" i="32"/>
  <c r="T394" i="32" s="1"/>
  <c r="R402" i="32"/>
  <c r="T402" i="32" s="1"/>
  <c r="R410" i="32"/>
  <c r="T410" i="32" s="1"/>
  <c r="R418" i="32"/>
  <c r="T418" i="32" s="1"/>
  <c r="R426" i="32"/>
  <c r="T426" i="32" s="1"/>
  <c r="R434" i="32"/>
  <c r="T434" i="32" s="1"/>
  <c r="R442" i="32"/>
  <c r="T442" i="32" s="1"/>
  <c r="R108" i="32"/>
  <c r="T108" i="32" s="1"/>
  <c r="R112" i="32"/>
  <c r="T112" i="32" s="1"/>
  <c r="R117" i="32"/>
  <c r="T117" i="32" s="1"/>
  <c r="R140" i="32"/>
  <c r="T140" i="32" s="1"/>
  <c r="R144" i="32"/>
  <c r="T144" i="32" s="1"/>
  <c r="R156" i="32"/>
  <c r="T156" i="32" s="1"/>
  <c r="R159" i="32"/>
  <c r="T159" i="32" s="1"/>
  <c r="R162" i="32"/>
  <c r="T162" i="32" s="1"/>
  <c r="R188" i="32"/>
  <c r="T188" i="32" s="1"/>
  <c r="R191" i="32"/>
  <c r="T191" i="32" s="1"/>
  <c r="R194" i="32"/>
  <c r="T194" i="32" s="1"/>
  <c r="R220" i="32"/>
  <c r="T220" i="32" s="1"/>
  <c r="R223" i="32"/>
  <c r="T223" i="32" s="1"/>
  <c r="R226" i="32"/>
  <c r="T226" i="32" s="1"/>
  <c r="R252" i="32"/>
  <c r="T252" i="32" s="1"/>
  <c r="R255" i="32"/>
  <c r="T255" i="32" s="1"/>
  <c r="R258" i="32"/>
  <c r="T258" i="32" s="1"/>
  <c r="R284" i="32"/>
  <c r="T284" i="32" s="1"/>
  <c r="R287" i="32"/>
  <c r="T287" i="32" s="1"/>
  <c r="R290" i="32"/>
  <c r="T290" i="32" s="1"/>
  <c r="R316" i="32"/>
  <c r="T316" i="32" s="1"/>
  <c r="R319" i="32"/>
  <c r="T319" i="32" s="1"/>
  <c r="R322" i="32"/>
  <c r="T322" i="32" s="1"/>
  <c r="R348" i="32"/>
  <c r="T348" i="32" s="1"/>
  <c r="R351" i="32"/>
  <c r="T351" i="32" s="1"/>
  <c r="R354" i="32"/>
  <c r="T354" i="32" s="1"/>
  <c r="R365" i="32"/>
  <c r="T365" i="32" s="1"/>
  <c r="R373" i="32"/>
  <c r="T373" i="32" s="1"/>
  <c r="R381" i="32"/>
  <c r="T381" i="32" s="1"/>
  <c r="R389" i="32"/>
  <c r="T389" i="32" s="1"/>
  <c r="R397" i="32"/>
  <c r="T397" i="32" s="1"/>
  <c r="R405" i="32"/>
  <c r="T405" i="32" s="1"/>
  <c r="R413" i="32"/>
  <c r="T413" i="32" s="1"/>
  <c r="R421" i="32"/>
  <c r="T421" i="32" s="1"/>
  <c r="R37" i="32"/>
  <c r="T37" i="32" s="1"/>
  <c r="R69" i="32"/>
  <c r="T69" i="32" s="1"/>
  <c r="R165" i="32"/>
  <c r="T165" i="32" s="1"/>
  <c r="R168" i="32"/>
  <c r="T168" i="32" s="1"/>
  <c r="R171" i="32"/>
  <c r="T171" i="32" s="1"/>
  <c r="R177" i="32"/>
  <c r="T177" i="32" s="1"/>
  <c r="R197" i="32"/>
  <c r="T197" i="32" s="1"/>
  <c r="R200" i="32"/>
  <c r="T200" i="32" s="1"/>
  <c r="R203" i="32"/>
  <c r="T203" i="32" s="1"/>
  <c r="R209" i="32"/>
  <c r="T209" i="32" s="1"/>
  <c r="R229" i="32"/>
  <c r="T229" i="32" s="1"/>
  <c r="R232" i="32"/>
  <c r="T232" i="32" s="1"/>
  <c r="R235" i="32"/>
  <c r="T235" i="32" s="1"/>
  <c r="R241" i="32"/>
  <c r="T241" i="32" s="1"/>
  <c r="R261" i="32"/>
  <c r="T261" i="32" s="1"/>
  <c r="R264" i="32"/>
  <c r="T264" i="32" s="1"/>
  <c r="R267" i="32"/>
  <c r="T267" i="32" s="1"/>
  <c r="R273" i="32"/>
  <c r="T273" i="32" s="1"/>
  <c r="R293" i="32"/>
  <c r="T293" i="32" s="1"/>
  <c r="R296" i="32"/>
  <c r="T296" i="32" s="1"/>
  <c r="R299" i="32"/>
  <c r="T299" i="32" s="1"/>
  <c r="R305" i="32"/>
  <c r="T305" i="32" s="1"/>
  <c r="R325" i="32"/>
  <c r="T325" i="32" s="1"/>
  <c r="R328" i="32"/>
  <c r="T328" i="32" s="1"/>
  <c r="R331" i="32"/>
  <c r="T331" i="32" s="1"/>
  <c r="R337" i="32"/>
  <c r="T337" i="32" s="1"/>
  <c r="R357" i="32"/>
  <c r="T357" i="32" s="1"/>
  <c r="R360" i="32"/>
  <c r="T360" i="32" s="1"/>
  <c r="R368" i="32"/>
  <c r="T368" i="32" s="1"/>
  <c r="R376" i="32"/>
  <c r="T376" i="32" s="1"/>
  <c r="R384" i="32"/>
  <c r="T384" i="32" s="1"/>
  <c r="R392" i="32"/>
  <c r="T392" i="32" s="1"/>
  <c r="R400" i="32"/>
  <c r="T400" i="32" s="1"/>
  <c r="R408" i="32"/>
  <c r="T408" i="32" s="1"/>
  <c r="R416" i="32"/>
  <c r="T416" i="32" s="1"/>
  <c r="R424" i="32"/>
  <c r="T424" i="32" s="1"/>
  <c r="R432" i="32"/>
  <c r="T432" i="32" s="1"/>
  <c r="R440" i="32"/>
  <c r="T440" i="32" s="1"/>
  <c r="R448" i="32"/>
  <c r="T448" i="32" s="1"/>
  <c r="R45" i="32"/>
  <c r="T45" i="32" s="1"/>
  <c r="R77" i="32"/>
  <c r="T77" i="32" s="1"/>
  <c r="R157" i="32"/>
  <c r="T157" i="32" s="1"/>
  <c r="R160" i="32"/>
  <c r="T160" i="32" s="1"/>
  <c r="R163" i="32"/>
  <c r="T163" i="32" s="1"/>
  <c r="R169" i="32"/>
  <c r="T169" i="32" s="1"/>
  <c r="R189" i="32"/>
  <c r="T189" i="32" s="1"/>
  <c r="R192" i="32"/>
  <c r="T192" i="32" s="1"/>
  <c r="R195" i="32"/>
  <c r="T195" i="32" s="1"/>
  <c r="R201" i="32"/>
  <c r="T201" i="32" s="1"/>
  <c r="R221" i="32"/>
  <c r="T221" i="32" s="1"/>
  <c r="R224" i="32"/>
  <c r="T224" i="32" s="1"/>
  <c r="R227" i="32"/>
  <c r="T227" i="32" s="1"/>
  <c r="R233" i="32"/>
  <c r="T233" i="32" s="1"/>
  <c r="R253" i="32"/>
  <c r="T253" i="32" s="1"/>
  <c r="R256" i="32"/>
  <c r="T256" i="32" s="1"/>
  <c r="R259" i="32"/>
  <c r="T259" i="32" s="1"/>
  <c r="R265" i="32"/>
  <c r="T265" i="32" s="1"/>
  <c r="R285" i="32"/>
  <c r="T285" i="32" s="1"/>
  <c r="R288" i="32"/>
  <c r="T288" i="32" s="1"/>
  <c r="R291" i="32"/>
  <c r="T291" i="32" s="1"/>
  <c r="R297" i="32"/>
  <c r="T297" i="32" s="1"/>
  <c r="R317" i="32"/>
  <c r="T317" i="32" s="1"/>
  <c r="R320" i="32"/>
  <c r="T320" i="32" s="1"/>
  <c r="R323" i="32"/>
  <c r="T323" i="32" s="1"/>
  <c r="R329" i="32"/>
  <c r="T329" i="32" s="1"/>
  <c r="R349" i="32"/>
  <c r="T349" i="32" s="1"/>
  <c r="R352" i="32"/>
  <c r="T352" i="32" s="1"/>
  <c r="R355" i="32"/>
  <c r="T355" i="32" s="1"/>
  <c r="R366" i="32"/>
  <c r="T366" i="32" s="1"/>
  <c r="R374" i="32"/>
  <c r="T374" i="32" s="1"/>
  <c r="R382" i="32"/>
  <c r="T382" i="32" s="1"/>
  <c r="R390" i="32"/>
  <c r="T390" i="32" s="1"/>
  <c r="R398" i="32"/>
  <c r="T398" i="32" s="1"/>
  <c r="R406" i="32"/>
  <c r="T406" i="32" s="1"/>
  <c r="R414" i="32"/>
  <c r="T414" i="32" s="1"/>
  <c r="R422" i="32"/>
  <c r="T422" i="32" s="1"/>
  <c r="R430" i="32"/>
  <c r="T430" i="32" s="1"/>
  <c r="R438" i="32"/>
  <c r="T438" i="32" s="1"/>
  <c r="R96" i="32"/>
  <c r="T96" i="32" s="1"/>
  <c r="R101" i="32"/>
  <c r="T101" i="32" s="1"/>
  <c r="R124" i="32"/>
  <c r="T124" i="32" s="1"/>
  <c r="R128" i="32"/>
  <c r="T128" i="32" s="1"/>
  <c r="R133" i="32"/>
  <c r="T133" i="32" s="1"/>
  <c r="R146" i="32"/>
  <c r="T146" i="32" s="1"/>
  <c r="R172" i="32"/>
  <c r="T172" i="32" s="1"/>
  <c r="R175" i="32"/>
  <c r="T175" i="32" s="1"/>
  <c r="R178" i="32"/>
  <c r="T178" i="32" s="1"/>
  <c r="R204" i="32"/>
  <c r="T204" i="32" s="1"/>
  <c r="R207" i="32"/>
  <c r="T207" i="32" s="1"/>
  <c r="R210" i="32"/>
  <c r="T210" i="32" s="1"/>
  <c r="R53" i="32"/>
  <c r="T53" i="32" s="1"/>
  <c r="R141" i="32"/>
  <c r="T141" i="32" s="1"/>
  <c r="R151" i="32"/>
  <c r="T151" i="32" s="1"/>
  <c r="R199" i="32"/>
  <c r="T199" i="32" s="1"/>
  <c r="R215" i="32"/>
  <c r="T215" i="32" s="1"/>
  <c r="R247" i="32"/>
  <c r="T247" i="32" s="1"/>
  <c r="R274" i="32"/>
  <c r="T274" i="32" s="1"/>
  <c r="R282" i="32"/>
  <c r="T282" i="32" s="1"/>
  <c r="R295" i="32"/>
  <c r="T295" i="32" s="1"/>
  <c r="R300" i="32"/>
  <c r="T300" i="32" s="1"/>
  <c r="R340" i="32"/>
  <c r="T340" i="32" s="1"/>
  <c r="R429" i="32"/>
  <c r="T429" i="32" s="1"/>
  <c r="R436" i="32"/>
  <c r="T436" i="32" s="1"/>
  <c r="R455" i="32"/>
  <c r="T455" i="32" s="1"/>
  <c r="R463" i="32"/>
  <c r="T463" i="32" s="1"/>
  <c r="R471" i="32"/>
  <c r="T471" i="32" s="1"/>
  <c r="R479" i="32"/>
  <c r="T479" i="32" s="1"/>
  <c r="R487" i="32"/>
  <c r="T487" i="32" s="1"/>
  <c r="R495" i="32"/>
  <c r="T495" i="32" s="1"/>
  <c r="R503" i="32"/>
  <c r="T503" i="32" s="1"/>
  <c r="R511" i="32"/>
  <c r="T511" i="32" s="1"/>
  <c r="R519" i="32"/>
  <c r="T519" i="32" s="1"/>
  <c r="R527" i="32"/>
  <c r="T527" i="32" s="1"/>
  <c r="R535" i="32"/>
  <c r="T535" i="32" s="1"/>
  <c r="R543" i="32"/>
  <c r="T543" i="32" s="1"/>
  <c r="R551" i="32"/>
  <c r="T551" i="32" s="1"/>
  <c r="R559" i="32"/>
  <c r="T559" i="32" s="1"/>
  <c r="R567" i="32"/>
  <c r="T567" i="32" s="1"/>
  <c r="R575" i="32"/>
  <c r="T575" i="32" s="1"/>
  <c r="R583" i="32"/>
  <c r="T583" i="32" s="1"/>
  <c r="R591" i="32"/>
  <c r="T591" i="32" s="1"/>
  <c r="R599" i="32"/>
  <c r="T599" i="32" s="1"/>
  <c r="R607" i="32"/>
  <c r="T607" i="32" s="1"/>
  <c r="R615" i="32"/>
  <c r="T615" i="32" s="1"/>
  <c r="R623" i="32"/>
  <c r="T623" i="32" s="1"/>
  <c r="R136" i="32"/>
  <c r="T136" i="32" s="1"/>
  <c r="R161" i="32"/>
  <c r="T161" i="32" s="1"/>
  <c r="R170" i="32"/>
  <c r="T170" i="32" s="1"/>
  <c r="R181" i="32"/>
  <c r="T181" i="32" s="1"/>
  <c r="R186" i="32"/>
  <c r="T186" i="32" s="1"/>
  <c r="R225" i="32"/>
  <c r="T225" i="32" s="1"/>
  <c r="R234" i="32"/>
  <c r="T234" i="32" s="1"/>
  <c r="R239" i="32"/>
  <c r="T239" i="32" s="1"/>
  <c r="R251" i="32"/>
  <c r="T251" i="32" s="1"/>
  <c r="R260" i="32"/>
  <c r="T260" i="32" s="1"/>
  <c r="R309" i="32"/>
  <c r="T309" i="32" s="1"/>
  <c r="R344" i="32"/>
  <c r="T344" i="32" s="1"/>
  <c r="R353" i="32"/>
  <c r="T353" i="32" s="1"/>
  <c r="R433" i="32"/>
  <c r="T433" i="32" s="1"/>
  <c r="R458" i="32"/>
  <c r="T458" i="32" s="1"/>
  <c r="R466" i="32"/>
  <c r="T466" i="32" s="1"/>
  <c r="R474" i="32"/>
  <c r="T474" i="32" s="1"/>
  <c r="R482" i="32"/>
  <c r="T482" i="32" s="1"/>
  <c r="R490" i="32"/>
  <c r="T490" i="32" s="1"/>
  <c r="R498" i="32"/>
  <c r="T498" i="32" s="1"/>
  <c r="R506" i="32"/>
  <c r="T506" i="32" s="1"/>
  <c r="R514" i="32"/>
  <c r="T514" i="32" s="1"/>
  <c r="R522" i="32"/>
  <c r="T522" i="32" s="1"/>
  <c r="R530" i="32"/>
  <c r="T530" i="32" s="1"/>
  <c r="R538" i="32"/>
  <c r="T538" i="32" s="1"/>
  <c r="R546" i="32"/>
  <c r="T546" i="32" s="1"/>
  <c r="R554" i="32"/>
  <c r="T554" i="32" s="1"/>
  <c r="R562" i="32"/>
  <c r="T562" i="32" s="1"/>
  <c r="R570" i="32"/>
  <c r="T570" i="32" s="1"/>
  <c r="R578" i="32"/>
  <c r="T578" i="32" s="1"/>
  <c r="R586" i="32"/>
  <c r="T586" i="32" s="1"/>
  <c r="R594" i="32"/>
  <c r="T594" i="32" s="1"/>
  <c r="R602" i="32"/>
  <c r="T602" i="32" s="1"/>
  <c r="R610" i="32"/>
  <c r="T610" i="32" s="1"/>
  <c r="R618" i="32"/>
  <c r="T618" i="32" s="1"/>
  <c r="R626" i="32"/>
  <c r="T626" i="32" s="1"/>
  <c r="R634" i="32"/>
  <c r="T634" i="32" s="1"/>
  <c r="R642" i="32"/>
  <c r="T642" i="32" s="1"/>
  <c r="R85" i="32"/>
  <c r="T85" i="32" s="1"/>
  <c r="R100" i="32"/>
  <c r="T100" i="32" s="1"/>
  <c r="R152" i="32"/>
  <c r="T152" i="32" s="1"/>
  <c r="R216" i="32"/>
  <c r="T216" i="32" s="1"/>
  <c r="R244" i="32"/>
  <c r="T244" i="32" s="1"/>
  <c r="R279" i="32"/>
  <c r="T279" i="32" s="1"/>
  <c r="R306" i="32"/>
  <c r="T306" i="32" s="1"/>
  <c r="R314" i="32"/>
  <c r="T314" i="32" s="1"/>
  <c r="R327" i="32"/>
  <c r="T327" i="32" s="1"/>
  <c r="R332" i="32"/>
  <c r="T332" i="32" s="1"/>
  <c r="R437" i="32"/>
  <c r="T437" i="32" s="1"/>
  <c r="R444" i="32"/>
  <c r="T444" i="32" s="1"/>
  <c r="R447" i="32"/>
  <c r="T447" i="32" s="1"/>
  <c r="R450" i="32"/>
  <c r="T450" i="32" s="1"/>
  <c r="R453" i="32"/>
  <c r="T453" i="32" s="1"/>
  <c r="R461" i="32"/>
  <c r="T461" i="32" s="1"/>
  <c r="R469" i="32"/>
  <c r="T469" i="32" s="1"/>
  <c r="R477" i="32"/>
  <c r="T477" i="32" s="1"/>
  <c r="R485" i="32"/>
  <c r="T485" i="32" s="1"/>
  <c r="R493" i="32"/>
  <c r="T493" i="32" s="1"/>
  <c r="R501" i="32"/>
  <c r="T501" i="32" s="1"/>
  <c r="R509" i="32"/>
  <c r="T509" i="32" s="1"/>
  <c r="R517" i="32"/>
  <c r="T517" i="32" s="1"/>
  <c r="R525" i="32"/>
  <c r="T525" i="32" s="1"/>
  <c r="R533" i="32"/>
  <c r="T533" i="32" s="1"/>
  <c r="R541" i="32"/>
  <c r="T541" i="32" s="1"/>
  <c r="R549" i="32"/>
  <c r="T549" i="32" s="1"/>
  <c r="R557" i="32"/>
  <c r="T557" i="32" s="1"/>
  <c r="R565" i="32"/>
  <c r="T565" i="32" s="1"/>
  <c r="R573" i="32"/>
  <c r="T573" i="32" s="1"/>
  <c r="R581" i="32"/>
  <c r="T581" i="32" s="1"/>
  <c r="R589" i="32"/>
  <c r="T589" i="32" s="1"/>
  <c r="R597" i="32"/>
  <c r="T597" i="32" s="1"/>
  <c r="R605" i="32"/>
  <c r="T605" i="32" s="1"/>
  <c r="R613" i="32"/>
  <c r="T613" i="32" s="1"/>
  <c r="R621" i="32"/>
  <c r="T621" i="32" s="1"/>
  <c r="R148" i="32"/>
  <c r="T148" i="32" s="1"/>
  <c r="R125" i="32"/>
  <c r="T125" i="32" s="1"/>
  <c r="R132" i="32"/>
  <c r="T132" i="32" s="1"/>
  <c r="R167" i="32"/>
  <c r="T167" i="32" s="1"/>
  <c r="R183" i="32"/>
  <c r="T183" i="32" s="1"/>
  <c r="R231" i="32"/>
  <c r="T231" i="32" s="1"/>
  <c r="R236" i="32"/>
  <c r="T236" i="32" s="1"/>
  <c r="R276" i="32"/>
  <c r="T276" i="32" s="1"/>
  <c r="R311" i="32"/>
  <c r="T311" i="32" s="1"/>
  <c r="R338" i="32"/>
  <c r="T338" i="32" s="1"/>
  <c r="R346" i="32"/>
  <c r="T346" i="32" s="1"/>
  <c r="R359" i="32"/>
  <c r="T359" i="32" s="1"/>
  <c r="R367" i="32"/>
  <c r="T367" i="32" s="1"/>
  <c r="R375" i="32"/>
  <c r="T375" i="32" s="1"/>
  <c r="R383" i="32"/>
  <c r="T383" i="32" s="1"/>
  <c r="R391" i="32"/>
  <c r="T391" i="32" s="1"/>
  <c r="R399" i="32"/>
  <c r="T399" i="32" s="1"/>
  <c r="R407" i="32"/>
  <c r="T407" i="32" s="1"/>
  <c r="R415" i="32"/>
  <c r="T415" i="32" s="1"/>
  <c r="R423" i="32"/>
  <c r="T423" i="32" s="1"/>
  <c r="R445" i="32"/>
  <c r="T445" i="32" s="1"/>
  <c r="R451" i="32"/>
  <c r="T451" i="32" s="1"/>
  <c r="R459" i="32"/>
  <c r="T459" i="32" s="1"/>
  <c r="R467" i="32"/>
  <c r="T467" i="32" s="1"/>
  <c r="R475" i="32"/>
  <c r="T475" i="32" s="1"/>
  <c r="R483" i="32"/>
  <c r="T483" i="32" s="1"/>
  <c r="R491" i="32"/>
  <c r="T491" i="32" s="1"/>
  <c r="R499" i="32"/>
  <c r="T499" i="32" s="1"/>
  <c r="R507" i="32"/>
  <c r="T507" i="32" s="1"/>
  <c r="R515" i="32"/>
  <c r="T515" i="32" s="1"/>
  <c r="R523" i="32"/>
  <c r="T523" i="32" s="1"/>
  <c r="R531" i="32"/>
  <c r="T531" i="32" s="1"/>
  <c r="R539" i="32"/>
  <c r="T539" i="32" s="1"/>
  <c r="R547" i="32"/>
  <c r="T547" i="32" s="1"/>
  <c r="R555" i="32"/>
  <c r="T555" i="32" s="1"/>
  <c r="R563" i="32"/>
  <c r="T563" i="32" s="1"/>
  <c r="R571" i="32"/>
  <c r="T571" i="32" s="1"/>
  <c r="R579" i="32"/>
  <c r="T579" i="32" s="1"/>
  <c r="R587" i="32"/>
  <c r="T587" i="32" s="1"/>
  <c r="R595" i="32"/>
  <c r="T595" i="32" s="1"/>
  <c r="R603" i="32"/>
  <c r="T603" i="32" s="1"/>
  <c r="R611" i="32"/>
  <c r="T611" i="32" s="1"/>
  <c r="R619" i="32"/>
  <c r="T619" i="32" s="1"/>
  <c r="R627" i="32"/>
  <c r="T627" i="32" s="1"/>
  <c r="R120" i="32"/>
  <c r="T120" i="32" s="1"/>
  <c r="R149" i="32"/>
  <c r="T149" i="32" s="1"/>
  <c r="R154" i="32"/>
  <c r="T154" i="32" s="1"/>
  <c r="R193" i="32"/>
  <c r="T193" i="32" s="1"/>
  <c r="R202" i="32"/>
  <c r="T202" i="32" s="1"/>
  <c r="R213" i="32"/>
  <c r="T213" i="32" s="1"/>
  <c r="R218" i="32"/>
  <c r="T218" i="32" s="1"/>
  <c r="R245" i="32"/>
  <c r="T245" i="32" s="1"/>
  <c r="R280" i="32"/>
  <c r="T280" i="32" s="1"/>
  <c r="R289" i="32"/>
  <c r="T289" i="32" s="1"/>
  <c r="R298" i="32"/>
  <c r="T298" i="32" s="1"/>
  <c r="R303" i="32"/>
  <c r="T303" i="32" s="1"/>
  <c r="R315" i="32"/>
  <c r="T315" i="32" s="1"/>
  <c r="R324" i="32"/>
  <c r="T324" i="32" s="1"/>
  <c r="R431" i="32"/>
  <c r="T431" i="32" s="1"/>
  <c r="R435" i="32"/>
  <c r="T435" i="32" s="1"/>
  <c r="R454" i="32"/>
  <c r="T454" i="32" s="1"/>
  <c r="R462" i="32"/>
  <c r="T462" i="32" s="1"/>
  <c r="R470" i="32"/>
  <c r="T470" i="32" s="1"/>
  <c r="R478" i="32"/>
  <c r="T478" i="32" s="1"/>
  <c r="R486" i="32"/>
  <c r="T486" i="32" s="1"/>
  <c r="R494" i="32"/>
  <c r="T494" i="32" s="1"/>
  <c r="R502" i="32"/>
  <c r="T502" i="32" s="1"/>
  <c r="R510" i="32"/>
  <c r="T510" i="32" s="1"/>
  <c r="R518" i="32"/>
  <c r="T518" i="32" s="1"/>
  <c r="R526" i="32"/>
  <c r="T526" i="32" s="1"/>
  <c r="R534" i="32"/>
  <c r="T534" i="32" s="1"/>
  <c r="R542" i="32"/>
  <c r="T542" i="32" s="1"/>
  <c r="R550" i="32"/>
  <c r="T550" i="32" s="1"/>
  <c r="R558" i="32"/>
  <c r="T558" i="32" s="1"/>
  <c r="R566" i="32"/>
  <c r="T566" i="32" s="1"/>
  <c r="R574" i="32"/>
  <c r="T574" i="32" s="1"/>
  <c r="R582" i="32"/>
  <c r="T582" i="32" s="1"/>
  <c r="R590" i="32"/>
  <c r="T590" i="32" s="1"/>
  <c r="R598" i="32"/>
  <c r="T598" i="32" s="1"/>
  <c r="R606" i="32"/>
  <c r="T606" i="32" s="1"/>
  <c r="R614" i="32"/>
  <c r="T614" i="32" s="1"/>
  <c r="R180" i="32"/>
  <c r="T180" i="32" s="1"/>
  <c r="R257" i="32"/>
  <c r="T257" i="32" s="1"/>
  <c r="R263" i="32"/>
  <c r="T263" i="32" s="1"/>
  <c r="R109" i="32"/>
  <c r="T109" i="32" s="1"/>
  <c r="R116" i="32"/>
  <c r="T116" i="32" s="1"/>
  <c r="R187" i="32"/>
  <c r="T187" i="32" s="1"/>
  <c r="R308" i="32"/>
  <c r="T308" i="32" s="1"/>
  <c r="R321" i="32"/>
  <c r="T321" i="32" s="1"/>
  <c r="R363" i="32"/>
  <c r="T363" i="32" s="1"/>
  <c r="R379" i="32"/>
  <c r="T379" i="32" s="1"/>
  <c r="R395" i="32"/>
  <c r="T395" i="32" s="1"/>
  <c r="R411" i="32"/>
  <c r="T411" i="32" s="1"/>
  <c r="R427" i="32"/>
  <c r="T427" i="32" s="1"/>
  <c r="R443" i="32"/>
  <c r="T443" i="32" s="1"/>
  <c r="R622" i="32"/>
  <c r="T622" i="32" s="1"/>
  <c r="R632" i="32"/>
  <c r="T632" i="32" s="1"/>
  <c r="R635" i="32"/>
  <c r="T635" i="32" s="1"/>
  <c r="R638" i="32"/>
  <c r="T638" i="32" s="1"/>
  <c r="R652" i="32"/>
  <c r="T652" i="32" s="1"/>
  <c r="R660" i="32"/>
  <c r="T660" i="32" s="1"/>
  <c r="R668" i="32"/>
  <c r="T668" i="32" s="1"/>
  <c r="R676" i="32"/>
  <c r="T676" i="32" s="1"/>
  <c r="R684" i="32"/>
  <c r="T684" i="32" s="1"/>
  <c r="R692" i="32"/>
  <c r="T692" i="32" s="1"/>
  <c r="R700" i="32"/>
  <c r="T700" i="32" s="1"/>
  <c r="R708" i="32"/>
  <c r="T708" i="32" s="1"/>
  <c r="R716" i="32"/>
  <c r="T716" i="32" s="1"/>
  <c r="R724" i="32"/>
  <c r="T724" i="32" s="1"/>
  <c r="R732" i="32"/>
  <c r="T732" i="32" s="1"/>
  <c r="R740" i="32"/>
  <c r="T740" i="32" s="1"/>
  <c r="R748" i="32"/>
  <c r="T748" i="32" s="1"/>
  <c r="R756" i="32"/>
  <c r="T756" i="32" s="1"/>
  <c r="R764" i="32"/>
  <c r="T764" i="32" s="1"/>
  <c r="R772" i="32"/>
  <c r="T772" i="32" s="1"/>
  <c r="R780" i="32"/>
  <c r="T780" i="32" s="1"/>
  <c r="R788" i="32"/>
  <c r="T788" i="32" s="1"/>
  <c r="R155" i="32"/>
  <c r="T155" i="32" s="1"/>
  <c r="R283" i="32"/>
  <c r="T283" i="32" s="1"/>
  <c r="R335" i="32"/>
  <c r="T335" i="32" s="1"/>
  <c r="R341" i="32"/>
  <c r="T341" i="32" s="1"/>
  <c r="R369" i="32"/>
  <c r="T369" i="32" s="1"/>
  <c r="R385" i="32"/>
  <c r="T385" i="32" s="1"/>
  <c r="R401" i="32"/>
  <c r="T401" i="32" s="1"/>
  <c r="R417" i="32"/>
  <c r="T417" i="32" s="1"/>
  <c r="R472" i="32"/>
  <c r="T472" i="32" s="1"/>
  <c r="R476" i="32"/>
  <c r="T476" i="32" s="1"/>
  <c r="R481" i="32"/>
  <c r="T481" i="32" s="1"/>
  <c r="R504" i="32"/>
  <c r="T504" i="32" s="1"/>
  <c r="R508" i="32"/>
  <c r="T508" i="32" s="1"/>
  <c r="R513" i="32"/>
  <c r="T513" i="32" s="1"/>
  <c r="R536" i="32"/>
  <c r="T536" i="32" s="1"/>
  <c r="R540" i="32"/>
  <c r="T540" i="32" s="1"/>
  <c r="R545" i="32"/>
  <c r="T545" i="32" s="1"/>
  <c r="R568" i="32"/>
  <c r="T568" i="32" s="1"/>
  <c r="R572" i="32"/>
  <c r="T572" i="32" s="1"/>
  <c r="R577" i="32"/>
  <c r="T577" i="32" s="1"/>
  <c r="R600" i="32"/>
  <c r="T600" i="32" s="1"/>
  <c r="R604" i="32"/>
  <c r="T604" i="32" s="1"/>
  <c r="R609" i="32"/>
  <c r="T609" i="32" s="1"/>
  <c r="R641" i="32"/>
  <c r="T641" i="32" s="1"/>
  <c r="R644" i="32"/>
  <c r="T644" i="32" s="1"/>
  <c r="R647" i="32"/>
  <c r="T647" i="32" s="1"/>
  <c r="R655" i="32"/>
  <c r="T655" i="32" s="1"/>
  <c r="R663" i="32"/>
  <c r="T663" i="32" s="1"/>
  <c r="R671" i="32"/>
  <c r="T671" i="32" s="1"/>
  <c r="R679" i="32"/>
  <c r="T679" i="32" s="1"/>
  <c r="R687" i="32"/>
  <c r="T687" i="32" s="1"/>
  <c r="R695" i="32"/>
  <c r="T695" i="32" s="1"/>
  <c r="R703" i="32"/>
  <c r="T703" i="32" s="1"/>
  <c r="R711" i="32"/>
  <c r="T711" i="32" s="1"/>
  <c r="R719" i="32"/>
  <c r="T719" i="32" s="1"/>
  <c r="R727" i="32"/>
  <c r="T727" i="32" s="1"/>
  <c r="R735" i="32"/>
  <c r="T735" i="32" s="1"/>
  <c r="R743" i="32"/>
  <c r="T743" i="32" s="1"/>
  <c r="R751" i="32"/>
  <c r="T751" i="32" s="1"/>
  <c r="R759" i="32"/>
  <c r="T759" i="32" s="1"/>
  <c r="R767" i="32"/>
  <c r="T767" i="32" s="1"/>
  <c r="R775" i="32"/>
  <c r="T775" i="32" s="1"/>
  <c r="R783" i="32"/>
  <c r="T783" i="32" s="1"/>
  <c r="R791" i="32"/>
  <c r="T791" i="32" s="1"/>
  <c r="R799" i="32"/>
  <c r="T799" i="32" s="1"/>
  <c r="R807" i="32"/>
  <c r="T807" i="32" s="1"/>
  <c r="R815" i="32"/>
  <c r="T815" i="32" s="1"/>
  <c r="R823" i="32"/>
  <c r="T823" i="32" s="1"/>
  <c r="R104" i="32"/>
  <c r="T104" i="32" s="1"/>
  <c r="R228" i="32"/>
  <c r="T228" i="32" s="1"/>
  <c r="R271" i="32"/>
  <c r="T271" i="32" s="1"/>
  <c r="R277" i="32"/>
  <c r="T277" i="32" s="1"/>
  <c r="R347" i="32"/>
  <c r="T347" i="32" s="1"/>
  <c r="R364" i="32"/>
  <c r="T364" i="32" s="1"/>
  <c r="R380" i="32"/>
  <c r="T380" i="32" s="1"/>
  <c r="R396" i="32"/>
  <c r="T396" i="32" s="1"/>
  <c r="R412" i="32"/>
  <c r="T412" i="32" s="1"/>
  <c r="R428" i="32"/>
  <c r="T428" i="32" s="1"/>
  <c r="R439" i="32"/>
  <c r="T439" i="32" s="1"/>
  <c r="R449" i="32"/>
  <c r="T449" i="32" s="1"/>
  <c r="R630" i="32"/>
  <c r="T630" i="32" s="1"/>
  <c r="R650" i="32"/>
  <c r="T650" i="32" s="1"/>
  <c r="R658" i="32"/>
  <c r="T658" i="32" s="1"/>
  <c r="R666" i="32"/>
  <c r="T666" i="32" s="1"/>
  <c r="R674" i="32"/>
  <c r="T674" i="32" s="1"/>
  <c r="R682" i="32"/>
  <c r="T682" i="32" s="1"/>
  <c r="R690" i="32"/>
  <c r="T690" i="32" s="1"/>
  <c r="R698" i="32"/>
  <c r="T698" i="32" s="1"/>
  <c r="R706" i="32"/>
  <c r="T706" i="32" s="1"/>
  <c r="R714" i="32"/>
  <c r="T714" i="32" s="1"/>
  <c r="R722" i="32"/>
  <c r="T722" i="32" s="1"/>
  <c r="R730" i="32"/>
  <c r="T730" i="32" s="1"/>
  <c r="R738" i="32"/>
  <c r="T738" i="32" s="1"/>
  <c r="R746" i="32"/>
  <c r="T746" i="32" s="1"/>
  <c r="R754" i="32"/>
  <c r="T754" i="32" s="1"/>
  <c r="R762" i="32"/>
  <c r="T762" i="32" s="1"/>
  <c r="R770" i="32"/>
  <c r="T770" i="32" s="1"/>
  <c r="R778" i="32"/>
  <c r="T778" i="32" s="1"/>
  <c r="R786" i="32"/>
  <c r="T786" i="32" s="1"/>
  <c r="R794" i="32"/>
  <c r="T794" i="32" s="1"/>
  <c r="R802" i="32"/>
  <c r="T802" i="32" s="1"/>
  <c r="R810" i="32"/>
  <c r="T810" i="32" s="1"/>
  <c r="R248" i="32"/>
  <c r="T248" i="32" s="1"/>
  <c r="R266" i="32"/>
  <c r="T266" i="32" s="1"/>
  <c r="R330" i="32"/>
  <c r="T330" i="32" s="1"/>
  <c r="R164" i="32"/>
  <c r="T164" i="32" s="1"/>
  <c r="R292" i="32"/>
  <c r="T292" i="32" s="1"/>
  <c r="R361" i="32"/>
  <c r="T361" i="32" s="1"/>
  <c r="R377" i="32"/>
  <c r="T377" i="32" s="1"/>
  <c r="R393" i="32"/>
  <c r="T393" i="32" s="1"/>
  <c r="R409" i="32"/>
  <c r="T409" i="32" s="1"/>
  <c r="R425" i="32"/>
  <c r="T425" i="32" s="1"/>
  <c r="R441" i="32"/>
  <c r="T441" i="32" s="1"/>
  <c r="R446" i="32"/>
  <c r="T446" i="32" s="1"/>
  <c r="R456" i="32"/>
  <c r="T456" i="32" s="1"/>
  <c r="R460" i="32"/>
  <c r="T460" i="32" s="1"/>
  <c r="R465" i="32"/>
  <c r="T465" i="32" s="1"/>
  <c r="R488" i="32"/>
  <c r="T488" i="32" s="1"/>
  <c r="R492" i="32"/>
  <c r="T492" i="32" s="1"/>
  <c r="R497" i="32"/>
  <c r="T497" i="32" s="1"/>
  <c r="R520" i="32"/>
  <c r="T520" i="32" s="1"/>
  <c r="R524" i="32"/>
  <c r="T524" i="32" s="1"/>
  <c r="R529" i="32"/>
  <c r="T529" i="32" s="1"/>
  <c r="R552" i="32"/>
  <c r="T552" i="32" s="1"/>
  <c r="R556" i="32"/>
  <c r="T556" i="32" s="1"/>
  <c r="R561" i="32"/>
  <c r="T561" i="32" s="1"/>
  <c r="R584" i="32"/>
  <c r="T584" i="32" s="1"/>
  <c r="R588" i="32"/>
  <c r="T588" i="32" s="1"/>
  <c r="R593" i="32"/>
  <c r="T593" i="32" s="1"/>
  <c r="R616" i="32"/>
  <c r="T616" i="32" s="1"/>
  <c r="R620" i="32"/>
  <c r="T620" i="32" s="1"/>
  <c r="R628" i="32"/>
  <c r="T628" i="32" s="1"/>
  <c r="R631" i="32"/>
  <c r="T631" i="32" s="1"/>
  <c r="R637" i="32"/>
  <c r="T637" i="32" s="1"/>
  <c r="R651" i="32"/>
  <c r="T651" i="32" s="1"/>
  <c r="R659" i="32"/>
  <c r="T659" i="32" s="1"/>
  <c r="R667" i="32"/>
  <c r="T667" i="32" s="1"/>
  <c r="R675" i="32"/>
  <c r="T675" i="32" s="1"/>
  <c r="R683" i="32"/>
  <c r="T683" i="32" s="1"/>
  <c r="R691" i="32"/>
  <c r="T691" i="32" s="1"/>
  <c r="R699" i="32"/>
  <c r="T699" i="32" s="1"/>
  <c r="R707" i="32"/>
  <c r="T707" i="32" s="1"/>
  <c r="R715" i="32"/>
  <c r="T715" i="32" s="1"/>
  <c r="R723" i="32"/>
  <c r="T723" i="32" s="1"/>
  <c r="R731" i="32"/>
  <c r="T731" i="32" s="1"/>
  <c r="R739" i="32"/>
  <c r="T739" i="32" s="1"/>
  <c r="R747" i="32"/>
  <c r="T747" i="32" s="1"/>
  <c r="R755" i="32"/>
  <c r="T755" i="32" s="1"/>
  <c r="R763" i="32"/>
  <c r="T763" i="32" s="1"/>
  <c r="R771" i="32"/>
  <c r="T771" i="32" s="1"/>
  <c r="R779" i="32"/>
  <c r="T779" i="32" s="1"/>
  <c r="R787" i="32"/>
  <c r="T787" i="32" s="1"/>
  <c r="R795" i="32"/>
  <c r="T795" i="32" s="1"/>
  <c r="R803" i="32"/>
  <c r="T803" i="32" s="1"/>
  <c r="R811" i="32"/>
  <c r="T811" i="32" s="1"/>
  <c r="R819" i="32"/>
  <c r="T819" i="32" s="1"/>
  <c r="R21" i="32"/>
  <c r="T21" i="32" s="1"/>
  <c r="R268" i="32"/>
  <c r="T268" i="32" s="1"/>
  <c r="R372" i="32"/>
  <c r="T372" i="32" s="1"/>
  <c r="R196" i="32"/>
  <c r="T196" i="32" s="1"/>
  <c r="R387" i="32"/>
  <c r="T387" i="32" s="1"/>
  <c r="R420" i="32"/>
  <c r="T420" i="32" s="1"/>
  <c r="R473" i="32"/>
  <c r="T473" i="32" s="1"/>
  <c r="R484" i="32"/>
  <c r="T484" i="32" s="1"/>
  <c r="R496" i="32"/>
  <c r="T496" i="32" s="1"/>
  <c r="R537" i="32"/>
  <c r="T537" i="32" s="1"/>
  <c r="R548" i="32"/>
  <c r="T548" i="32" s="1"/>
  <c r="R560" i="32"/>
  <c r="T560" i="32" s="1"/>
  <c r="R601" i="32"/>
  <c r="T601" i="32" s="1"/>
  <c r="R612" i="32"/>
  <c r="T612" i="32" s="1"/>
  <c r="R624" i="32"/>
  <c r="T624" i="32" s="1"/>
  <c r="R633" i="32"/>
  <c r="T633" i="32" s="1"/>
  <c r="R816" i="32"/>
  <c r="T816" i="32" s="1"/>
  <c r="R822" i="32"/>
  <c r="T822" i="32" s="1"/>
  <c r="R825" i="32"/>
  <c r="T825" i="32" s="1"/>
  <c r="R833" i="32"/>
  <c r="T833" i="32" s="1"/>
  <c r="R841" i="32"/>
  <c r="T841" i="32" s="1"/>
  <c r="R849" i="32"/>
  <c r="T849" i="32" s="1"/>
  <c r="R857" i="32"/>
  <c r="T857" i="32" s="1"/>
  <c r="R865" i="32"/>
  <c r="T865" i="32" s="1"/>
  <c r="R873" i="32"/>
  <c r="T873" i="32" s="1"/>
  <c r="R881" i="32"/>
  <c r="T881" i="32" s="1"/>
  <c r="R889" i="32"/>
  <c r="T889" i="32" s="1"/>
  <c r="R897" i="32"/>
  <c r="T897" i="32" s="1"/>
  <c r="R905" i="32"/>
  <c r="T905" i="32" s="1"/>
  <c r="R913" i="32"/>
  <c r="T913" i="32" s="1"/>
  <c r="R921" i="32"/>
  <c r="T921" i="32" s="1"/>
  <c r="R929" i="32"/>
  <c r="T929" i="32" s="1"/>
  <c r="R937" i="32"/>
  <c r="T937" i="32" s="1"/>
  <c r="R945" i="32"/>
  <c r="T945" i="32" s="1"/>
  <c r="R953" i="32"/>
  <c r="T953" i="32" s="1"/>
  <c r="R961" i="32"/>
  <c r="T961" i="32" s="1"/>
  <c r="R969" i="32"/>
  <c r="T969" i="32" s="1"/>
  <c r="R977" i="32"/>
  <c r="T977" i="32" s="1"/>
  <c r="R985" i="32"/>
  <c r="T985" i="32" s="1"/>
  <c r="R212" i="32"/>
  <c r="T212" i="32" s="1"/>
  <c r="R219" i="32"/>
  <c r="T219" i="32" s="1"/>
  <c r="R468" i="32"/>
  <c r="T468" i="32" s="1"/>
  <c r="R480" i="32"/>
  <c r="T480" i="32" s="1"/>
  <c r="R532" i="32"/>
  <c r="T532" i="32" s="1"/>
  <c r="R544" i="32"/>
  <c r="T544" i="32" s="1"/>
  <c r="R596" i="32"/>
  <c r="T596" i="32" s="1"/>
  <c r="R608" i="32"/>
  <c r="T608" i="32" s="1"/>
  <c r="R629" i="32"/>
  <c r="T629" i="32" s="1"/>
  <c r="R643" i="32"/>
  <c r="T643" i="32" s="1"/>
  <c r="R806" i="32"/>
  <c r="T806" i="32" s="1"/>
  <c r="R809" i="32"/>
  <c r="T809" i="32" s="1"/>
  <c r="R813" i="32"/>
  <c r="T813" i="32" s="1"/>
  <c r="R828" i="32"/>
  <c r="T828" i="32" s="1"/>
  <c r="R836" i="32"/>
  <c r="T836" i="32" s="1"/>
  <c r="R844" i="32"/>
  <c r="T844" i="32" s="1"/>
  <c r="R852" i="32"/>
  <c r="T852" i="32" s="1"/>
  <c r="R860" i="32"/>
  <c r="T860" i="32" s="1"/>
  <c r="R868" i="32"/>
  <c r="T868" i="32" s="1"/>
  <c r="R388" i="32"/>
  <c r="T388" i="32" s="1"/>
  <c r="R639" i="32"/>
  <c r="T639" i="32" s="1"/>
  <c r="R648" i="32"/>
  <c r="T648" i="32" s="1"/>
  <c r="R656" i="32"/>
  <c r="T656" i="32" s="1"/>
  <c r="R664" i="32"/>
  <c r="T664" i="32" s="1"/>
  <c r="R672" i="32"/>
  <c r="T672" i="32" s="1"/>
  <c r="R680" i="32"/>
  <c r="T680" i="32" s="1"/>
  <c r="R688" i="32"/>
  <c r="T688" i="32" s="1"/>
  <c r="R696" i="32"/>
  <c r="T696" i="32" s="1"/>
  <c r="R704" i="32"/>
  <c r="T704" i="32" s="1"/>
  <c r="R712" i="32"/>
  <c r="T712" i="32" s="1"/>
  <c r="R720" i="32"/>
  <c r="T720" i="32" s="1"/>
  <c r="R728" i="32"/>
  <c r="T728" i="32" s="1"/>
  <c r="R736" i="32"/>
  <c r="T736" i="32" s="1"/>
  <c r="R744" i="32"/>
  <c r="T744" i="32" s="1"/>
  <c r="R752" i="32"/>
  <c r="T752" i="32" s="1"/>
  <c r="R760" i="32"/>
  <c r="T760" i="32" s="1"/>
  <c r="R768" i="32"/>
  <c r="T768" i="32" s="1"/>
  <c r="R776" i="32"/>
  <c r="T776" i="32" s="1"/>
  <c r="R784" i="32"/>
  <c r="T784" i="32" s="1"/>
  <c r="R792" i="32"/>
  <c r="T792" i="32" s="1"/>
  <c r="R820" i="32"/>
  <c r="T820" i="32" s="1"/>
  <c r="R831" i="32"/>
  <c r="T831" i="32" s="1"/>
  <c r="R839" i="32"/>
  <c r="T839" i="32" s="1"/>
  <c r="R847" i="32"/>
  <c r="T847" i="32" s="1"/>
  <c r="R855" i="32"/>
  <c r="T855" i="32" s="1"/>
  <c r="R863" i="32"/>
  <c r="T863" i="32" s="1"/>
  <c r="R871" i="32"/>
  <c r="T871" i="32" s="1"/>
  <c r="R879" i="32"/>
  <c r="T879" i="32" s="1"/>
  <c r="R887" i="32"/>
  <c r="T887" i="32" s="1"/>
  <c r="R895" i="32"/>
  <c r="T895" i="32" s="1"/>
  <c r="R903" i="32"/>
  <c r="T903" i="32" s="1"/>
  <c r="R911" i="32"/>
  <c r="T911" i="32" s="1"/>
  <c r="R919" i="32"/>
  <c r="T919" i="32" s="1"/>
  <c r="R927" i="32"/>
  <c r="T927" i="32" s="1"/>
  <c r="R935" i="32"/>
  <c r="T935" i="32" s="1"/>
  <c r="R943" i="32"/>
  <c r="T943" i="32" s="1"/>
  <c r="R951" i="32"/>
  <c r="T951" i="32" s="1"/>
  <c r="R959" i="32"/>
  <c r="T959" i="32" s="1"/>
  <c r="R967" i="32"/>
  <c r="T967" i="32" s="1"/>
  <c r="R975" i="32"/>
  <c r="T975" i="32" s="1"/>
  <c r="R983" i="32"/>
  <c r="T983" i="32" s="1"/>
  <c r="R145" i="32"/>
  <c r="T145" i="32" s="1"/>
  <c r="R184" i="32"/>
  <c r="T184" i="32" s="1"/>
  <c r="R242" i="32"/>
  <c r="T242" i="32" s="1"/>
  <c r="R403" i="32"/>
  <c r="T403" i="32" s="1"/>
  <c r="R457" i="32"/>
  <c r="T457" i="32" s="1"/>
  <c r="R521" i="32"/>
  <c r="T521" i="32" s="1"/>
  <c r="R585" i="32"/>
  <c r="T585" i="32" s="1"/>
  <c r="R625" i="32"/>
  <c r="T625" i="32" s="1"/>
  <c r="R796" i="32"/>
  <c r="T796" i="32" s="1"/>
  <c r="R814" i="32"/>
  <c r="T814" i="32" s="1"/>
  <c r="R817" i="32"/>
  <c r="T817" i="32" s="1"/>
  <c r="R826" i="32"/>
  <c r="T826" i="32" s="1"/>
  <c r="R834" i="32"/>
  <c r="T834" i="32" s="1"/>
  <c r="R842" i="32"/>
  <c r="T842" i="32" s="1"/>
  <c r="R850" i="32"/>
  <c r="T850" i="32" s="1"/>
  <c r="R858" i="32"/>
  <c r="T858" i="32" s="1"/>
  <c r="R866" i="32"/>
  <c r="T866" i="32" s="1"/>
  <c r="R874" i="32"/>
  <c r="T874" i="32" s="1"/>
  <c r="R882" i="32"/>
  <c r="T882" i="32" s="1"/>
  <c r="R890" i="32"/>
  <c r="T890" i="32" s="1"/>
  <c r="R898" i="32"/>
  <c r="T898" i="32" s="1"/>
  <c r="R906" i="32"/>
  <c r="T906" i="32" s="1"/>
  <c r="R914" i="32"/>
  <c r="T914" i="32" s="1"/>
  <c r="R922" i="32"/>
  <c r="T922" i="32" s="1"/>
  <c r="R930" i="32"/>
  <c r="T930" i="32" s="1"/>
  <c r="R938" i="32"/>
  <c r="T938" i="32" s="1"/>
  <c r="R946" i="32"/>
  <c r="T946" i="32" s="1"/>
  <c r="R954" i="32"/>
  <c r="T954" i="32" s="1"/>
  <c r="R962" i="32"/>
  <c r="T962" i="32" s="1"/>
  <c r="R970" i="32"/>
  <c r="T970" i="32" s="1"/>
  <c r="R978" i="32"/>
  <c r="T978" i="32" s="1"/>
  <c r="R986" i="32"/>
  <c r="T986" i="32" s="1"/>
  <c r="R994" i="32"/>
  <c r="T994" i="32" s="1"/>
  <c r="R1002" i="32"/>
  <c r="T1002" i="32" s="1"/>
  <c r="R1010" i="32"/>
  <c r="T1010" i="32" s="1"/>
  <c r="R250" i="32"/>
  <c r="T250" i="32" s="1"/>
  <c r="R356" i="32"/>
  <c r="T356" i="32" s="1"/>
  <c r="R452" i="32"/>
  <c r="T452" i="32" s="1"/>
  <c r="R464" i="32"/>
  <c r="T464" i="32" s="1"/>
  <c r="R505" i="32"/>
  <c r="T505" i="32" s="1"/>
  <c r="R516" i="32"/>
  <c r="T516" i="32" s="1"/>
  <c r="R528" i="32"/>
  <c r="T528" i="32" s="1"/>
  <c r="R569" i="32"/>
  <c r="T569" i="32" s="1"/>
  <c r="R580" i="32"/>
  <c r="T580" i="32" s="1"/>
  <c r="R592" i="32"/>
  <c r="T592" i="32" s="1"/>
  <c r="R640" i="32"/>
  <c r="T640" i="32" s="1"/>
  <c r="R645" i="32"/>
  <c r="T645" i="32" s="1"/>
  <c r="R653" i="32"/>
  <c r="T653" i="32" s="1"/>
  <c r="R661" i="32"/>
  <c r="T661" i="32" s="1"/>
  <c r="R669" i="32"/>
  <c r="T669" i="32" s="1"/>
  <c r="R677" i="32"/>
  <c r="T677" i="32" s="1"/>
  <c r="R685" i="32"/>
  <c r="T685" i="32" s="1"/>
  <c r="R693" i="32"/>
  <c r="T693" i="32" s="1"/>
  <c r="R701" i="32"/>
  <c r="T701" i="32" s="1"/>
  <c r="R709" i="32"/>
  <c r="T709" i="32" s="1"/>
  <c r="R717" i="32"/>
  <c r="T717" i="32" s="1"/>
  <c r="R725" i="32"/>
  <c r="T725" i="32" s="1"/>
  <c r="R733" i="32"/>
  <c r="T733" i="32" s="1"/>
  <c r="R741" i="32"/>
  <c r="T741" i="32" s="1"/>
  <c r="R749" i="32"/>
  <c r="T749" i="32" s="1"/>
  <c r="R757" i="32"/>
  <c r="T757" i="32" s="1"/>
  <c r="R765" i="32"/>
  <c r="T765" i="32" s="1"/>
  <c r="R773" i="32"/>
  <c r="T773" i="32" s="1"/>
  <c r="R781" i="32"/>
  <c r="T781" i="32" s="1"/>
  <c r="R789" i="32"/>
  <c r="T789" i="32" s="1"/>
  <c r="R800" i="32"/>
  <c r="T800" i="32" s="1"/>
  <c r="R829" i="32"/>
  <c r="T829" i="32" s="1"/>
  <c r="R837" i="32"/>
  <c r="T837" i="32" s="1"/>
  <c r="R845" i="32"/>
  <c r="T845" i="32" s="1"/>
  <c r="R853" i="32"/>
  <c r="T853" i="32" s="1"/>
  <c r="R861" i="32"/>
  <c r="T861" i="32" s="1"/>
  <c r="R869" i="32"/>
  <c r="T869" i="32" s="1"/>
  <c r="R877" i="32"/>
  <c r="T877" i="32" s="1"/>
  <c r="R885" i="32"/>
  <c r="T885" i="32" s="1"/>
  <c r="R893" i="32"/>
  <c r="T893" i="32" s="1"/>
  <c r="R901" i="32"/>
  <c r="T901" i="32" s="1"/>
  <c r="R909" i="32"/>
  <c r="T909" i="32" s="1"/>
  <c r="R917" i="32"/>
  <c r="T917" i="32" s="1"/>
  <c r="R925" i="32"/>
  <c r="T925" i="32" s="1"/>
  <c r="R933" i="32"/>
  <c r="T933" i="32" s="1"/>
  <c r="R941" i="32"/>
  <c r="T941" i="32" s="1"/>
  <c r="R949" i="32"/>
  <c r="T949" i="32" s="1"/>
  <c r="R957" i="32"/>
  <c r="T957" i="32" s="1"/>
  <c r="R965" i="32"/>
  <c r="T965" i="32" s="1"/>
  <c r="R312" i="32"/>
  <c r="T312" i="32" s="1"/>
  <c r="R371" i="32"/>
  <c r="T371" i="32" s="1"/>
  <c r="R404" i="32"/>
  <c r="T404" i="32" s="1"/>
  <c r="R500" i="32"/>
  <c r="T500" i="32" s="1"/>
  <c r="R512" i="32"/>
  <c r="T512" i="32" s="1"/>
  <c r="R564" i="32"/>
  <c r="T564" i="32" s="1"/>
  <c r="R576" i="32"/>
  <c r="T576" i="32" s="1"/>
  <c r="R636" i="32"/>
  <c r="T636" i="32" s="1"/>
  <c r="R649" i="32"/>
  <c r="T649" i="32" s="1"/>
  <c r="R657" i="32"/>
  <c r="T657" i="32" s="1"/>
  <c r="R665" i="32"/>
  <c r="T665" i="32" s="1"/>
  <c r="R673" i="32"/>
  <c r="T673" i="32" s="1"/>
  <c r="R681" i="32"/>
  <c r="T681" i="32" s="1"/>
  <c r="R689" i="32"/>
  <c r="T689" i="32" s="1"/>
  <c r="R697" i="32"/>
  <c r="T697" i="32" s="1"/>
  <c r="R705" i="32"/>
  <c r="T705" i="32" s="1"/>
  <c r="R713" i="32"/>
  <c r="T713" i="32" s="1"/>
  <c r="R721" i="32"/>
  <c r="T721" i="32" s="1"/>
  <c r="R729" i="32"/>
  <c r="T729" i="32" s="1"/>
  <c r="R737" i="32"/>
  <c r="T737" i="32" s="1"/>
  <c r="R745" i="32"/>
  <c r="T745" i="32" s="1"/>
  <c r="R753" i="32"/>
  <c r="T753" i="32" s="1"/>
  <c r="R761" i="32"/>
  <c r="T761" i="32" s="1"/>
  <c r="R769" i="32"/>
  <c r="T769" i="32" s="1"/>
  <c r="R777" i="32"/>
  <c r="T777" i="32" s="1"/>
  <c r="R785" i="32"/>
  <c r="T785" i="32" s="1"/>
  <c r="R793" i="32"/>
  <c r="T793" i="32" s="1"/>
  <c r="R797" i="32"/>
  <c r="T797" i="32" s="1"/>
  <c r="R804" i="32"/>
  <c r="T804" i="32" s="1"/>
  <c r="R818" i="32"/>
  <c r="T818" i="32" s="1"/>
  <c r="R821" i="32"/>
  <c r="T821" i="32" s="1"/>
  <c r="R824" i="32"/>
  <c r="T824" i="32" s="1"/>
  <c r="R832" i="32"/>
  <c r="T832" i="32" s="1"/>
  <c r="R646" i="32"/>
  <c r="T646" i="32" s="1"/>
  <c r="R710" i="32"/>
  <c r="T710" i="32" s="1"/>
  <c r="R774" i="32"/>
  <c r="T774" i="32" s="1"/>
  <c r="R801" i="32"/>
  <c r="T801" i="32" s="1"/>
  <c r="R830" i="32"/>
  <c r="T830" i="32" s="1"/>
  <c r="R854" i="32"/>
  <c r="T854" i="32" s="1"/>
  <c r="R1001" i="32"/>
  <c r="T1001" i="32" s="1"/>
  <c r="R1004" i="32"/>
  <c r="T1004" i="32" s="1"/>
  <c r="R1007" i="32"/>
  <c r="T1007" i="32" s="1"/>
  <c r="R1013" i="32"/>
  <c r="T1013" i="32" s="1"/>
  <c r="R1021" i="32"/>
  <c r="T1021" i="32" s="1"/>
  <c r="R1029" i="32"/>
  <c r="T1029" i="32" s="1"/>
  <c r="R1037" i="32"/>
  <c r="T1037" i="32" s="1"/>
  <c r="R1045" i="32"/>
  <c r="T1045" i="32" s="1"/>
  <c r="R1053" i="32"/>
  <c r="T1053" i="32" s="1"/>
  <c r="R1061" i="32"/>
  <c r="T1061" i="32" s="1"/>
  <c r="R1069" i="32"/>
  <c r="T1069" i="32" s="1"/>
  <c r="R1077" i="32"/>
  <c r="T1077" i="32" s="1"/>
  <c r="R1085" i="32"/>
  <c r="T1085" i="32" s="1"/>
  <c r="R1093" i="32"/>
  <c r="T1093" i="32" s="1"/>
  <c r="R1101" i="32"/>
  <c r="T1101" i="32" s="1"/>
  <c r="R1109" i="32"/>
  <c r="T1109" i="32" s="1"/>
  <c r="R1117" i="32"/>
  <c r="T1117" i="32" s="1"/>
  <c r="R1125" i="32"/>
  <c r="T1125" i="32" s="1"/>
  <c r="R1133" i="32"/>
  <c r="T1133" i="32" s="1"/>
  <c r="R1141" i="32"/>
  <c r="T1141" i="32" s="1"/>
  <c r="R1149" i="32"/>
  <c r="T1149" i="32" s="1"/>
  <c r="R1157" i="32"/>
  <c r="T1157" i="32" s="1"/>
  <c r="R1165" i="32"/>
  <c r="T1165" i="32" s="1"/>
  <c r="R1173" i="32"/>
  <c r="T1173" i="32" s="1"/>
  <c r="R343" i="32"/>
  <c r="T343" i="32" s="1"/>
  <c r="R654" i="32"/>
  <c r="T654" i="32" s="1"/>
  <c r="R718" i="32"/>
  <c r="T718" i="32" s="1"/>
  <c r="R782" i="32"/>
  <c r="T782" i="32" s="1"/>
  <c r="R808" i="32"/>
  <c r="T808" i="32" s="1"/>
  <c r="R859" i="32"/>
  <c r="T859" i="32" s="1"/>
  <c r="R864" i="32"/>
  <c r="T864" i="32" s="1"/>
  <c r="R973" i="32"/>
  <c r="T973" i="32" s="1"/>
  <c r="R976" i="32"/>
  <c r="T976" i="32" s="1"/>
  <c r="R980" i="32"/>
  <c r="T980" i="32" s="1"/>
  <c r="R990" i="32"/>
  <c r="T990" i="32" s="1"/>
  <c r="R1016" i="32"/>
  <c r="T1016" i="32" s="1"/>
  <c r="R1024" i="32"/>
  <c r="T1024" i="32" s="1"/>
  <c r="R1032" i="32"/>
  <c r="T1032" i="32" s="1"/>
  <c r="R1040" i="32"/>
  <c r="T1040" i="32" s="1"/>
  <c r="R1048" i="32"/>
  <c r="T1048" i="32" s="1"/>
  <c r="R1056" i="32"/>
  <c r="T1056" i="32" s="1"/>
  <c r="R1064" i="32"/>
  <c r="T1064" i="32" s="1"/>
  <c r="R1072" i="32"/>
  <c r="T1072" i="32" s="1"/>
  <c r="R1080" i="32"/>
  <c r="T1080" i="32" s="1"/>
  <c r="R1088" i="32"/>
  <c r="T1088" i="32" s="1"/>
  <c r="R1096" i="32"/>
  <c r="T1096" i="32" s="1"/>
  <c r="R1104" i="32"/>
  <c r="T1104" i="32" s="1"/>
  <c r="R1112" i="32"/>
  <c r="T1112" i="32" s="1"/>
  <c r="R1120" i="32"/>
  <c r="T1120" i="32" s="1"/>
  <c r="R1128" i="32"/>
  <c r="T1128" i="32" s="1"/>
  <c r="R1136" i="32"/>
  <c r="T1136" i="32" s="1"/>
  <c r="R1144" i="32"/>
  <c r="T1144" i="32" s="1"/>
  <c r="R1152" i="32"/>
  <c r="T1152" i="32" s="1"/>
  <c r="R1160" i="32"/>
  <c r="T1160" i="32" s="1"/>
  <c r="R1168" i="32"/>
  <c r="T1168" i="32" s="1"/>
  <c r="R1176" i="32"/>
  <c r="T1176" i="32" s="1"/>
  <c r="R1184" i="32"/>
  <c r="T1184" i="32" s="1"/>
  <c r="R1192" i="32"/>
  <c r="T1192" i="32" s="1"/>
  <c r="R1200" i="32"/>
  <c r="T1200" i="32" s="1"/>
  <c r="R1208" i="32"/>
  <c r="T1208" i="32" s="1"/>
  <c r="R1216" i="32"/>
  <c r="T1216" i="32" s="1"/>
  <c r="R1224" i="32"/>
  <c r="T1224" i="32" s="1"/>
  <c r="R662" i="32"/>
  <c r="T662" i="32" s="1"/>
  <c r="R726" i="32"/>
  <c r="T726" i="32" s="1"/>
  <c r="R790" i="32"/>
  <c r="T790" i="32" s="1"/>
  <c r="R846" i="32"/>
  <c r="T846" i="32" s="1"/>
  <c r="R987" i="32"/>
  <c r="T987" i="32" s="1"/>
  <c r="R993" i="32"/>
  <c r="T993" i="32" s="1"/>
  <c r="R996" i="32"/>
  <c r="T996" i="32" s="1"/>
  <c r="R999" i="32"/>
  <c r="T999" i="32" s="1"/>
  <c r="R1005" i="32"/>
  <c r="T1005" i="32" s="1"/>
  <c r="R1019" i="32"/>
  <c r="T1019" i="32" s="1"/>
  <c r="R1027" i="32"/>
  <c r="T1027" i="32" s="1"/>
  <c r="R1035" i="32"/>
  <c r="T1035" i="32" s="1"/>
  <c r="R1043" i="32"/>
  <c r="T1043" i="32" s="1"/>
  <c r="R1051" i="32"/>
  <c r="T1051" i="32" s="1"/>
  <c r="R1059" i="32"/>
  <c r="T1059" i="32" s="1"/>
  <c r="R1067" i="32"/>
  <c r="T1067" i="32" s="1"/>
  <c r="R1075" i="32"/>
  <c r="T1075" i="32" s="1"/>
  <c r="R1083" i="32"/>
  <c r="T1083" i="32" s="1"/>
  <c r="R1091" i="32"/>
  <c r="T1091" i="32" s="1"/>
  <c r="R1099" i="32"/>
  <c r="T1099" i="32" s="1"/>
  <c r="R1107" i="32"/>
  <c r="T1107" i="32" s="1"/>
  <c r="R1115" i="32"/>
  <c r="T1115" i="32" s="1"/>
  <c r="R1123" i="32"/>
  <c r="T1123" i="32" s="1"/>
  <c r="R1131" i="32"/>
  <c r="T1131" i="32" s="1"/>
  <c r="R1139" i="32"/>
  <c r="T1139" i="32" s="1"/>
  <c r="R1147" i="32"/>
  <c r="T1147" i="32" s="1"/>
  <c r="R1155" i="32"/>
  <c r="T1155" i="32" s="1"/>
  <c r="R1163" i="32"/>
  <c r="T1163" i="32" s="1"/>
  <c r="R1171" i="32"/>
  <c r="T1171" i="32" s="1"/>
  <c r="R1179" i="32"/>
  <c r="T1179" i="32" s="1"/>
  <c r="R1187" i="32"/>
  <c r="T1187" i="32" s="1"/>
  <c r="R1195" i="32"/>
  <c r="T1195" i="32" s="1"/>
  <c r="R1203" i="32"/>
  <c r="T1203" i="32" s="1"/>
  <c r="R1211" i="32"/>
  <c r="T1211" i="32" s="1"/>
  <c r="R1219" i="32"/>
  <c r="T1219" i="32" s="1"/>
  <c r="R1227" i="32"/>
  <c r="T1227" i="32" s="1"/>
  <c r="R553" i="32"/>
  <c r="T553" i="32" s="1"/>
  <c r="R670" i="32"/>
  <c r="T670" i="32" s="1"/>
  <c r="R734" i="32"/>
  <c r="T734" i="32" s="1"/>
  <c r="R798" i="32"/>
  <c r="T798" i="32" s="1"/>
  <c r="R827" i="32"/>
  <c r="T827" i="32" s="1"/>
  <c r="R851" i="32"/>
  <c r="T851" i="32" s="1"/>
  <c r="R856" i="32"/>
  <c r="T856" i="32" s="1"/>
  <c r="R878" i="32"/>
  <c r="T878" i="32" s="1"/>
  <c r="R886" i="32"/>
  <c r="T886" i="32" s="1"/>
  <c r="R894" i="32"/>
  <c r="T894" i="32" s="1"/>
  <c r="R902" i="32"/>
  <c r="T902" i="32" s="1"/>
  <c r="R910" i="32"/>
  <c r="T910" i="32" s="1"/>
  <c r="R918" i="32"/>
  <c r="T918" i="32" s="1"/>
  <c r="R926" i="32"/>
  <c r="T926" i="32" s="1"/>
  <c r="R934" i="32"/>
  <c r="T934" i="32" s="1"/>
  <c r="R942" i="32"/>
  <c r="T942" i="32" s="1"/>
  <c r="R950" i="32"/>
  <c r="T950" i="32" s="1"/>
  <c r="R958" i="32"/>
  <c r="T958" i="32" s="1"/>
  <c r="R966" i="32"/>
  <c r="T966" i="32" s="1"/>
  <c r="R981" i="32"/>
  <c r="T981" i="32" s="1"/>
  <c r="R984" i="32"/>
  <c r="T984" i="32" s="1"/>
  <c r="R1008" i="32"/>
  <c r="T1008" i="32" s="1"/>
  <c r="R1011" i="32"/>
  <c r="T1011" i="32" s="1"/>
  <c r="R1014" i="32"/>
  <c r="T1014" i="32" s="1"/>
  <c r="R1022" i="32"/>
  <c r="T1022" i="32" s="1"/>
  <c r="R1030" i="32"/>
  <c r="T1030" i="32" s="1"/>
  <c r="R1038" i="32"/>
  <c r="T1038" i="32" s="1"/>
  <c r="R1046" i="32"/>
  <c r="T1046" i="32" s="1"/>
  <c r="R1054" i="32"/>
  <c r="T1054" i="32" s="1"/>
  <c r="R1062" i="32"/>
  <c r="T1062" i="32" s="1"/>
  <c r="R1070" i="32"/>
  <c r="T1070" i="32" s="1"/>
  <c r="R1078" i="32"/>
  <c r="T1078" i="32" s="1"/>
  <c r="R1086" i="32"/>
  <c r="T1086" i="32" s="1"/>
  <c r="R1094" i="32"/>
  <c r="T1094" i="32" s="1"/>
  <c r="R1102" i="32"/>
  <c r="T1102" i="32" s="1"/>
  <c r="R1110" i="32"/>
  <c r="T1110" i="32" s="1"/>
  <c r="R1118" i="32"/>
  <c r="T1118" i="32" s="1"/>
  <c r="R1126" i="32"/>
  <c r="T1126" i="32" s="1"/>
  <c r="R1134" i="32"/>
  <c r="T1134" i="32" s="1"/>
  <c r="R1142" i="32"/>
  <c r="T1142" i="32" s="1"/>
  <c r="R1150" i="32"/>
  <c r="T1150" i="32" s="1"/>
  <c r="R1158" i="32"/>
  <c r="T1158" i="32" s="1"/>
  <c r="R1166" i="32"/>
  <c r="T1166" i="32" s="1"/>
  <c r="R1174" i="32"/>
  <c r="T1174" i="32" s="1"/>
  <c r="R1182" i="32"/>
  <c r="T1182" i="32" s="1"/>
  <c r="R1190" i="32"/>
  <c r="T1190" i="32" s="1"/>
  <c r="R1198" i="32"/>
  <c r="T1198" i="32" s="1"/>
  <c r="R1206" i="32"/>
  <c r="T1206" i="32" s="1"/>
  <c r="R1214" i="32"/>
  <c r="T1214" i="32" s="1"/>
  <c r="R1222" i="32"/>
  <c r="T1222" i="32" s="1"/>
  <c r="R678" i="32"/>
  <c r="T678" i="32" s="1"/>
  <c r="R742" i="32"/>
  <c r="T742" i="32" s="1"/>
  <c r="R838" i="32"/>
  <c r="T838" i="32" s="1"/>
  <c r="R870" i="32"/>
  <c r="T870" i="32" s="1"/>
  <c r="R974" i="32"/>
  <c r="T974" i="32" s="1"/>
  <c r="R988" i="32"/>
  <c r="T988" i="32" s="1"/>
  <c r="R991" i="32"/>
  <c r="T991" i="32" s="1"/>
  <c r="R997" i="32"/>
  <c r="T997" i="32" s="1"/>
  <c r="R1017" i="32"/>
  <c r="T1017" i="32" s="1"/>
  <c r="R1025" i="32"/>
  <c r="T1025" i="32" s="1"/>
  <c r="R1033" i="32"/>
  <c r="T1033" i="32" s="1"/>
  <c r="R1041" i="32"/>
  <c r="T1041" i="32" s="1"/>
  <c r="R1049" i="32"/>
  <c r="T1049" i="32" s="1"/>
  <c r="R1057" i="32"/>
  <c r="T1057" i="32" s="1"/>
  <c r="R1065" i="32"/>
  <c r="T1065" i="32" s="1"/>
  <c r="R1073" i="32"/>
  <c r="T1073" i="32" s="1"/>
  <c r="R1081" i="32"/>
  <c r="T1081" i="32" s="1"/>
  <c r="R1089" i="32"/>
  <c r="T1089" i="32" s="1"/>
  <c r="R1097" i="32"/>
  <c r="T1097" i="32" s="1"/>
  <c r="R1105" i="32"/>
  <c r="T1105" i="32" s="1"/>
  <c r="R1113" i="32"/>
  <c r="T1113" i="32" s="1"/>
  <c r="R1121" i="32"/>
  <c r="T1121" i="32" s="1"/>
  <c r="R1129" i="32"/>
  <c r="T1129" i="32" s="1"/>
  <c r="R1137" i="32"/>
  <c r="T1137" i="32" s="1"/>
  <c r="R1145" i="32"/>
  <c r="T1145" i="32" s="1"/>
  <c r="R1153" i="32"/>
  <c r="T1153" i="32" s="1"/>
  <c r="R1161" i="32"/>
  <c r="T1161" i="32" s="1"/>
  <c r="R1169" i="32"/>
  <c r="T1169" i="32" s="1"/>
  <c r="R1177" i="32"/>
  <c r="T1177" i="32" s="1"/>
  <c r="R1185" i="32"/>
  <c r="T1185" i="32" s="1"/>
  <c r="R1193" i="32"/>
  <c r="T1193" i="32" s="1"/>
  <c r="R1201" i="32"/>
  <c r="T1201" i="32" s="1"/>
  <c r="R1209" i="32"/>
  <c r="T1209" i="32" s="1"/>
  <c r="R1217" i="32"/>
  <c r="T1217" i="32" s="1"/>
  <c r="R1225" i="32"/>
  <c r="T1225" i="32" s="1"/>
  <c r="R1233" i="32"/>
  <c r="T1233" i="32" s="1"/>
  <c r="R686" i="32"/>
  <c r="T686" i="32" s="1"/>
  <c r="R750" i="32"/>
  <c r="T750" i="32" s="1"/>
  <c r="R805" i="32"/>
  <c r="T805" i="32" s="1"/>
  <c r="R843" i="32"/>
  <c r="T843" i="32" s="1"/>
  <c r="R848" i="32"/>
  <c r="T848" i="32" s="1"/>
  <c r="R875" i="32"/>
  <c r="T875" i="32" s="1"/>
  <c r="R883" i="32"/>
  <c r="T883" i="32" s="1"/>
  <c r="R891" i="32"/>
  <c r="T891" i="32" s="1"/>
  <c r="R899" i="32"/>
  <c r="T899" i="32" s="1"/>
  <c r="R907" i="32"/>
  <c r="T907" i="32" s="1"/>
  <c r="R915" i="32"/>
  <c r="T915" i="32" s="1"/>
  <c r="R923" i="32"/>
  <c r="T923" i="32" s="1"/>
  <c r="R931" i="32"/>
  <c r="T931" i="32" s="1"/>
  <c r="R939" i="32"/>
  <c r="T939" i="32" s="1"/>
  <c r="R947" i="32"/>
  <c r="T947" i="32" s="1"/>
  <c r="R955" i="32"/>
  <c r="T955" i="32" s="1"/>
  <c r="R963" i="32"/>
  <c r="T963" i="32" s="1"/>
  <c r="R971" i="32"/>
  <c r="T971" i="32" s="1"/>
  <c r="R1000" i="32"/>
  <c r="T1000" i="32" s="1"/>
  <c r="R1003" i="32"/>
  <c r="T1003" i="32" s="1"/>
  <c r="R1006" i="32"/>
  <c r="T1006" i="32" s="1"/>
  <c r="R1020" i="32"/>
  <c r="T1020" i="32" s="1"/>
  <c r="R1028" i="32"/>
  <c r="T1028" i="32" s="1"/>
  <c r="R1036" i="32"/>
  <c r="T1036" i="32" s="1"/>
  <c r="R1044" i="32"/>
  <c r="T1044" i="32" s="1"/>
  <c r="R1052" i="32"/>
  <c r="T1052" i="32" s="1"/>
  <c r="R1060" i="32"/>
  <c r="T1060" i="32" s="1"/>
  <c r="R1068" i="32"/>
  <c r="T1068" i="32" s="1"/>
  <c r="R1076" i="32"/>
  <c r="T1076" i="32" s="1"/>
  <c r="R1084" i="32"/>
  <c r="T1084" i="32" s="1"/>
  <c r="R1092" i="32"/>
  <c r="T1092" i="32" s="1"/>
  <c r="R1100" i="32"/>
  <c r="T1100" i="32" s="1"/>
  <c r="R1108" i="32"/>
  <c r="T1108" i="32" s="1"/>
  <c r="R1116" i="32"/>
  <c r="T1116" i="32" s="1"/>
  <c r="R1124" i="32"/>
  <c r="T1124" i="32" s="1"/>
  <c r="R1132" i="32"/>
  <c r="T1132" i="32" s="1"/>
  <c r="R1140" i="32"/>
  <c r="T1140" i="32" s="1"/>
  <c r="R1148" i="32"/>
  <c r="T1148" i="32" s="1"/>
  <c r="R1156" i="32"/>
  <c r="T1156" i="32" s="1"/>
  <c r="R1164" i="32"/>
  <c r="T1164" i="32" s="1"/>
  <c r="R1172" i="32"/>
  <c r="T1172" i="32" s="1"/>
  <c r="R1180" i="32"/>
  <c r="T1180" i="32" s="1"/>
  <c r="R1188" i="32"/>
  <c r="T1188" i="32" s="1"/>
  <c r="R1196" i="32"/>
  <c r="T1196" i="32" s="1"/>
  <c r="R1204" i="32"/>
  <c r="T1204" i="32" s="1"/>
  <c r="R1212" i="32"/>
  <c r="T1212" i="32" s="1"/>
  <c r="R1220" i="32"/>
  <c r="T1220" i="32" s="1"/>
  <c r="R694" i="32"/>
  <c r="T694" i="32" s="1"/>
  <c r="R758" i="32"/>
  <c r="T758" i="32" s="1"/>
  <c r="R862" i="32"/>
  <c r="T862" i="32" s="1"/>
  <c r="R982" i="32"/>
  <c r="T982" i="32" s="1"/>
  <c r="R989" i="32"/>
  <c r="T989" i="32" s="1"/>
  <c r="R1009" i="32"/>
  <c r="T1009" i="32" s="1"/>
  <c r="R1012" i="32"/>
  <c r="T1012" i="32" s="1"/>
  <c r="R1015" i="32"/>
  <c r="T1015" i="32" s="1"/>
  <c r="R1023" i="32"/>
  <c r="T1023" i="32" s="1"/>
  <c r="R1031" i="32"/>
  <c r="T1031" i="32" s="1"/>
  <c r="R1039" i="32"/>
  <c r="T1039" i="32" s="1"/>
  <c r="R1047" i="32"/>
  <c r="T1047" i="32" s="1"/>
  <c r="R1055" i="32"/>
  <c r="T1055" i="32" s="1"/>
  <c r="R1063" i="32"/>
  <c r="T1063" i="32" s="1"/>
  <c r="R1071" i="32"/>
  <c r="T1071" i="32" s="1"/>
  <c r="R1079" i="32"/>
  <c r="T1079" i="32" s="1"/>
  <c r="R1087" i="32"/>
  <c r="T1087" i="32" s="1"/>
  <c r="R1095" i="32"/>
  <c r="T1095" i="32" s="1"/>
  <c r="R1103" i="32"/>
  <c r="T1103" i="32" s="1"/>
  <c r="R1111" i="32"/>
  <c r="T1111" i="32" s="1"/>
  <c r="R1119" i="32"/>
  <c r="T1119" i="32" s="1"/>
  <c r="R1127" i="32"/>
  <c r="T1127" i="32" s="1"/>
  <c r="R1135" i="32"/>
  <c r="T1135" i="32" s="1"/>
  <c r="R1143" i="32"/>
  <c r="T1143" i="32" s="1"/>
  <c r="R1151" i="32"/>
  <c r="T1151" i="32" s="1"/>
  <c r="R1159" i="32"/>
  <c r="T1159" i="32" s="1"/>
  <c r="R1167" i="32"/>
  <c r="T1167" i="32" s="1"/>
  <c r="R1175" i="32"/>
  <c r="T1175" i="32" s="1"/>
  <c r="R1183" i="32"/>
  <c r="T1183" i="32" s="1"/>
  <c r="R1191" i="32"/>
  <c r="T1191" i="32" s="1"/>
  <c r="R1199" i="32"/>
  <c r="T1199" i="32" s="1"/>
  <c r="R1207" i="32"/>
  <c r="T1207" i="32" s="1"/>
  <c r="R1215" i="32"/>
  <c r="T1215" i="32" s="1"/>
  <c r="R1223" i="32"/>
  <c r="T1223" i="32" s="1"/>
  <c r="R892" i="32"/>
  <c r="T892" i="32" s="1"/>
  <c r="R924" i="32"/>
  <c r="T924" i="32" s="1"/>
  <c r="R956" i="32"/>
  <c r="T956" i="32" s="1"/>
  <c r="R1181" i="32"/>
  <c r="T1181" i="32" s="1"/>
  <c r="R1197" i="32"/>
  <c r="T1197" i="32" s="1"/>
  <c r="R1213" i="32"/>
  <c r="T1213" i="32" s="1"/>
  <c r="R1240" i="32"/>
  <c r="T1240" i="32" s="1"/>
  <c r="R1248" i="32"/>
  <c r="T1248" i="32" s="1"/>
  <c r="R1256" i="32"/>
  <c r="T1256" i="32" s="1"/>
  <c r="R1264" i="32"/>
  <c r="T1264" i="32" s="1"/>
  <c r="R1272" i="32"/>
  <c r="T1272" i="32" s="1"/>
  <c r="R1280" i="32"/>
  <c r="T1280" i="32" s="1"/>
  <c r="R1288" i="32"/>
  <c r="T1288" i="32" s="1"/>
  <c r="R1296" i="32"/>
  <c r="T1296" i="32" s="1"/>
  <c r="R1304" i="32"/>
  <c r="T1304" i="32" s="1"/>
  <c r="R1312" i="32"/>
  <c r="T1312" i="32" s="1"/>
  <c r="R1320" i="32"/>
  <c r="T1320" i="32" s="1"/>
  <c r="R1328" i="32"/>
  <c r="T1328" i="32" s="1"/>
  <c r="R1301" i="32"/>
  <c r="T1301" i="32" s="1"/>
  <c r="R867" i="32"/>
  <c r="T867" i="32" s="1"/>
  <c r="R880" i="32"/>
  <c r="T880" i="32" s="1"/>
  <c r="R912" i="32"/>
  <c r="T912" i="32" s="1"/>
  <c r="R944" i="32"/>
  <c r="T944" i="32" s="1"/>
  <c r="R1042" i="32"/>
  <c r="T1042" i="32" s="1"/>
  <c r="R1074" i="32"/>
  <c r="T1074" i="32" s="1"/>
  <c r="R1106" i="32"/>
  <c r="T1106" i="32" s="1"/>
  <c r="R1138" i="32"/>
  <c r="T1138" i="32" s="1"/>
  <c r="R1170" i="32"/>
  <c r="T1170" i="32" s="1"/>
  <c r="R1229" i="32"/>
  <c r="T1229" i="32" s="1"/>
  <c r="R1232" i="32"/>
  <c r="T1232" i="32" s="1"/>
  <c r="R1235" i="32"/>
  <c r="T1235" i="32" s="1"/>
  <c r="R1243" i="32"/>
  <c r="T1243" i="32" s="1"/>
  <c r="R1251" i="32"/>
  <c r="T1251" i="32" s="1"/>
  <c r="R1259" i="32"/>
  <c r="T1259" i="32" s="1"/>
  <c r="R1267" i="32"/>
  <c r="T1267" i="32" s="1"/>
  <c r="R1275" i="32"/>
  <c r="T1275" i="32" s="1"/>
  <c r="R1283" i="32"/>
  <c r="T1283" i="32" s="1"/>
  <c r="R1291" i="32"/>
  <c r="T1291" i="32" s="1"/>
  <c r="R1299" i="32"/>
  <c r="T1299" i="32" s="1"/>
  <c r="R1307" i="32"/>
  <c r="T1307" i="32" s="1"/>
  <c r="R1315" i="32"/>
  <c r="T1315" i="32" s="1"/>
  <c r="R1323" i="32"/>
  <c r="T1323" i="32" s="1"/>
  <c r="R1331" i="32"/>
  <c r="T1331" i="32" s="1"/>
  <c r="R1316" i="32"/>
  <c r="T1316" i="32" s="1"/>
  <c r="R1293" i="32"/>
  <c r="T1293" i="32" s="1"/>
  <c r="R900" i="32"/>
  <c r="T900" i="32" s="1"/>
  <c r="R932" i="32"/>
  <c r="T932" i="32" s="1"/>
  <c r="R964" i="32"/>
  <c r="T964" i="32" s="1"/>
  <c r="R1238" i="32"/>
  <c r="T1238" i="32" s="1"/>
  <c r="R1246" i="32"/>
  <c r="T1246" i="32" s="1"/>
  <c r="R1254" i="32"/>
  <c r="T1254" i="32" s="1"/>
  <c r="R1262" i="32"/>
  <c r="T1262" i="32" s="1"/>
  <c r="R1270" i="32"/>
  <c r="T1270" i="32" s="1"/>
  <c r="R1278" i="32"/>
  <c r="T1278" i="32" s="1"/>
  <c r="R1286" i="32"/>
  <c r="T1286" i="32" s="1"/>
  <c r="R1294" i="32"/>
  <c r="T1294" i="32" s="1"/>
  <c r="R1302" i="32"/>
  <c r="T1302" i="32" s="1"/>
  <c r="R1310" i="32"/>
  <c r="T1310" i="32" s="1"/>
  <c r="R1318" i="32"/>
  <c r="T1318" i="32" s="1"/>
  <c r="R1326" i="32"/>
  <c r="T1326" i="32" s="1"/>
  <c r="R1276" i="32"/>
  <c r="T1276" i="32" s="1"/>
  <c r="R1324" i="32"/>
  <c r="T1324" i="32" s="1"/>
  <c r="R1332" i="32"/>
  <c r="T1332" i="32" s="1"/>
  <c r="R702" i="32"/>
  <c r="T702" i="32" s="1"/>
  <c r="R840" i="32"/>
  <c r="T840" i="32" s="1"/>
  <c r="R888" i="32"/>
  <c r="T888" i="32" s="1"/>
  <c r="R920" i="32"/>
  <c r="T920" i="32" s="1"/>
  <c r="R952" i="32"/>
  <c r="T952" i="32" s="1"/>
  <c r="R992" i="32"/>
  <c r="T992" i="32" s="1"/>
  <c r="R998" i="32"/>
  <c r="T998" i="32" s="1"/>
  <c r="R1018" i="32"/>
  <c r="T1018" i="32" s="1"/>
  <c r="R1050" i="32"/>
  <c r="T1050" i="32" s="1"/>
  <c r="R1082" i="32"/>
  <c r="T1082" i="32" s="1"/>
  <c r="R1114" i="32"/>
  <c r="T1114" i="32" s="1"/>
  <c r="R1146" i="32"/>
  <c r="T1146" i="32" s="1"/>
  <c r="R1178" i="32"/>
  <c r="T1178" i="32" s="1"/>
  <c r="R1194" i="32"/>
  <c r="T1194" i="32" s="1"/>
  <c r="R1210" i="32"/>
  <c r="T1210" i="32" s="1"/>
  <c r="R1226" i="32"/>
  <c r="T1226" i="32" s="1"/>
  <c r="R1230" i="32"/>
  <c r="T1230" i="32" s="1"/>
  <c r="R1241" i="32"/>
  <c r="T1241" i="32" s="1"/>
  <c r="R1249" i="32"/>
  <c r="T1249" i="32" s="1"/>
  <c r="R1257" i="32"/>
  <c r="T1257" i="32" s="1"/>
  <c r="R1265" i="32"/>
  <c r="T1265" i="32" s="1"/>
  <c r="R1273" i="32"/>
  <c r="T1273" i="32" s="1"/>
  <c r="R1281" i="32"/>
  <c r="T1281" i="32" s="1"/>
  <c r="R1289" i="32"/>
  <c r="T1289" i="32" s="1"/>
  <c r="R1297" i="32"/>
  <c r="T1297" i="32" s="1"/>
  <c r="R1305" i="32"/>
  <c r="T1305" i="32" s="1"/>
  <c r="R1313" i="32"/>
  <c r="T1313" i="32" s="1"/>
  <c r="R1321" i="32"/>
  <c r="T1321" i="32" s="1"/>
  <c r="R1329" i="32"/>
  <c r="T1329" i="32" s="1"/>
  <c r="R1284" i="32"/>
  <c r="T1284" i="32" s="1"/>
  <c r="R1292" i="32"/>
  <c r="T1292" i="32" s="1"/>
  <c r="R1300" i="32"/>
  <c r="T1300" i="32" s="1"/>
  <c r="R1308" i="32"/>
  <c r="T1308" i="32" s="1"/>
  <c r="R1309" i="32"/>
  <c r="T1309" i="32" s="1"/>
  <c r="R489" i="32"/>
  <c r="T489" i="32" s="1"/>
  <c r="R766" i="32"/>
  <c r="T766" i="32" s="1"/>
  <c r="R812" i="32"/>
  <c r="T812" i="32" s="1"/>
  <c r="R876" i="32"/>
  <c r="T876" i="32" s="1"/>
  <c r="R908" i="32"/>
  <c r="T908" i="32" s="1"/>
  <c r="R940" i="32"/>
  <c r="T940" i="32" s="1"/>
  <c r="R972" i="32"/>
  <c r="T972" i="32" s="1"/>
  <c r="R979" i="32"/>
  <c r="T979" i="32" s="1"/>
  <c r="R1189" i="32"/>
  <c r="T1189" i="32" s="1"/>
  <c r="R1205" i="32"/>
  <c r="T1205" i="32" s="1"/>
  <c r="R1221" i="32"/>
  <c r="T1221" i="32" s="1"/>
  <c r="R1236" i="32"/>
  <c r="T1236" i="32" s="1"/>
  <c r="R1244" i="32"/>
  <c r="T1244" i="32" s="1"/>
  <c r="R1252" i="32"/>
  <c r="T1252" i="32" s="1"/>
  <c r="R1260" i="32"/>
  <c r="T1260" i="32" s="1"/>
  <c r="R1268" i="32"/>
  <c r="T1268" i="32" s="1"/>
  <c r="R419" i="32"/>
  <c r="T419" i="32" s="1"/>
  <c r="R617" i="32"/>
  <c r="T617" i="32" s="1"/>
  <c r="R835" i="32"/>
  <c r="T835" i="32" s="1"/>
  <c r="R896" i="32"/>
  <c r="T896" i="32" s="1"/>
  <c r="R928" i="32"/>
  <c r="T928" i="32" s="1"/>
  <c r="R960" i="32"/>
  <c r="T960" i="32" s="1"/>
  <c r="R1026" i="32"/>
  <c r="T1026" i="32" s="1"/>
  <c r="R1058" i="32"/>
  <c r="T1058" i="32" s="1"/>
  <c r="R1090" i="32"/>
  <c r="T1090" i="32" s="1"/>
  <c r="R1122" i="32"/>
  <c r="T1122" i="32" s="1"/>
  <c r="R1154" i="32"/>
  <c r="T1154" i="32" s="1"/>
  <c r="R1239" i="32"/>
  <c r="T1239" i="32" s="1"/>
  <c r="R1247" i="32"/>
  <c r="T1247" i="32" s="1"/>
  <c r="R1255" i="32"/>
  <c r="T1255" i="32" s="1"/>
  <c r="R1263" i="32"/>
  <c r="T1263" i="32" s="1"/>
  <c r="R1271" i="32"/>
  <c r="T1271" i="32" s="1"/>
  <c r="R1279" i="32"/>
  <c r="T1279" i="32" s="1"/>
  <c r="R1287" i="32"/>
  <c r="T1287" i="32" s="1"/>
  <c r="R1295" i="32"/>
  <c r="T1295" i="32" s="1"/>
  <c r="R1303" i="32"/>
  <c r="T1303" i="32" s="1"/>
  <c r="R1311" i="32"/>
  <c r="T1311" i="32" s="1"/>
  <c r="R1319" i="32"/>
  <c r="T1319" i="32" s="1"/>
  <c r="R1327" i="32"/>
  <c r="T1327" i="32" s="1"/>
  <c r="R884" i="32"/>
  <c r="T884" i="32" s="1"/>
  <c r="R916" i="32"/>
  <c r="T916" i="32" s="1"/>
  <c r="R948" i="32"/>
  <c r="T948" i="32" s="1"/>
  <c r="R1228" i="32"/>
  <c r="T1228" i="32" s="1"/>
  <c r="R1231" i="32"/>
  <c r="T1231" i="32" s="1"/>
  <c r="R1234" i="32"/>
  <c r="T1234" i="32" s="1"/>
  <c r="R1242" i="32"/>
  <c r="T1242" i="32" s="1"/>
  <c r="R1250" i="32"/>
  <c r="T1250" i="32" s="1"/>
  <c r="R1258" i="32"/>
  <c r="T1258" i="32" s="1"/>
  <c r="R1266" i="32"/>
  <c r="T1266" i="32" s="1"/>
  <c r="R1274" i="32"/>
  <c r="T1274" i="32" s="1"/>
  <c r="R1282" i="32"/>
  <c r="T1282" i="32" s="1"/>
  <c r="R1290" i="32"/>
  <c r="T1290" i="32" s="1"/>
  <c r="R1298" i="32"/>
  <c r="T1298" i="32" s="1"/>
  <c r="R1306" i="32"/>
  <c r="T1306" i="32" s="1"/>
  <c r="R1314" i="32"/>
  <c r="T1314" i="32" s="1"/>
  <c r="R1322" i="32"/>
  <c r="T1322" i="32" s="1"/>
  <c r="R1330" i="32"/>
  <c r="T1330" i="32" s="1"/>
  <c r="R872" i="32"/>
  <c r="T872" i="32" s="1"/>
  <c r="R904" i="32"/>
  <c r="T904" i="32" s="1"/>
  <c r="R936" i="32"/>
  <c r="T936" i="32" s="1"/>
  <c r="R968" i="32"/>
  <c r="T968" i="32" s="1"/>
  <c r="R995" i="32"/>
  <c r="T995" i="32" s="1"/>
  <c r="R1034" i="32"/>
  <c r="T1034" i="32" s="1"/>
  <c r="R1066" i="32"/>
  <c r="T1066" i="32" s="1"/>
  <c r="R1098" i="32"/>
  <c r="T1098" i="32" s="1"/>
  <c r="R1130" i="32"/>
  <c r="T1130" i="32" s="1"/>
  <c r="R1162" i="32"/>
  <c r="T1162" i="32" s="1"/>
  <c r="R1186" i="32"/>
  <c r="T1186" i="32" s="1"/>
  <c r="R1202" i="32"/>
  <c r="T1202" i="32" s="1"/>
  <c r="R1218" i="32"/>
  <c r="T1218" i="32" s="1"/>
  <c r="R1237" i="32"/>
  <c r="T1237" i="32" s="1"/>
  <c r="R1245" i="32"/>
  <c r="T1245" i="32" s="1"/>
  <c r="R1253" i="32"/>
  <c r="T1253" i="32" s="1"/>
  <c r="R1261" i="32"/>
  <c r="T1261" i="32" s="1"/>
  <c r="R1269" i="32"/>
  <c r="T1269" i="32" s="1"/>
  <c r="R1277" i="32"/>
  <c r="T1277" i="32" s="1"/>
  <c r="R1285" i="32"/>
  <c r="T1285" i="32" s="1"/>
  <c r="R1317" i="32"/>
  <c r="T1317" i="32" s="1"/>
  <c r="R1325" i="32"/>
  <c r="T1325" i="32" s="1"/>
  <c r="R1413" i="32"/>
  <c r="T1413" i="32" s="1"/>
  <c r="R1421" i="32"/>
  <c r="T1421" i="32" s="1"/>
  <c r="R1420" i="32"/>
  <c r="T1420" i="32" s="1"/>
  <c r="R1415" i="32"/>
  <c r="T1415" i="32" s="1"/>
  <c r="R1416" i="32"/>
  <c r="T1416" i="32" s="1"/>
  <c r="R1411" i="32"/>
  <c r="T1411" i="32" s="1"/>
  <c r="R1419" i="32"/>
  <c r="T1419" i="32" s="1"/>
  <c r="R1422" i="32"/>
  <c r="T1422" i="32" s="1"/>
  <c r="R1414" i="32"/>
  <c r="T1414" i="32" s="1"/>
  <c r="R1412" i="32"/>
  <c r="T1412" i="32" s="1"/>
  <c r="R1417" i="32"/>
  <c r="T1417" i="32" s="1"/>
  <c r="R1418" i="32"/>
  <c r="T1418" i="32" s="1"/>
  <c r="R9" i="32"/>
  <c r="T9" i="32" s="1"/>
  <c r="R3" i="32"/>
  <c r="T3" i="32" s="1"/>
  <c r="R19" i="32"/>
  <c r="T19" i="32" s="1"/>
  <c r="R18" i="32"/>
  <c r="T18" i="32" s="1"/>
  <c r="R5" i="32"/>
  <c r="T5" i="32" s="1"/>
  <c r="R11" i="32"/>
  <c r="T11" i="32" s="1"/>
  <c r="R10" i="32"/>
  <c r="T10" i="32" s="1"/>
  <c r="R8" i="32"/>
  <c r="T8" i="32" s="1"/>
  <c r="R13" i="32"/>
  <c r="T13" i="32" s="1"/>
  <c r="R12" i="32"/>
  <c r="T12" i="32" s="1"/>
  <c r="R2" i="32"/>
  <c r="T2" i="32" s="1"/>
  <c r="R7" i="32"/>
  <c r="T7" i="32" s="1"/>
  <c r="R17" i="32"/>
  <c r="T17" i="32" s="1"/>
  <c r="R15" i="32"/>
  <c r="T15" i="32" s="1"/>
  <c r="R16" i="32"/>
  <c r="T16" i="32" s="1"/>
  <c r="R14" i="32"/>
  <c r="T14" i="32" s="1"/>
  <c r="R4" i="32"/>
  <c r="T4" i="32" s="1"/>
  <c r="R6" i="32"/>
  <c r="T6" i="32" s="1"/>
  <c r="R1407" i="32"/>
  <c r="T1407" i="32" s="1"/>
  <c r="R1405" i="32"/>
  <c r="T1405" i="32" s="1"/>
  <c r="R1406" i="32"/>
  <c r="T1406" i="32" s="1"/>
  <c r="R1403" i="32"/>
  <c r="T1403" i="32" s="1"/>
  <c r="R1404" i="32"/>
  <c r="T1404" i="32" s="1"/>
  <c r="R1396" i="32"/>
  <c r="T1396" i="32" s="1"/>
  <c r="R1395" i="32"/>
  <c r="T1395" i="32" s="1"/>
  <c r="R1409" i="32"/>
  <c r="T1409" i="32" s="1"/>
  <c r="R1410" i="32"/>
  <c r="T1410" i="32" s="1"/>
  <c r="R1402" i="32"/>
  <c r="T1402" i="32" s="1"/>
  <c r="R1408" i="32"/>
  <c r="T1408" i="32" s="1"/>
  <c r="R1399" i="32"/>
  <c r="T1399" i="32" s="1"/>
  <c r="R1376" i="32"/>
  <c r="T1376" i="32" s="1"/>
  <c r="R1380" i="32"/>
  <c r="T1380" i="32" s="1"/>
  <c r="R1377" i="32"/>
  <c r="T1377" i="32" s="1"/>
  <c r="R1381" i="32"/>
  <c r="T1381" i="32" s="1"/>
  <c r="R1378" i="32"/>
  <c r="T1378" i="32" s="1"/>
  <c r="R1379" i="32"/>
  <c r="T1379" i="32" s="1"/>
  <c r="R1401" i="32"/>
  <c r="T1401" i="32" s="1"/>
  <c r="R1400" i="32"/>
  <c r="T1400" i="32" s="1"/>
  <c r="R1394" i="32"/>
  <c r="T1394" i="32" s="1"/>
  <c r="R1397" i="32"/>
  <c r="T1397" i="32" s="1"/>
  <c r="R1398" i="32"/>
  <c r="T1398" i="32" s="1"/>
  <c r="R1367" i="32"/>
  <c r="T1367" i="32" s="1"/>
  <c r="R1366" i="32"/>
  <c r="T1366" i="32" s="1"/>
  <c r="R1348" i="32"/>
  <c r="T1348" i="32" s="1"/>
  <c r="R1356" i="32"/>
  <c r="T1356" i="32" s="1"/>
  <c r="R1361" i="32"/>
  <c r="T1361" i="32" s="1"/>
  <c r="R1351" i="32"/>
  <c r="T1351" i="32" s="1"/>
  <c r="R1359" i="32"/>
  <c r="T1359" i="32" s="1"/>
  <c r="R1354" i="32"/>
  <c r="T1354" i="32" s="1"/>
  <c r="R1349" i="32"/>
  <c r="T1349" i="32" s="1"/>
  <c r="R1357" i="32"/>
  <c r="T1357" i="32" s="1"/>
  <c r="R1352" i="32"/>
  <c r="T1352" i="32" s="1"/>
  <c r="R1360" i="32"/>
  <c r="T1360" i="32" s="1"/>
  <c r="R1355" i="32"/>
  <c r="T1355" i="32" s="1"/>
  <c r="R1350" i="32"/>
  <c r="T1350" i="32" s="1"/>
  <c r="R1358" i="32"/>
  <c r="T1358" i="32" s="1"/>
  <c r="R1353" i="32"/>
  <c r="T1353" i="32" s="1"/>
  <c r="R1347" i="32"/>
  <c r="T1347" i="32" s="1"/>
  <c r="R1372" i="32"/>
  <c r="T1372" i="32" s="1"/>
  <c r="R1364" i="32"/>
  <c r="T1364" i="32" s="1"/>
  <c r="R1371" i="32"/>
  <c r="T1371" i="32" s="1"/>
  <c r="R1375" i="32"/>
  <c r="T1375" i="32" s="1"/>
  <c r="R1391" i="32"/>
  <c r="T1391" i="32" s="1"/>
  <c r="R1386" i="32"/>
  <c r="T1386" i="32" s="1"/>
  <c r="R1388" i="32"/>
  <c r="T1388" i="32" s="1"/>
  <c r="R1390" i="32"/>
  <c r="T1390" i="32" s="1"/>
  <c r="R1363" i="32"/>
  <c r="T1363" i="32" s="1"/>
  <c r="R1383" i="32"/>
  <c r="T1383" i="32" s="1"/>
  <c r="R1370" i="32"/>
  <c r="T1370" i="32" s="1"/>
  <c r="R1374" i="32"/>
  <c r="T1374" i="32" s="1"/>
  <c r="R1362" i="32"/>
  <c r="T1362" i="32" s="1"/>
  <c r="R1382" i="32"/>
  <c r="T1382" i="32" s="1"/>
  <c r="R1373" i="32"/>
  <c r="T1373" i="32" s="1"/>
  <c r="R1392" i="32"/>
  <c r="T1392" i="32" s="1"/>
  <c r="R1387" i="32"/>
  <c r="T1387" i="32" s="1"/>
  <c r="R1389" i="32"/>
  <c r="T1389" i="32" s="1"/>
  <c r="R1365" i="32"/>
  <c r="T1365" i="32" s="1"/>
  <c r="R1393" i="32"/>
  <c r="T1393" i="32" s="1"/>
  <c r="R1341" i="32"/>
  <c r="T1341" i="32" s="1"/>
  <c r="R1338" i="32"/>
  <c r="T1338" i="32" s="1"/>
  <c r="R1335" i="32"/>
  <c r="R1342" i="32"/>
  <c r="T1342" i="32" s="1"/>
  <c r="R1339" i="32"/>
  <c r="T1339" i="32" s="1"/>
  <c r="R1345" i="32"/>
  <c r="T1345" i="32" s="1"/>
  <c r="R1336" i="32"/>
  <c r="T1336" i="32" s="1"/>
  <c r="R1333" i="32"/>
  <c r="T1333" i="32" s="1"/>
  <c r="R1340" i="32"/>
  <c r="T1340" i="32" s="1"/>
  <c r="R1346" i="32"/>
  <c r="T1346" i="32" s="1"/>
  <c r="R1334" i="32"/>
  <c r="R1337" i="32"/>
  <c r="T1337" i="32" s="1"/>
  <c r="R1343" i="32"/>
  <c r="T1343" i="32" s="1"/>
  <c r="R1344" i="32"/>
  <c r="T1344" i="32" s="1"/>
  <c r="G132" i="6"/>
  <c r="AZ135" i="6"/>
  <c r="H126" i="6"/>
  <c r="H130" i="6"/>
  <c r="H129" i="6"/>
  <c r="H128" i="6"/>
  <c r="AP170" i="6"/>
  <c r="AR170" i="6" s="1"/>
  <c r="H131" i="6"/>
  <c r="H127" i="6"/>
  <c r="AZ168" i="6"/>
  <c r="AD170" i="6"/>
  <c r="AF170" i="6" s="1"/>
  <c r="C139" i="6"/>
  <c r="F132" i="6"/>
  <c r="E132" i="6"/>
  <c r="D132" i="6" l="1"/>
  <c r="C170" i="6"/>
  <c r="G139" i="6" l="1"/>
  <c r="AZ139" i="6" s="1"/>
  <c r="S7" i="18"/>
  <c r="T7" i="18"/>
  <c r="U7" i="18"/>
  <c r="W7" i="18"/>
  <c r="X7" i="18"/>
  <c r="Y7" i="18"/>
  <c r="AA7" i="18"/>
  <c r="AB7" i="18"/>
  <c r="AC7" i="18"/>
  <c r="AE7" i="18"/>
  <c r="AF7" i="18"/>
  <c r="AG7" i="18"/>
  <c r="AI7" i="18"/>
  <c r="AJ7" i="18"/>
  <c r="AK7" i="18"/>
  <c r="AM7" i="18"/>
  <c r="AN7" i="18"/>
  <c r="AO7" i="18"/>
  <c r="AQ7" i="18"/>
  <c r="AR7" i="18"/>
  <c r="AS7" i="18"/>
  <c r="AU7" i="18"/>
  <c r="AV7" i="18"/>
  <c r="AW7" i="18"/>
  <c r="AY7" i="18"/>
  <c r="AZ7" i="18"/>
  <c r="BA7" i="18"/>
  <c r="BC7" i="18"/>
  <c r="BD7" i="18"/>
  <c r="BE7" i="18"/>
  <c r="BG7" i="18"/>
  <c r="BH7" i="18"/>
  <c r="BI7" i="18"/>
  <c r="BK7" i="18"/>
  <c r="BL7" i="18"/>
  <c r="BM7" i="18"/>
  <c r="BO7" i="18"/>
  <c r="BP7" i="18"/>
  <c r="BQ7" i="18"/>
  <c r="BS7" i="18"/>
  <c r="BT7" i="18"/>
  <c r="BU7" i="18"/>
  <c r="BW7" i="18"/>
  <c r="BX7" i="18"/>
  <c r="BY7" i="18"/>
  <c r="CA7" i="18"/>
  <c r="CB7" i="18"/>
  <c r="CC7" i="18"/>
  <c r="CE7" i="18"/>
  <c r="CF7" i="18"/>
  <c r="CG7" i="18"/>
  <c r="CI7" i="18"/>
  <c r="CJ7" i="18"/>
  <c r="CK7" i="18"/>
  <c r="CM7" i="18"/>
  <c r="CN7" i="18"/>
  <c r="CO7" i="18"/>
  <c r="CQ7" i="18"/>
  <c r="CR7" i="18"/>
  <c r="CS7" i="18"/>
  <c r="CU7" i="18"/>
  <c r="CV7" i="18"/>
  <c r="CW7" i="18"/>
  <c r="CY7" i="18"/>
  <c r="CZ7" i="18"/>
  <c r="DA7" i="18"/>
  <c r="DC7" i="18"/>
  <c r="DD7" i="18"/>
  <c r="DE7" i="18"/>
  <c r="DG7" i="18"/>
  <c r="DH7" i="18"/>
  <c r="DI7" i="18"/>
  <c r="DK7" i="18"/>
  <c r="DL7" i="18"/>
  <c r="DM7" i="18"/>
  <c r="DO7" i="18"/>
  <c r="DP7" i="18"/>
  <c r="DQ7" i="18"/>
  <c r="DS7" i="18"/>
  <c r="DT7" i="18"/>
  <c r="DU7" i="18"/>
  <c r="V16" i="18"/>
  <c r="Z16" i="18"/>
  <c r="AD16" i="18"/>
  <c r="AH16" i="18"/>
  <c r="AL16" i="18"/>
  <c r="AP16" i="18"/>
  <c r="AT16" i="18"/>
  <c r="AX16" i="18"/>
  <c r="BB16" i="18"/>
  <c r="BF16" i="18"/>
  <c r="BJ16" i="18"/>
  <c r="BN16" i="18"/>
  <c r="BR16" i="18"/>
  <c r="BV16" i="18"/>
  <c r="BZ16" i="18"/>
  <c r="CD16" i="18"/>
  <c r="CH16" i="18"/>
  <c r="CL16" i="18"/>
  <c r="CP16" i="18"/>
  <c r="CT16" i="18"/>
  <c r="CX16" i="18"/>
  <c r="DB16" i="18"/>
  <c r="DF16" i="18"/>
  <c r="DJ16" i="18"/>
  <c r="DN16" i="18"/>
  <c r="DR16" i="18"/>
  <c r="DV16" i="18"/>
  <c r="G74" i="6" l="1"/>
  <c r="H74" i="6" s="1"/>
  <c r="G73" i="6"/>
  <c r="AZ73" i="6" s="1"/>
  <c r="R16" i="18"/>
  <c r="Q7" i="18"/>
  <c r="P7" i="18"/>
  <c r="O7" i="18"/>
  <c r="N16" i="18"/>
  <c r="M7" i="18"/>
  <c r="L7" i="18"/>
  <c r="K7" i="18"/>
  <c r="J16" i="18"/>
  <c r="I7" i="18"/>
  <c r="H7" i="18"/>
  <c r="G7" i="18"/>
  <c r="H73" i="6" l="1"/>
  <c r="B15" i="6"/>
  <c r="G3" i="18"/>
  <c r="G4" i="18" s="1"/>
  <c r="K3" i="18" s="1"/>
  <c r="K4" i="18" s="1"/>
  <c r="O3" i="18" s="1"/>
  <c r="O2" i="18" s="1"/>
  <c r="O4" i="18" l="1"/>
  <c r="S3" i="18" s="1"/>
  <c r="S2" i="18" l="1"/>
  <c r="S4" i="18"/>
  <c r="W3" i="18" s="1"/>
  <c r="W2" i="18" l="1"/>
  <c r="W4" i="18"/>
  <c r="AA3" i="18" s="1"/>
  <c r="AA4" i="18" l="1"/>
  <c r="AE3" i="18" s="1"/>
  <c r="AA2" i="18"/>
  <c r="AE4" i="18" l="1"/>
  <c r="AI3" i="18" s="1"/>
  <c r="AE2" i="18"/>
  <c r="AI4" i="18" l="1"/>
  <c r="AM3" i="18" s="1"/>
  <c r="AI2" i="18"/>
  <c r="J7" i="18"/>
  <c r="AM4" i="18" l="1"/>
  <c r="AQ3" i="18" s="1"/>
  <c r="AM2" i="18"/>
  <c r="N7" i="18"/>
  <c r="AQ4" i="18" l="1"/>
  <c r="AU3" i="18" s="1"/>
  <c r="AQ2" i="18"/>
  <c r="R7" i="18"/>
  <c r="V7" i="18" l="1"/>
  <c r="AU4" i="18"/>
  <c r="AY3" i="18" s="1"/>
  <c r="AU2" i="18"/>
  <c r="Z7" i="18" l="1"/>
  <c r="AY2" i="18"/>
  <c r="AY4" i="18"/>
  <c r="BC3" i="18" s="1"/>
  <c r="AD7" i="18" l="1"/>
  <c r="BC2" i="18"/>
  <c r="BC4" i="18"/>
  <c r="BG3" i="18" s="1"/>
  <c r="AH7" i="18" l="1"/>
  <c r="BG4" i="18"/>
  <c r="BK3" i="18" s="1"/>
  <c r="BG2" i="18"/>
  <c r="AK11" i="18" l="1"/>
  <c r="AG11" i="18"/>
  <c r="AO11" i="18"/>
  <c r="AY9" i="18"/>
  <c r="AW11" i="18"/>
  <c r="AC11" i="18"/>
  <c r="AS11" i="18"/>
  <c r="Y11" i="18"/>
  <c r="BA11" i="18"/>
  <c r="S11" i="18"/>
  <c r="BA9" i="18"/>
  <c r="AN11" i="18"/>
  <c r="AV11" i="18"/>
  <c r="AW9" i="18"/>
  <c r="AB11" i="18"/>
  <c r="AG9" i="18"/>
  <c r="AZ11" i="18"/>
  <c r="U11" i="18"/>
  <c r="BD11" i="18"/>
  <c r="AL7" i="18"/>
  <c r="AA11" i="18"/>
  <c r="W11" i="18"/>
  <c r="AF11" i="18"/>
  <c r="X11" i="18"/>
  <c r="T11" i="18"/>
  <c r="BC11" i="18"/>
  <c r="BE11" i="18"/>
  <c r="AU11" i="18"/>
  <c r="AY11" i="18"/>
  <c r="AQ11" i="18"/>
  <c r="AJ11" i="18"/>
  <c r="AM11" i="18"/>
  <c r="AR11" i="18"/>
  <c r="AI11" i="18"/>
  <c r="AE11" i="18"/>
  <c r="BK4" i="18"/>
  <c r="BO3" i="18" s="1"/>
  <c r="BK2" i="18"/>
  <c r="Q9" i="18"/>
  <c r="P9" i="18"/>
  <c r="L9" i="18"/>
  <c r="Q11" i="18"/>
  <c r="O9" i="18"/>
  <c r="P11" i="18"/>
  <c r="O11" i="18"/>
  <c r="M9" i="18"/>
  <c r="K9" i="18"/>
  <c r="M11" i="18"/>
  <c r="L11" i="18"/>
  <c r="K11" i="18"/>
  <c r="H9" i="18"/>
  <c r="I9" i="18"/>
  <c r="I11" i="18"/>
  <c r="H11" i="18"/>
  <c r="G11" i="18"/>
  <c r="G9" i="18"/>
  <c r="AS12" i="18" l="1"/>
  <c r="AY10" i="18"/>
  <c r="U12" i="18"/>
  <c r="BA10" i="18"/>
  <c r="AV12" i="18"/>
  <c r="AW10" i="18"/>
  <c r="AZ10" i="18"/>
  <c r="W10" i="18"/>
  <c r="AA10" i="18"/>
  <c r="S10" i="18"/>
  <c r="BA12" i="18"/>
  <c r="AH11" i="18"/>
  <c r="Y10" i="18"/>
  <c r="U10" i="18"/>
  <c r="AU10" i="18"/>
  <c r="AR10" i="18"/>
  <c r="AL9" i="18"/>
  <c r="AI10" i="18"/>
  <c r="AW12" i="18"/>
  <c r="AG12" i="18"/>
  <c r="X12" i="18"/>
  <c r="Y12" i="18"/>
  <c r="AC12" i="18"/>
  <c r="AC10" i="18"/>
  <c r="AK12" i="18"/>
  <c r="V11" i="18"/>
  <c r="AS10" i="18"/>
  <c r="AQ10" i="18"/>
  <c r="BD12" i="18"/>
  <c r="AN10" i="18"/>
  <c r="AE10" i="18"/>
  <c r="AG10" i="18"/>
  <c r="AM10" i="18"/>
  <c r="Z9" i="18"/>
  <c r="AO12" i="18"/>
  <c r="X10" i="18"/>
  <c r="AF10" i="18"/>
  <c r="T12" i="18"/>
  <c r="AO10" i="18"/>
  <c r="BD10" i="18"/>
  <c r="AZ12" i="18"/>
  <c r="AJ10" i="18"/>
  <c r="AB12" i="18"/>
  <c r="AM9" i="18"/>
  <c r="AZ9" i="18"/>
  <c r="AL11" i="18"/>
  <c r="AP7" i="18"/>
  <c r="T9" i="18"/>
  <c r="AK9" i="18"/>
  <c r="AR12" i="18"/>
  <c r="W9" i="18"/>
  <c r="AD11" i="18"/>
  <c r="BC9" i="18"/>
  <c r="AQ9" i="18"/>
  <c r="AU9" i="18"/>
  <c r="BE12" i="18"/>
  <c r="U9" i="18"/>
  <c r="AI9" i="18"/>
  <c r="BE10" i="18"/>
  <c r="AR9" i="18"/>
  <c r="AJ9" i="18"/>
  <c r="AS9" i="18"/>
  <c r="T10" i="18"/>
  <c r="BD9" i="18"/>
  <c r="BC12" i="18"/>
  <c r="AA9" i="18"/>
  <c r="BI11" i="18"/>
  <c r="BG11" i="18"/>
  <c r="Z11" i="18"/>
  <c r="AC9" i="18"/>
  <c r="BH11" i="18"/>
  <c r="AK10" i="18"/>
  <c r="AB10" i="18"/>
  <c r="AF9" i="18"/>
  <c r="X9" i="18"/>
  <c r="BC10" i="18"/>
  <c r="AN9" i="18"/>
  <c r="AO9" i="18"/>
  <c r="Y9" i="18"/>
  <c r="AE9" i="18"/>
  <c r="AF12" i="18"/>
  <c r="AN12" i="18"/>
  <c r="AV10" i="18"/>
  <c r="BE9" i="18"/>
  <c r="AJ12" i="18"/>
  <c r="AV9" i="18"/>
  <c r="S9" i="18"/>
  <c r="AP11" i="18"/>
  <c r="AB9" i="18"/>
  <c r="BO4" i="18"/>
  <c r="BS3" i="18" s="1"/>
  <c r="BO2" i="18"/>
  <c r="M12" i="18"/>
  <c r="R11" i="18"/>
  <c r="P12" i="18"/>
  <c r="Q12" i="18"/>
  <c r="R9" i="18"/>
  <c r="I12" i="18"/>
  <c r="J9" i="18"/>
  <c r="N9" i="18"/>
  <c r="L12" i="18"/>
  <c r="N11" i="18"/>
  <c r="H12" i="18"/>
  <c r="J11" i="18"/>
  <c r="AP9" i="18" l="1"/>
  <c r="AW14" i="18"/>
  <c r="Z10" i="18"/>
  <c r="X14" i="18"/>
  <c r="AS14" i="18"/>
  <c r="AC14" i="18"/>
  <c r="Y14" i="18"/>
  <c r="U14" i="18"/>
  <c r="BA14" i="18"/>
  <c r="AO14" i="18"/>
  <c r="BI12" i="18"/>
  <c r="BD14" i="18"/>
  <c r="AG14" i="18"/>
  <c r="AD10" i="18"/>
  <c r="AH10" i="18"/>
  <c r="BE14" i="18"/>
  <c r="AJ14" i="18"/>
  <c r="BH12" i="18"/>
  <c r="BM11" i="18"/>
  <c r="AB14" i="18"/>
  <c r="AP10" i="18"/>
  <c r="BI10" i="18"/>
  <c r="V10" i="18"/>
  <c r="AV14" i="18"/>
  <c r="AZ14" i="18"/>
  <c r="AT11" i="18"/>
  <c r="AL12" i="18"/>
  <c r="AI12" i="18"/>
  <c r="AI14" i="18" s="1"/>
  <c r="BH9" i="18"/>
  <c r="AP12" i="18"/>
  <c r="AM12" i="18"/>
  <c r="AM14" i="18" s="1"/>
  <c r="BG9" i="18"/>
  <c r="AH9" i="18"/>
  <c r="BG12" i="18"/>
  <c r="BG10" i="18"/>
  <c r="BL11" i="18"/>
  <c r="T14" i="18"/>
  <c r="BK11" i="18"/>
  <c r="BH10" i="18"/>
  <c r="AU12" i="18"/>
  <c r="AU14" i="18" s="1"/>
  <c r="AR14" i="18"/>
  <c r="AK14" i="18"/>
  <c r="Z12" i="18"/>
  <c r="W12" i="18"/>
  <c r="W14" i="18" s="1"/>
  <c r="AF14" i="18"/>
  <c r="AD9" i="18"/>
  <c r="AN14" i="18"/>
  <c r="V9" i="18"/>
  <c r="AD12" i="18"/>
  <c r="AA12" i="18"/>
  <c r="AA14" i="18" s="1"/>
  <c r="AQ12" i="18"/>
  <c r="AQ14" i="18" s="1"/>
  <c r="V12" i="18"/>
  <c r="S12" i="18"/>
  <c r="S14" i="18" s="1"/>
  <c r="BC14" i="18"/>
  <c r="AH12" i="18"/>
  <c r="AE12" i="18"/>
  <c r="AE14" i="18" s="1"/>
  <c r="AT7" i="18"/>
  <c r="BI9" i="18"/>
  <c r="BS4" i="18"/>
  <c r="BW3" i="18" s="1"/>
  <c r="BS2" i="18"/>
  <c r="O10" i="18"/>
  <c r="P10" i="18"/>
  <c r="P14" i="18" s="1"/>
  <c r="N12" i="18"/>
  <c r="Q10" i="18"/>
  <c r="Q14" i="18" s="1"/>
  <c r="R12" i="18"/>
  <c r="K10" i="18"/>
  <c r="M10" i="18"/>
  <c r="M14" i="18" s="1"/>
  <c r="L10" i="18"/>
  <c r="L14" i="18" s="1"/>
  <c r="I10" i="18"/>
  <c r="I14" i="18" s="1"/>
  <c r="G10" i="18"/>
  <c r="H10" i="18"/>
  <c r="H14" i="18" s="1"/>
  <c r="J12" i="18"/>
  <c r="C52" i="6" l="1"/>
  <c r="Z14" i="18"/>
  <c r="Z18" i="18" s="1"/>
  <c r="BM10" i="18"/>
  <c r="BL10" i="18"/>
  <c r="BI14" i="18"/>
  <c r="BH14" i="18"/>
  <c r="BL12" i="18"/>
  <c r="BG14" i="18"/>
  <c r="AP14" i="18"/>
  <c r="AP18" i="18" s="1"/>
  <c r="AT12" i="18"/>
  <c r="AX12" i="18"/>
  <c r="AT10" i="18"/>
  <c r="BK12" i="18"/>
  <c r="BQ11" i="18"/>
  <c r="AY12" i="18"/>
  <c r="AY14" i="18" s="1"/>
  <c r="AL10" i="18"/>
  <c r="AL14" i="18" s="1"/>
  <c r="AL18" i="18" s="1"/>
  <c r="AD14" i="18"/>
  <c r="AD18" i="18" s="1"/>
  <c r="BM12" i="18"/>
  <c r="BK10" i="18"/>
  <c r="BM9" i="18"/>
  <c r="AX11" i="18"/>
  <c r="AX7" i="18"/>
  <c r="BP11" i="18"/>
  <c r="V14" i="18"/>
  <c r="V18" i="18" s="1"/>
  <c r="BL9" i="18"/>
  <c r="AH14" i="18"/>
  <c r="AH18" i="18" s="1"/>
  <c r="C132" i="6"/>
  <c r="BO11" i="18" s="1"/>
  <c r="BK9" i="18"/>
  <c r="BW4" i="18"/>
  <c r="CA3" i="18" s="1"/>
  <c r="BW2" i="18"/>
  <c r="R10" i="18"/>
  <c r="R14" i="18" s="1"/>
  <c r="R18" i="18" s="1"/>
  <c r="O12" i="18"/>
  <c r="O14" i="18" s="1"/>
  <c r="K12" i="18"/>
  <c r="K14" i="18" s="1"/>
  <c r="N10" i="18"/>
  <c r="N14" i="18" s="1"/>
  <c r="N18" i="18" s="1"/>
  <c r="G12" i="18"/>
  <c r="G14" i="18" s="1"/>
  <c r="J10" i="18"/>
  <c r="J14" i="18" s="1"/>
  <c r="J18" i="18" s="1"/>
  <c r="C39" i="6" l="1"/>
  <c r="AX9" i="18"/>
  <c r="BL14" i="18"/>
  <c r="BQ12" i="18"/>
  <c r="BP12" i="18"/>
  <c r="BT11" i="18"/>
  <c r="BM14" i="18"/>
  <c r="BK14" i="18"/>
  <c r="BU11" i="18"/>
  <c r="BO12" i="18"/>
  <c r="BS11" i="18"/>
  <c r="AT9" i="18"/>
  <c r="AT14" i="18" s="1"/>
  <c r="AT18" i="18" s="1"/>
  <c r="BB12" i="18"/>
  <c r="BB7" i="18"/>
  <c r="AX10" i="18"/>
  <c r="BB11" i="18"/>
  <c r="CA4" i="18"/>
  <c r="CE3" i="18" s="1"/>
  <c r="CA2" i="18"/>
  <c r="J19" i="18"/>
  <c r="N19" i="18" s="1"/>
  <c r="R19" i="18" s="1"/>
  <c r="V19" i="18" s="1"/>
  <c r="Z19" i="18" s="1"/>
  <c r="AD19" i="18" s="1"/>
  <c r="AH19" i="18" s="1"/>
  <c r="AL19" i="18" s="1"/>
  <c r="AP19" i="18" s="1"/>
  <c r="AT19" i="18" l="1"/>
  <c r="BU12" i="18"/>
  <c r="BT12" i="18"/>
  <c r="BU10" i="18"/>
  <c r="BT10" i="18"/>
  <c r="BF12" i="18"/>
  <c r="AX14" i="18"/>
  <c r="AX18" i="18" s="1"/>
  <c r="BY11" i="18"/>
  <c r="BB10" i="18"/>
  <c r="BU9" i="18"/>
  <c r="BS9" i="18"/>
  <c r="BX11" i="18"/>
  <c r="BT9" i="18"/>
  <c r="BS10" i="18"/>
  <c r="BW11" i="18"/>
  <c r="BF11" i="18"/>
  <c r="BS12" i="18"/>
  <c r="BF7" i="18"/>
  <c r="CE2" i="18"/>
  <c r="CE4" i="18"/>
  <c r="CI3" i="18" s="1"/>
  <c r="AX19" i="18" l="1"/>
  <c r="BT14" i="18"/>
  <c r="BF10" i="18"/>
  <c r="BX10" i="18"/>
  <c r="BY10" i="18"/>
  <c r="BU14" i="18"/>
  <c r="BB9" i="18"/>
  <c r="BB14" i="18" s="1"/>
  <c r="BB18" i="18" s="1"/>
  <c r="BY12" i="18"/>
  <c r="BX12" i="18"/>
  <c r="CC11" i="18"/>
  <c r="BX9" i="18"/>
  <c r="CB11" i="18"/>
  <c r="BJ12" i="18"/>
  <c r="BW9" i="18"/>
  <c r="BJ11" i="18"/>
  <c r="BW10" i="18"/>
  <c r="BS14" i="18"/>
  <c r="BJ7" i="18"/>
  <c r="CA11" i="18"/>
  <c r="BY9" i="18"/>
  <c r="BW12" i="18"/>
  <c r="CI2" i="18"/>
  <c r="CI4" i="18"/>
  <c r="CM3" i="18" s="1"/>
  <c r="BB19" i="18" l="1"/>
  <c r="BJ9" i="18"/>
  <c r="CB12" i="18"/>
  <c r="BW14" i="18"/>
  <c r="BX14" i="18"/>
  <c r="CB10" i="18"/>
  <c r="BY14" i="18"/>
  <c r="BJ10" i="18"/>
  <c r="BF9" i="18"/>
  <c r="BF14" i="18" s="1"/>
  <c r="BF18" i="18" s="1"/>
  <c r="BN12" i="18"/>
  <c r="BN7" i="18"/>
  <c r="BN11" i="18"/>
  <c r="CG11" i="18"/>
  <c r="CB9" i="18"/>
  <c r="CF11" i="18"/>
  <c r="CA9" i="18"/>
  <c r="CC12" i="18"/>
  <c r="CC9" i="18"/>
  <c r="CE11" i="18"/>
  <c r="CA10" i="18"/>
  <c r="CC10" i="18"/>
  <c r="CM4" i="18"/>
  <c r="CQ3" i="18" s="1"/>
  <c r="CM2" i="18"/>
  <c r="H139" i="6" l="1"/>
  <c r="BR12" i="18" s="1"/>
  <c r="BN9" i="18"/>
  <c r="BF19" i="18"/>
  <c r="BJ14" i="18"/>
  <c r="BJ18" i="18" s="1"/>
  <c r="CG12" i="18"/>
  <c r="CF12" i="18"/>
  <c r="CB14" i="18"/>
  <c r="CF10" i="18"/>
  <c r="CG10" i="18"/>
  <c r="CF9" i="18"/>
  <c r="CE12" i="18"/>
  <c r="CK11" i="18"/>
  <c r="CI11" i="18"/>
  <c r="H132" i="6"/>
  <c r="BR11" i="18" s="1"/>
  <c r="CE10" i="18"/>
  <c r="CA12" i="18"/>
  <c r="CA14" i="18" s="1"/>
  <c r="CC14" i="18"/>
  <c r="CG9" i="18"/>
  <c r="CJ11" i="18"/>
  <c r="BR7" i="18"/>
  <c r="CE9" i="18"/>
  <c r="BN10" i="18"/>
  <c r="CQ4" i="18"/>
  <c r="CU3" i="18" s="1"/>
  <c r="CQ2" i="18"/>
  <c r="BJ19" i="18" l="1"/>
  <c r="CJ12" i="18"/>
  <c r="CJ10" i="18"/>
  <c r="BV12" i="18"/>
  <c r="CN11" i="18"/>
  <c r="CE14" i="18"/>
  <c r="CG14" i="18"/>
  <c r="CK10" i="18"/>
  <c r="CF14" i="18"/>
  <c r="BN14" i="18"/>
  <c r="BN18" i="18" s="1"/>
  <c r="CK9" i="18"/>
  <c r="CM11" i="18"/>
  <c r="CJ9" i="18"/>
  <c r="BV11" i="18"/>
  <c r="CO11" i="18"/>
  <c r="CI10" i="18"/>
  <c r="CK12" i="18"/>
  <c r="CI9" i="18"/>
  <c r="BV7" i="18"/>
  <c r="CI12" i="18"/>
  <c r="CU4" i="18"/>
  <c r="CY3" i="18" s="1"/>
  <c r="CU2" i="18"/>
  <c r="BN19" i="18" l="1"/>
  <c r="CJ14" i="18"/>
  <c r="CN12" i="18"/>
  <c r="CO12" i="18"/>
  <c r="CM10" i="18"/>
  <c r="BZ11" i="18"/>
  <c r="CK14" i="18"/>
  <c r="CR11" i="18"/>
  <c r="BZ12" i="18"/>
  <c r="CM12" i="18"/>
  <c r="CI14" i="18"/>
  <c r="CN9" i="18"/>
  <c r="BV10" i="18"/>
  <c r="CN10" i="18"/>
  <c r="CO10" i="18"/>
  <c r="BZ7" i="18"/>
  <c r="CO9" i="18"/>
  <c r="CS11" i="18"/>
  <c r="CQ11" i="18"/>
  <c r="CM9" i="18"/>
  <c r="CY4" i="18"/>
  <c r="DC3" i="18" s="1"/>
  <c r="CY2" i="18"/>
  <c r="BZ9" i="18" l="1"/>
  <c r="CR12" i="18"/>
  <c r="CO14" i="18"/>
  <c r="BV9" i="18"/>
  <c r="BV14" i="18" s="1"/>
  <c r="BV18" i="18" s="1"/>
  <c r="CQ10" i="18"/>
  <c r="CD12" i="18"/>
  <c r="CS10" i="18"/>
  <c r="CR10" i="18"/>
  <c r="CN14" i="18"/>
  <c r="CM14" i="18"/>
  <c r="CQ9" i="18"/>
  <c r="CV11" i="18"/>
  <c r="CD7" i="18"/>
  <c r="CQ12" i="18"/>
  <c r="BZ10" i="18"/>
  <c r="CS12" i="18"/>
  <c r="CW11" i="18"/>
  <c r="CR9" i="18"/>
  <c r="CD11" i="18"/>
  <c r="CS9" i="18"/>
  <c r="CU11" i="18"/>
  <c r="DC4" i="18"/>
  <c r="DG3" i="18" s="1"/>
  <c r="DC2" i="18"/>
  <c r="CD9" i="18" l="1"/>
  <c r="CV12" i="18"/>
  <c r="CR14" i="18"/>
  <c r="CW12" i="18"/>
  <c r="CS14" i="18"/>
  <c r="BZ14" i="18"/>
  <c r="BZ18" i="18" s="1"/>
  <c r="CH11" i="18"/>
  <c r="CH12" i="18"/>
  <c r="CZ11" i="18"/>
  <c r="CV10" i="18"/>
  <c r="CQ14" i="18"/>
  <c r="CD10" i="18"/>
  <c r="CW9" i="18"/>
  <c r="CY11" i="18"/>
  <c r="CV9" i="18"/>
  <c r="CU9" i="18"/>
  <c r="DA11" i="18"/>
  <c r="CU12" i="18"/>
  <c r="CH7" i="18"/>
  <c r="CW10" i="18"/>
  <c r="CZ12" i="18"/>
  <c r="CU10" i="18"/>
  <c r="DG4" i="18"/>
  <c r="DK3" i="18" s="1"/>
  <c r="DG2" i="18"/>
  <c r="DA10" i="18" l="1"/>
  <c r="CL12" i="18"/>
  <c r="CV14" i="18"/>
  <c r="CD14" i="18"/>
  <c r="CD18" i="18" s="1"/>
  <c r="CY9" i="18"/>
  <c r="DE11" i="18"/>
  <c r="DC11" i="18"/>
  <c r="CY10" i="18"/>
  <c r="CZ10" i="18"/>
  <c r="CU14" i="18"/>
  <c r="DA12" i="18"/>
  <c r="CL7" i="18"/>
  <c r="CL11" i="18"/>
  <c r="CW14" i="18"/>
  <c r="DD11" i="18"/>
  <c r="CH10" i="18"/>
  <c r="CZ9" i="18"/>
  <c r="DA9" i="18"/>
  <c r="DK2" i="18"/>
  <c r="DK4" i="18"/>
  <c r="DO3" i="18" s="1"/>
  <c r="CZ14" i="18" l="1"/>
  <c r="DD12" i="18"/>
  <c r="DD10" i="18"/>
  <c r="DE12" i="18"/>
  <c r="DE10" i="18"/>
  <c r="CP12" i="18"/>
  <c r="DA14" i="18"/>
  <c r="DC12" i="18"/>
  <c r="CL10" i="18"/>
  <c r="DE9" i="18"/>
  <c r="DI11" i="18"/>
  <c r="CP7" i="18"/>
  <c r="DG11" i="18"/>
  <c r="CY12" i="18"/>
  <c r="CY14" i="18" s="1"/>
  <c r="DC10" i="18"/>
  <c r="DC9" i="18"/>
  <c r="CH9" i="18"/>
  <c r="CH14" i="18" s="1"/>
  <c r="CH18" i="18" s="1"/>
  <c r="DH11" i="18"/>
  <c r="CP11" i="18"/>
  <c r="DD9" i="18"/>
  <c r="DO2" i="18"/>
  <c r="DO4" i="18"/>
  <c r="DS3" i="18" s="1"/>
  <c r="DD14" i="18" l="1"/>
  <c r="DE14" i="18"/>
  <c r="DI10" i="18"/>
  <c r="DH12" i="18"/>
  <c r="DC14" i="18"/>
  <c r="CT11" i="18"/>
  <c r="DH10" i="18"/>
  <c r="CP10" i="18"/>
  <c r="DM11" i="18"/>
  <c r="DH9" i="18"/>
  <c r="DK11" i="18"/>
  <c r="CT7" i="18"/>
  <c r="DI12" i="18"/>
  <c r="CL9" i="18"/>
  <c r="CL14" i="18" s="1"/>
  <c r="CL18" i="18" s="1"/>
  <c r="DL11" i="18"/>
  <c r="DI9" i="18"/>
  <c r="DG10" i="18"/>
  <c r="CP9" i="18"/>
  <c r="CT12" i="18"/>
  <c r="DG9" i="18"/>
  <c r="DG12" i="18"/>
  <c r="DS4" i="18"/>
  <c r="DS2" i="18"/>
  <c r="CT9" i="18" l="1"/>
  <c r="DM12" i="18"/>
  <c r="CP14" i="18"/>
  <c r="CP18" i="18" s="1"/>
  <c r="DM10" i="18"/>
  <c r="DL12" i="18"/>
  <c r="DL10" i="18"/>
  <c r="DI14" i="18"/>
  <c r="DK10" i="18"/>
  <c r="CX12" i="18"/>
  <c r="DH14" i="18"/>
  <c r="DL9" i="18"/>
  <c r="DM9" i="18"/>
  <c r="CX11" i="18"/>
  <c r="DG14" i="18"/>
  <c r="CX7" i="18"/>
  <c r="DQ11" i="18"/>
  <c r="DO11" i="18"/>
  <c r="DK9" i="18"/>
  <c r="DP11" i="18"/>
  <c r="CT10" i="18"/>
  <c r="CT14" i="18" l="1"/>
  <c r="CT18" i="18" s="1"/>
  <c r="DM14" i="18"/>
  <c r="DB12" i="18"/>
  <c r="DP12" i="18"/>
  <c r="DL14" i="18"/>
  <c r="CX10" i="18"/>
  <c r="DT11" i="18"/>
  <c r="DQ12" i="18"/>
  <c r="DB7" i="18"/>
  <c r="DO9" i="18"/>
  <c r="DP9" i="18"/>
  <c r="DQ9" i="18"/>
  <c r="CX9" i="18"/>
  <c r="DU11" i="18"/>
  <c r="DS11" i="18"/>
  <c r="DB11" i="18"/>
  <c r="DP10" i="18"/>
  <c r="DQ10" i="18"/>
  <c r="DK12" i="18"/>
  <c r="DK14" i="18" s="1"/>
  <c r="DO10" i="18"/>
  <c r="CX14" i="18" l="1"/>
  <c r="CX18" i="18" s="1"/>
  <c r="DT12" i="18"/>
  <c r="DP14" i="18"/>
  <c r="DU10" i="18"/>
  <c r="DU12" i="18"/>
  <c r="DF12" i="18"/>
  <c r="DS9" i="18"/>
  <c r="DB10" i="18"/>
  <c r="DS12" i="18"/>
  <c r="DF7" i="18"/>
  <c r="DU9" i="18"/>
  <c r="DT9" i="18"/>
  <c r="DT10" i="18"/>
  <c r="DF11" i="18"/>
  <c r="DS10" i="18"/>
  <c r="DO12" i="18"/>
  <c r="DO14" i="18" s="1"/>
  <c r="DQ14" i="18"/>
  <c r="DU14" i="18" l="1"/>
  <c r="DJ12" i="18"/>
  <c r="DB9" i="18"/>
  <c r="DB14" i="18" s="1"/>
  <c r="DB18" i="18" s="1"/>
  <c r="DS14" i="18"/>
  <c r="DT14" i="18"/>
  <c r="DF10" i="18"/>
  <c r="DF9" i="18"/>
  <c r="DJ7" i="18"/>
  <c r="DJ11" i="18"/>
  <c r="DJ9" i="18" l="1"/>
  <c r="DF14" i="18"/>
  <c r="DF18" i="18" s="1"/>
  <c r="DN12" i="18"/>
  <c r="DN7" i="18"/>
  <c r="DN11" i="18"/>
  <c r="DJ10" i="18"/>
  <c r="DN10" i="18" l="1"/>
  <c r="DR12" i="18"/>
  <c r="DR11" i="18"/>
  <c r="DJ14" i="18"/>
  <c r="DJ18" i="18" s="1"/>
  <c r="DR7" i="18"/>
  <c r="DV12" i="18" l="1"/>
  <c r="DR9" i="18"/>
  <c r="DV11" i="18"/>
  <c r="DN9" i="18"/>
  <c r="DN14" i="18" s="1"/>
  <c r="DN18" i="18" s="1"/>
  <c r="DR10" i="18"/>
  <c r="DV7" i="18"/>
  <c r="DR14" i="18" l="1"/>
  <c r="DR18" i="18" s="1"/>
  <c r="DV10" i="18"/>
  <c r="DV9" i="18" l="1"/>
  <c r="DV14" i="18" s="1"/>
  <c r="DV18" i="18" s="1"/>
  <c r="H164" i="6" l="1"/>
  <c r="AZ164" i="6"/>
  <c r="E163" i="6" l="1"/>
  <c r="G163" i="6" s="1"/>
  <c r="E170" i="6" l="1"/>
  <c r="G170" i="6" s="1"/>
  <c r="H167" i="6"/>
  <c r="AZ167" i="6"/>
  <c r="H163" i="6" l="1"/>
  <c r="AZ163" i="6"/>
  <c r="AZ170" i="6"/>
  <c r="H170" i="6"/>
  <c r="C50" i="6" l="1"/>
  <c r="C45" i="6" l="1"/>
  <c r="C76" i="6" s="1"/>
  <c r="BO9" i="18" s="1"/>
  <c r="H66" i="6" l="1"/>
  <c r="F91" i="6" l="1"/>
  <c r="AV91" i="6"/>
  <c r="AD91" i="6"/>
  <c r="R91" i="6"/>
  <c r="L91" i="6"/>
  <c r="AP91" i="6"/>
  <c r="X91" i="6"/>
  <c r="AJ91" i="6"/>
  <c r="D92" i="6"/>
  <c r="D91" i="6"/>
  <c r="E91" i="6"/>
  <c r="F83" i="6"/>
  <c r="D87" i="6"/>
  <c r="D85" i="6"/>
  <c r="D83" i="6"/>
  <c r="F84" i="6"/>
  <c r="E82" i="6"/>
  <c r="F90" i="6"/>
  <c r="E81" i="6"/>
  <c r="E90" i="6"/>
  <c r="C87" i="6"/>
  <c r="C84" i="6"/>
  <c r="E84" i="6"/>
  <c r="D81" i="6"/>
  <c r="C82" i="6"/>
  <c r="C83" i="6"/>
  <c r="E87" i="6"/>
  <c r="E92" i="6"/>
  <c r="C81" i="6"/>
  <c r="D84" i="6"/>
  <c r="D90" i="6"/>
  <c r="C92" i="6"/>
  <c r="E85" i="6"/>
  <c r="F92" i="6"/>
  <c r="D82" i="6"/>
  <c r="C90" i="6"/>
  <c r="E83" i="6"/>
  <c r="F81" i="6"/>
  <c r="C85" i="6"/>
  <c r="F85" i="6"/>
  <c r="F87" i="6"/>
  <c r="F82" i="6"/>
  <c r="G92" i="6" l="1"/>
  <c r="H92" i="6" s="1"/>
  <c r="G90" i="6"/>
  <c r="G85" i="6"/>
  <c r="G81" i="6"/>
  <c r="G87" i="6"/>
  <c r="G84" i="6"/>
  <c r="G83" i="6"/>
  <c r="G91" i="6"/>
  <c r="G82" i="6"/>
  <c r="D89" i="6"/>
  <c r="D80" i="6"/>
  <c r="E80" i="6"/>
  <c r="C89" i="6"/>
  <c r="C80" i="6"/>
  <c r="F89" i="6"/>
  <c r="F80" i="6"/>
  <c r="E89" i="6"/>
  <c r="F122" i="6" l="1"/>
  <c r="F123" i="6" s="1"/>
  <c r="F141" i="6" s="1"/>
  <c r="F153" i="6" s="1"/>
  <c r="F172" i="6" s="1"/>
  <c r="L27" i="6" s="1"/>
  <c r="L17" i="6" s="1"/>
  <c r="D122" i="6"/>
  <c r="BP10" i="18" s="1"/>
  <c r="H87" i="6"/>
  <c r="H90" i="6"/>
  <c r="G89" i="6"/>
  <c r="H85" i="6"/>
  <c r="H82" i="6"/>
  <c r="H91" i="6"/>
  <c r="C122" i="6"/>
  <c r="H84" i="6"/>
  <c r="H81" i="6"/>
  <c r="G80" i="6"/>
  <c r="H83" i="6"/>
  <c r="E122" i="6"/>
  <c r="H80" i="6" l="1"/>
  <c r="BO10" i="18"/>
  <c r="BO14" i="18" s="1"/>
  <c r="C123" i="6"/>
  <c r="C141" i="6" s="1"/>
  <c r="H89" i="6"/>
  <c r="G122" i="6"/>
  <c r="H122" i="6" l="1"/>
  <c r="BQ10" i="18"/>
  <c r="C147" i="6"/>
  <c r="C148" i="6"/>
  <c r="C153" i="6"/>
  <c r="C172" i="6" s="1"/>
  <c r="I21" i="6" s="1"/>
  <c r="I17" i="6" s="1"/>
  <c r="BR10" i="18" l="1"/>
  <c r="I33" i="6"/>
  <c r="C151" i="6"/>
  <c r="C150" i="6"/>
  <c r="I146" i="6" l="1"/>
  <c r="AN111" i="6" l="1"/>
  <c r="AZ112" i="6" l="1"/>
  <c r="AR112" i="6" l="1"/>
  <c r="E53" i="6" l="1"/>
  <c r="E52" i="6" s="1"/>
  <c r="D40" i="6" l="1"/>
  <c r="G40" i="6" s="1"/>
  <c r="D49" i="6"/>
  <c r="D46" i="6"/>
  <c r="G46" i="6" s="1"/>
  <c r="D47" i="6"/>
  <c r="G47" i="6" s="1"/>
  <c r="D54" i="6"/>
  <c r="G54" i="6" s="1"/>
  <c r="D42" i="6"/>
  <c r="G42" i="6" s="1"/>
  <c r="D43" i="6"/>
  <c r="G43" i="6" s="1"/>
  <c r="D41" i="6"/>
  <c r="G41" i="6" s="1"/>
  <c r="D48" i="6"/>
  <c r="G48" i="6" s="1"/>
  <c r="D53" i="6"/>
  <c r="G53" i="6" s="1"/>
  <c r="D50" i="6"/>
  <c r="G50" i="6" s="1"/>
  <c r="G49" i="6" l="1"/>
  <c r="H49" i="6" s="1"/>
  <c r="H50" i="6"/>
  <c r="H40" i="6"/>
  <c r="G39" i="6"/>
  <c r="H48" i="6"/>
  <c r="H41" i="6"/>
  <c r="H42" i="6"/>
  <c r="D45" i="6"/>
  <c r="D52" i="6"/>
  <c r="H54" i="6"/>
  <c r="H47" i="6"/>
  <c r="D39" i="6"/>
  <c r="H43" i="6"/>
  <c r="D76" i="6" l="1"/>
  <c r="D123" i="6" s="1"/>
  <c r="D141" i="6" s="1"/>
  <c r="H39" i="6"/>
  <c r="G45" i="6"/>
  <c r="H46" i="6"/>
  <c r="H45" i="6" s="1"/>
  <c r="G52" i="6"/>
  <c r="H53" i="6"/>
  <c r="H52" i="6" s="1"/>
  <c r="BP9" i="18" l="1"/>
  <c r="BP14" i="18" s="1"/>
  <c r="D147" i="6"/>
  <c r="D153" i="6"/>
  <c r="D148" i="6"/>
  <c r="G148" i="6" s="1"/>
  <c r="G147" i="6" l="1"/>
  <c r="H147" i="6" s="1"/>
  <c r="D172" i="6"/>
  <c r="J22" i="6"/>
  <c r="J17" i="6" s="1"/>
  <c r="D151" i="6"/>
  <c r="D150" i="6"/>
  <c r="H148" i="6"/>
  <c r="J33" i="6"/>
  <c r="G151" i="6" l="1"/>
  <c r="H151" i="6" s="1"/>
  <c r="G150" i="6"/>
  <c r="H150" i="6" s="1"/>
  <c r="J146" i="6"/>
  <c r="M146" i="6" l="1"/>
  <c r="N146" i="6" s="1"/>
  <c r="E56" i="6"/>
  <c r="E76" i="6" s="1"/>
  <c r="E123" i="6" s="1"/>
  <c r="E141" i="6" s="1"/>
  <c r="E153" i="6" s="1"/>
  <c r="E172" i="6" s="1"/>
  <c r="K26" i="6" s="1"/>
  <c r="K17" i="6" s="1"/>
  <c r="M17" i="6" s="1"/>
  <c r="G56" i="6" l="1"/>
  <c r="H62" i="6"/>
  <c r="H56" i="6" s="1"/>
  <c r="H76" i="6" s="1"/>
  <c r="BR9" i="18" l="1"/>
  <c r="BR14" i="18" s="1"/>
  <c r="BR18" i="18" s="1"/>
  <c r="BR19" i="18" s="1"/>
  <c r="BV19" i="18" s="1"/>
  <c r="BZ19" i="18" s="1"/>
  <c r="CD19" i="18" s="1"/>
  <c r="CH19" i="18" s="1"/>
  <c r="CL19" i="18" s="1"/>
  <c r="CP19" i="18" s="1"/>
  <c r="CT19" i="18" s="1"/>
  <c r="CX19" i="18" s="1"/>
  <c r="DB19" i="18" s="1"/>
  <c r="DF19" i="18" s="1"/>
  <c r="DJ19" i="18" s="1"/>
  <c r="DN19" i="18" s="1"/>
  <c r="DR19" i="18" s="1"/>
  <c r="DV19" i="18" s="1"/>
  <c r="H123" i="6"/>
  <c r="H141" i="6" s="1"/>
  <c r="H153" i="6" s="1"/>
  <c r="H172" i="6" s="1"/>
  <c r="N17" i="6"/>
  <c r="G76" i="6"/>
  <c r="G123" i="6" l="1"/>
  <c r="BQ9" i="18"/>
  <c r="BQ14" i="18" s="1"/>
  <c r="G141" i="6" l="1"/>
  <c r="G153" i="6" l="1"/>
  <c r="G172" i="6" s="1"/>
  <c r="G174" i="6" s="1"/>
  <c r="H174" i="6" l="1"/>
  <c r="G175" i="6"/>
  <c r="H175" i="6" s="1"/>
  <c r="I12" i="6"/>
  <c r="I13" i="6" l="1"/>
  <c r="O12" i="6" s="1"/>
  <c r="J46" i="6"/>
  <c r="J53" i="6"/>
  <c r="I68" i="6"/>
  <c r="K62" i="6"/>
  <c r="M62" i="6" s="1"/>
  <c r="K40" i="6"/>
  <c r="J40" i="6"/>
  <c r="I69" i="6"/>
  <c r="I40" i="6"/>
  <c r="J90" i="6"/>
  <c r="L81" i="6"/>
  <c r="J81" i="6"/>
  <c r="I126" i="6"/>
  <c r="I96" i="6"/>
  <c r="K102" i="6"/>
  <c r="I95" i="6"/>
  <c r="K81" i="6"/>
  <c r="L46" i="6"/>
  <c r="L95" i="6"/>
  <c r="L102" i="6"/>
  <c r="J107" i="6"/>
  <c r="I99" i="6"/>
  <c r="I118" i="6"/>
  <c r="I117" i="6"/>
  <c r="M117" i="6" s="1"/>
  <c r="I64" i="6"/>
  <c r="I67" i="6"/>
  <c r="L40" i="6"/>
  <c r="K90" i="6"/>
  <c r="I53" i="6"/>
  <c r="I128" i="6"/>
  <c r="I107" i="6"/>
  <c r="L90" i="6"/>
  <c r="I90" i="6"/>
  <c r="I131" i="6"/>
  <c r="I130" i="6"/>
  <c r="I104" i="6"/>
  <c r="L107" i="6"/>
  <c r="J102" i="6"/>
  <c r="I108" i="6"/>
  <c r="I98" i="6"/>
  <c r="K67" i="6"/>
  <c r="K118" i="6"/>
  <c r="K111" i="6" s="1"/>
  <c r="I71" i="6"/>
  <c r="I81" i="6"/>
  <c r="K126" i="6"/>
  <c r="L126" i="6"/>
  <c r="I102" i="6"/>
  <c r="I120" i="6"/>
  <c r="I72" i="6"/>
  <c r="I47" i="6"/>
  <c r="I54" i="6"/>
  <c r="I49" i="6"/>
  <c r="J91" i="6"/>
  <c r="I92" i="6"/>
  <c r="K95" i="6"/>
  <c r="I127" i="6"/>
  <c r="J126" i="6"/>
  <c r="J68" i="6"/>
  <c r="I87" i="6"/>
  <c r="I83" i="6"/>
  <c r="L84" i="6"/>
  <c r="L92" i="6"/>
  <c r="K91" i="6"/>
  <c r="K42" i="6"/>
  <c r="K49" i="6"/>
  <c r="L127" i="6"/>
  <c r="K129" i="6"/>
  <c r="L131" i="6"/>
  <c r="L66" i="6"/>
  <c r="J120" i="6"/>
  <c r="J72" i="6"/>
  <c r="J67" i="6"/>
  <c r="I97" i="6"/>
  <c r="I109" i="6"/>
  <c r="I66" i="6"/>
  <c r="I129" i="6"/>
  <c r="J95" i="6"/>
  <c r="J69" i="6"/>
  <c r="J47" i="6"/>
  <c r="J54" i="6"/>
  <c r="J49" i="6"/>
  <c r="J42" i="6"/>
  <c r="L68" i="6"/>
  <c r="K87" i="6"/>
  <c r="K85" i="6"/>
  <c r="K46" i="6"/>
  <c r="L54" i="6"/>
  <c r="K127" i="6"/>
  <c r="J127" i="6"/>
  <c r="J131" i="6"/>
  <c r="K97" i="6"/>
  <c r="J104" i="6"/>
  <c r="L96" i="6"/>
  <c r="J64" i="6"/>
  <c r="K53" i="6"/>
  <c r="L87" i="6"/>
  <c r="L83" i="6"/>
  <c r="J82" i="6"/>
  <c r="L49" i="6"/>
  <c r="L47" i="6"/>
  <c r="J129" i="6"/>
  <c r="L128" i="6"/>
  <c r="K103" i="6"/>
  <c r="L97" i="6"/>
  <c r="J66" i="6"/>
  <c r="K104" i="6"/>
  <c r="L72" i="6"/>
  <c r="K68" i="6"/>
  <c r="I103" i="6"/>
  <c r="I86" i="6"/>
  <c r="L82" i="6"/>
  <c r="J84" i="6"/>
  <c r="L48" i="6"/>
  <c r="L129" i="6"/>
  <c r="L130" i="6"/>
  <c r="K64" i="6"/>
  <c r="L71" i="6"/>
  <c r="I46" i="6"/>
  <c r="I85" i="6"/>
  <c r="K50" i="6"/>
  <c r="K109" i="6"/>
  <c r="K96" i="6"/>
  <c r="J98" i="6"/>
  <c r="K72" i="6"/>
  <c r="K107" i="6"/>
  <c r="I48" i="6"/>
  <c r="I84" i="6"/>
  <c r="K43" i="6"/>
  <c r="J128" i="6"/>
  <c r="L109" i="6"/>
  <c r="J96" i="6"/>
  <c r="K108" i="6"/>
  <c r="J86" i="6"/>
  <c r="K84" i="6"/>
  <c r="J87" i="6"/>
  <c r="J108" i="6"/>
  <c r="J48" i="6"/>
  <c r="K92" i="6"/>
  <c r="J103" i="6"/>
  <c r="L98" i="6"/>
  <c r="L104" i="6"/>
  <c r="K69" i="6"/>
  <c r="L85" i="6"/>
  <c r="L120" i="6"/>
  <c r="J130" i="6"/>
  <c r="I43" i="6"/>
  <c r="L86" i="6"/>
  <c r="K83" i="6"/>
  <c r="L42" i="6"/>
  <c r="L43" i="6"/>
  <c r="K130" i="6"/>
  <c r="K120" i="6"/>
  <c r="L99" i="6"/>
  <c r="K99" i="6"/>
  <c r="K48" i="6"/>
  <c r="J43" i="6"/>
  <c r="I41" i="6"/>
  <c r="L69" i="6"/>
  <c r="K47" i="6"/>
  <c r="K54" i="6"/>
  <c r="K131" i="6"/>
  <c r="J97" i="6"/>
  <c r="K86" i="6"/>
  <c r="K71" i="6"/>
  <c r="J99" i="6"/>
  <c r="J41" i="6"/>
  <c r="J92" i="6"/>
  <c r="L53" i="6"/>
  <c r="K41" i="6"/>
  <c r="K98" i="6"/>
  <c r="L64" i="6"/>
  <c r="L108" i="6"/>
  <c r="K70" i="6"/>
  <c r="M70" i="6" s="1"/>
  <c r="J50" i="6"/>
  <c r="I50" i="6"/>
  <c r="I42" i="6"/>
  <c r="J83" i="6"/>
  <c r="K82" i="6"/>
  <c r="L50" i="6"/>
  <c r="L41" i="6"/>
  <c r="L103" i="6"/>
  <c r="J109" i="6"/>
  <c r="J71" i="6"/>
  <c r="I82" i="6"/>
  <c r="J85" i="6"/>
  <c r="K128" i="6"/>
  <c r="L67" i="6"/>
  <c r="O13" i="6"/>
  <c r="U12" i="6" s="1"/>
  <c r="M118" i="6" l="1"/>
  <c r="M82" i="6"/>
  <c r="N82" i="6" s="1"/>
  <c r="M86" i="6"/>
  <c r="N86" i="6" s="1"/>
  <c r="M81" i="6"/>
  <c r="M92" i="6"/>
  <c r="N92" i="6" s="1"/>
  <c r="M91" i="6"/>
  <c r="N91" i="6" s="1"/>
  <c r="M85" i="6"/>
  <c r="N85" i="6" s="1"/>
  <c r="M87" i="6"/>
  <c r="N87" i="6" s="1"/>
  <c r="M83" i="6"/>
  <c r="N83" i="6" s="1"/>
  <c r="M84" i="6"/>
  <c r="N84" i="6" s="1"/>
  <c r="M90" i="6"/>
  <c r="M46" i="6"/>
  <c r="M42" i="6"/>
  <c r="N42" i="6" s="1"/>
  <c r="L52" i="6"/>
  <c r="M50" i="6"/>
  <c r="N50" i="6" s="1"/>
  <c r="M48" i="6"/>
  <c r="N48" i="6" s="1"/>
  <c r="M41" i="6"/>
  <c r="N41" i="6" s="1"/>
  <c r="M53" i="6"/>
  <c r="M49" i="6"/>
  <c r="N49" i="6" s="1"/>
  <c r="M54" i="6"/>
  <c r="N54" i="6" s="1"/>
  <c r="M71" i="6"/>
  <c r="N71" i="6" s="1"/>
  <c r="M43" i="6"/>
  <c r="N43" i="6" s="1"/>
  <c r="M47" i="6"/>
  <c r="N47" i="6" s="1"/>
  <c r="M67" i="6"/>
  <c r="N67" i="6" s="1"/>
  <c r="M72" i="6"/>
  <c r="N72" i="6" s="1"/>
  <c r="M64" i="6"/>
  <c r="N64" i="6" s="1"/>
  <c r="M40" i="6"/>
  <c r="M126" i="6"/>
  <c r="M128" i="6"/>
  <c r="M127" i="6"/>
  <c r="M130" i="6"/>
  <c r="M131" i="6"/>
  <c r="N131" i="6" s="1"/>
  <c r="M129" i="6"/>
  <c r="N129" i="6" s="1"/>
  <c r="M98" i="6"/>
  <c r="N98" i="6" s="1"/>
  <c r="M95" i="6"/>
  <c r="M102" i="6"/>
  <c r="M69" i="6"/>
  <c r="N69" i="6" s="1"/>
  <c r="M108" i="6"/>
  <c r="N108" i="6" s="1"/>
  <c r="M107" i="6"/>
  <c r="M99" i="6"/>
  <c r="N99" i="6" s="1"/>
  <c r="M96" i="6"/>
  <c r="N96" i="6" s="1"/>
  <c r="M103" i="6"/>
  <c r="M104" i="6"/>
  <c r="N104" i="6" s="1"/>
  <c r="M68" i="6"/>
  <c r="N68" i="6" s="1"/>
  <c r="M120" i="6"/>
  <c r="N120" i="6" s="1"/>
  <c r="M109" i="6"/>
  <c r="N109" i="6" s="1"/>
  <c r="M97" i="6"/>
  <c r="N97" i="6" s="1"/>
  <c r="N130" i="6"/>
  <c r="I45" i="6"/>
  <c r="I80" i="6"/>
  <c r="L106" i="6"/>
  <c r="I52" i="6"/>
  <c r="K101" i="6"/>
  <c r="I39" i="6"/>
  <c r="K52" i="6"/>
  <c r="J132" i="6"/>
  <c r="N127" i="6"/>
  <c r="K89" i="6"/>
  <c r="J106" i="6"/>
  <c r="L101" i="6"/>
  <c r="I132" i="6"/>
  <c r="J39" i="6"/>
  <c r="I101" i="6"/>
  <c r="L39" i="6"/>
  <c r="L94" i="6"/>
  <c r="K39" i="6"/>
  <c r="K66" i="6"/>
  <c r="M66" i="6" s="1"/>
  <c r="I89" i="6"/>
  <c r="L45" i="6"/>
  <c r="J80" i="6"/>
  <c r="N62" i="6"/>
  <c r="K56" i="6"/>
  <c r="K45" i="6"/>
  <c r="L89" i="6"/>
  <c r="K80" i="6"/>
  <c r="L80" i="6"/>
  <c r="K94" i="6"/>
  <c r="L132" i="6"/>
  <c r="I106" i="6"/>
  <c r="I111" i="6"/>
  <c r="J89" i="6"/>
  <c r="J52" i="6"/>
  <c r="O41" i="6"/>
  <c r="P46" i="6"/>
  <c r="O49" i="6"/>
  <c r="Q40" i="6"/>
  <c r="P40" i="6"/>
  <c r="O42" i="6"/>
  <c r="O48" i="6"/>
  <c r="O50" i="6"/>
  <c r="O54" i="6"/>
  <c r="O43" i="6"/>
  <c r="P81" i="6"/>
  <c r="O81" i="6"/>
  <c r="O86" i="6"/>
  <c r="O40" i="6"/>
  <c r="Q62" i="6"/>
  <c r="S62" i="6" s="1"/>
  <c r="O82" i="6"/>
  <c r="O85" i="6"/>
  <c r="O84" i="6"/>
  <c r="O92" i="6"/>
  <c r="P53" i="6"/>
  <c r="Q81" i="6"/>
  <c r="P91" i="6"/>
  <c r="O47" i="6"/>
  <c r="O83" i="6"/>
  <c r="O64" i="6"/>
  <c r="O96" i="6"/>
  <c r="R107" i="6"/>
  <c r="O95" i="6"/>
  <c r="P107" i="6"/>
  <c r="R102" i="6"/>
  <c r="R53" i="6"/>
  <c r="O127" i="6"/>
  <c r="O129" i="6"/>
  <c r="R126" i="6"/>
  <c r="O109" i="6"/>
  <c r="O126" i="6"/>
  <c r="Q102" i="6"/>
  <c r="R95" i="6"/>
  <c r="P102" i="6"/>
  <c r="Q95" i="6"/>
  <c r="R90" i="6"/>
  <c r="R46" i="6"/>
  <c r="Q46" i="6"/>
  <c r="O128" i="6"/>
  <c r="O103" i="6"/>
  <c r="O98" i="6"/>
  <c r="O120" i="6"/>
  <c r="O102" i="6"/>
  <c r="P90" i="6"/>
  <c r="O66" i="6"/>
  <c r="O53" i="6"/>
  <c r="O46" i="6"/>
  <c r="Q126" i="6"/>
  <c r="Q107" i="6"/>
  <c r="P95" i="6"/>
  <c r="O71" i="6"/>
  <c r="Q67" i="6"/>
  <c r="O72" i="6"/>
  <c r="R81" i="6"/>
  <c r="Q90" i="6"/>
  <c r="O90" i="6"/>
  <c r="O131" i="6"/>
  <c r="O130" i="6"/>
  <c r="O104" i="6"/>
  <c r="O99" i="6"/>
  <c r="O117" i="6"/>
  <c r="O107" i="6"/>
  <c r="P42" i="6"/>
  <c r="P87" i="6"/>
  <c r="P84" i="6"/>
  <c r="Q84" i="6"/>
  <c r="R43" i="6"/>
  <c r="R54" i="6"/>
  <c r="Q127" i="6"/>
  <c r="Q130" i="6"/>
  <c r="P109" i="6"/>
  <c r="Q97" i="6"/>
  <c r="Q108" i="6"/>
  <c r="R99" i="6"/>
  <c r="R120" i="6"/>
  <c r="R71" i="6"/>
  <c r="Q69" i="6"/>
  <c r="P50" i="6"/>
  <c r="Q85" i="6"/>
  <c r="Q91" i="6"/>
  <c r="R49" i="6"/>
  <c r="Q48" i="6"/>
  <c r="Q41" i="6"/>
  <c r="P131" i="6"/>
  <c r="P129" i="6"/>
  <c r="P108" i="6"/>
  <c r="Q120" i="6"/>
  <c r="R40" i="6"/>
  <c r="P54" i="6"/>
  <c r="Q53" i="6"/>
  <c r="Q83" i="6"/>
  <c r="P92" i="6"/>
  <c r="R50" i="6"/>
  <c r="R48" i="6"/>
  <c r="R129" i="6"/>
  <c r="Q128" i="6"/>
  <c r="P66" i="6"/>
  <c r="Q118" i="6"/>
  <c r="P96" i="6"/>
  <c r="R98" i="6"/>
  <c r="P103" i="6"/>
  <c r="P71" i="6"/>
  <c r="O118" i="6"/>
  <c r="P85" i="6"/>
  <c r="R127" i="6"/>
  <c r="R131" i="6"/>
  <c r="R97" i="6"/>
  <c r="R108" i="6"/>
  <c r="R104" i="6"/>
  <c r="P67" i="6"/>
  <c r="O87" i="6"/>
  <c r="O97" i="6"/>
  <c r="P43" i="6"/>
  <c r="Q82" i="6"/>
  <c r="R92" i="6"/>
  <c r="P82" i="6"/>
  <c r="R41" i="6"/>
  <c r="Q42" i="6"/>
  <c r="P130" i="6"/>
  <c r="Q64" i="6"/>
  <c r="R66" i="6"/>
  <c r="P99" i="6"/>
  <c r="P98" i="6"/>
  <c r="R109" i="6"/>
  <c r="Q96" i="6"/>
  <c r="Q72" i="6"/>
  <c r="Q71" i="6"/>
  <c r="Q117" i="6"/>
  <c r="P49" i="6"/>
  <c r="Q92" i="6"/>
  <c r="Q47" i="6"/>
  <c r="Q104" i="6"/>
  <c r="P120" i="6"/>
  <c r="Q86" i="6"/>
  <c r="P41" i="6"/>
  <c r="Q87" i="6"/>
  <c r="Q43" i="6"/>
  <c r="Q49" i="6"/>
  <c r="Q131" i="6"/>
  <c r="R128" i="6"/>
  <c r="Q98" i="6"/>
  <c r="P64" i="6"/>
  <c r="P86" i="6"/>
  <c r="P72" i="6"/>
  <c r="Q70" i="6"/>
  <c r="S70" i="6" s="1"/>
  <c r="R47" i="6"/>
  <c r="R130" i="6"/>
  <c r="Q99" i="6"/>
  <c r="R103" i="6"/>
  <c r="R67" i="6"/>
  <c r="P48" i="6"/>
  <c r="R42" i="6"/>
  <c r="Q54" i="6"/>
  <c r="P127" i="6"/>
  <c r="Q103" i="6"/>
  <c r="P104" i="6"/>
  <c r="Q109" i="6"/>
  <c r="R72" i="6"/>
  <c r="P97" i="6"/>
  <c r="O67" i="6"/>
  <c r="Q50" i="6"/>
  <c r="R64" i="6"/>
  <c r="R96" i="6"/>
  <c r="P126" i="6"/>
  <c r="Q129" i="6"/>
  <c r="P83" i="6"/>
  <c r="P47" i="6"/>
  <c r="P128" i="6"/>
  <c r="O108" i="6"/>
  <c r="Q68" i="6"/>
  <c r="U13" i="6"/>
  <c r="AA12" i="6" s="1"/>
  <c r="K106" i="6"/>
  <c r="J94" i="6"/>
  <c r="K132" i="6"/>
  <c r="J101" i="6"/>
  <c r="N128" i="6"/>
  <c r="N118" i="6"/>
  <c r="I94" i="6"/>
  <c r="J45" i="6"/>
  <c r="S108" i="6" l="1"/>
  <c r="S91" i="6"/>
  <c r="S90" i="6"/>
  <c r="S81" i="6"/>
  <c r="S92" i="6"/>
  <c r="S40" i="6"/>
  <c r="S46" i="6"/>
  <c r="S67" i="6"/>
  <c r="T67" i="6" s="1"/>
  <c r="S53" i="6"/>
  <c r="S49" i="6"/>
  <c r="T49" i="6" s="1"/>
  <c r="S72" i="6"/>
  <c r="T72" i="6" s="1"/>
  <c r="S43" i="6"/>
  <c r="S64" i="6"/>
  <c r="S54" i="6"/>
  <c r="S41" i="6"/>
  <c r="S71" i="6"/>
  <c r="T71" i="6" s="1"/>
  <c r="S50" i="6"/>
  <c r="N66" i="6"/>
  <c r="S47" i="6"/>
  <c r="S48" i="6"/>
  <c r="S42" i="6"/>
  <c r="S130" i="6"/>
  <c r="S129" i="6"/>
  <c r="S127" i="6"/>
  <c r="S128" i="6"/>
  <c r="S126" i="6"/>
  <c r="S131" i="6"/>
  <c r="S102" i="6"/>
  <c r="M106" i="6"/>
  <c r="M101" i="6"/>
  <c r="S99" i="6"/>
  <c r="T99" i="6" s="1"/>
  <c r="S104" i="6"/>
  <c r="T104" i="6" s="1"/>
  <c r="S120" i="6"/>
  <c r="T120" i="6" s="1"/>
  <c r="S98" i="6"/>
  <c r="T98" i="6" s="1"/>
  <c r="S97" i="6"/>
  <c r="S103" i="6"/>
  <c r="T103" i="6" s="1"/>
  <c r="S118" i="6"/>
  <c r="T118" i="6" s="1"/>
  <c r="S95" i="6"/>
  <c r="S107" i="6"/>
  <c r="T107" i="6" s="1"/>
  <c r="S109" i="6"/>
  <c r="T109" i="6" s="1"/>
  <c r="S117" i="6"/>
  <c r="S96" i="6"/>
  <c r="N103" i="6"/>
  <c r="Q111" i="6"/>
  <c r="L76" i="6"/>
  <c r="Q89" i="6"/>
  <c r="P101" i="6"/>
  <c r="I76" i="6"/>
  <c r="N102" i="6"/>
  <c r="R39" i="6"/>
  <c r="Q132" i="6"/>
  <c r="Q94" i="6"/>
  <c r="P52" i="6"/>
  <c r="O80" i="6"/>
  <c r="Q39" i="6"/>
  <c r="M111" i="6"/>
  <c r="N117" i="6"/>
  <c r="N111" i="6" s="1"/>
  <c r="K76" i="6"/>
  <c r="M80" i="6"/>
  <c r="N81" i="6"/>
  <c r="N80" i="6" s="1"/>
  <c r="P80" i="6"/>
  <c r="M39" i="6"/>
  <c r="N40" i="6"/>
  <c r="N39" i="6" s="1"/>
  <c r="I122" i="6"/>
  <c r="O111" i="6"/>
  <c r="O52" i="6"/>
  <c r="R94" i="6"/>
  <c r="R52" i="6"/>
  <c r="P45" i="6"/>
  <c r="O45" i="6"/>
  <c r="W62" i="6"/>
  <c r="Y62" i="6" s="1"/>
  <c r="V46" i="6"/>
  <c r="V53" i="6"/>
  <c r="V91" i="6"/>
  <c r="X81" i="6"/>
  <c r="U83" i="6"/>
  <c r="U86" i="6"/>
  <c r="V81" i="6"/>
  <c r="W40" i="6"/>
  <c r="X40" i="6"/>
  <c r="U81" i="6"/>
  <c r="U87" i="6"/>
  <c r="V40" i="6"/>
  <c r="U85" i="6"/>
  <c r="U40" i="6"/>
  <c r="V90" i="6"/>
  <c r="U53" i="6"/>
  <c r="V126" i="6"/>
  <c r="U126" i="6"/>
  <c r="U109" i="6"/>
  <c r="V102" i="6"/>
  <c r="U102" i="6"/>
  <c r="X95" i="6"/>
  <c r="U72" i="6"/>
  <c r="X90" i="6"/>
  <c r="X53" i="6"/>
  <c r="U129" i="6"/>
  <c r="V107" i="6"/>
  <c r="U104" i="6"/>
  <c r="U97" i="6"/>
  <c r="U107" i="6"/>
  <c r="U103" i="6"/>
  <c r="U84" i="6"/>
  <c r="W90" i="6"/>
  <c r="W126" i="6"/>
  <c r="U127" i="6"/>
  <c r="V95" i="6"/>
  <c r="X107" i="6"/>
  <c r="U82" i="6"/>
  <c r="W46" i="6"/>
  <c r="X46" i="6"/>
  <c r="X126" i="6"/>
  <c r="U96" i="6"/>
  <c r="U99" i="6"/>
  <c r="U95" i="6"/>
  <c r="X102" i="6"/>
  <c r="U46" i="6"/>
  <c r="U128" i="6"/>
  <c r="U130" i="6"/>
  <c r="W117" i="6"/>
  <c r="U98" i="6"/>
  <c r="W102" i="6"/>
  <c r="W67" i="6"/>
  <c r="W81" i="6"/>
  <c r="U66" i="6"/>
  <c r="U117" i="6"/>
  <c r="U67" i="6"/>
  <c r="U120" i="6"/>
  <c r="V48" i="6"/>
  <c r="V41" i="6"/>
  <c r="V43" i="6"/>
  <c r="V54" i="6"/>
  <c r="X92" i="6"/>
  <c r="W54" i="6"/>
  <c r="X48" i="6"/>
  <c r="X131" i="6"/>
  <c r="X128" i="6"/>
  <c r="W118" i="6"/>
  <c r="X127" i="6"/>
  <c r="X96" i="6"/>
  <c r="V64" i="6"/>
  <c r="V71" i="6"/>
  <c r="U131" i="6"/>
  <c r="W107" i="6"/>
  <c r="W95" i="6"/>
  <c r="V87" i="6"/>
  <c r="V82" i="6"/>
  <c r="X43" i="6"/>
  <c r="X42" i="6"/>
  <c r="W43" i="6"/>
  <c r="V128" i="6"/>
  <c r="V66" i="6"/>
  <c r="V103" i="6"/>
  <c r="V97" i="6"/>
  <c r="V99" i="6"/>
  <c r="X67" i="6"/>
  <c r="W72" i="6"/>
  <c r="V49" i="6"/>
  <c r="V47" i="6"/>
  <c r="W92" i="6"/>
  <c r="V85" i="6"/>
  <c r="X47" i="6"/>
  <c r="X129" i="6"/>
  <c r="U92" i="6"/>
  <c r="W82" i="6"/>
  <c r="W42" i="6"/>
  <c r="W50" i="6"/>
  <c r="W127" i="6"/>
  <c r="V131" i="6"/>
  <c r="X99" i="6"/>
  <c r="X66" i="6"/>
  <c r="W97" i="6"/>
  <c r="W120" i="6"/>
  <c r="W99" i="6"/>
  <c r="V98" i="6"/>
  <c r="X71" i="6"/>
  <c r="V42" i="6"/>
  <c r="V50" i="6"/>
  <c r="V92" i="6"/>
  <c r="X49" i="6"/>
  <c r="X41" i="6"/>
  <c r="W129" i="6"/>
  <c r="U64" i="6"/>
  <c r="U71" i="6"/>
  <c r="U48" i="6"/>
  <c r="U41" i="6"/>
  <c r="U43" i="6"/>
  <c r="U54" i="6"/>
  <c r="V84" i="6"/>
  <c r="W41" i="6"/>
  <c r="W47" i="6"/>
  <c r="W128" i="6"/>
  <c r="W98" i="6"/>
  <c r="V120" i="6"/>
  <c r="X109" i="6"/>
  <c r="X97" i="6"/>
  <c r="X108" i="6"/>
  <c r="W68" i="6"/>
  <c r="X72" i="6"/>
  <c r="W53" i="6"/>
  <c r="W83" i="6"/>
  <c r="W48" i="6"/>
  <c r="V129" i="6"/>
  <c r="X98" i="6"/>
  <c r="V108" i="6"/>
  <c r="V72" i="6"/>
  <c r="U90" i="6"/>
  <c r="U108" i="6"/>
  <c r="V83" i="6"/>
  <c r="W85" i="6"/>
  <c r="W49" i="6"/>
  <c r="X130" i="6"/>
  <c r="V109" i="6"/>
  <c r="V127" i="6"/>
  <c r="W104" i="6"/>
  <c r="W69" i="6"/>
  <c r="W130" i="6"/>
  <c r="V104" i="6"/>
  <c r="W71" i="6"/>
  <c r="X104" i="6"/>
  <c r="U50" i="6"/>
  <c r="X120" i="6"/>
  <c r="W103" i="6"/>
  <c r="W70" i="6"/>
  <c r="Y70" i="6" s="1"/>
  <c r="X54" i="6"/>
  <c r="V86" i="6"/>
  <c r="U47" i="6"/>
  <c r="X50" i="6"/>
  <c r="V130" i="6"/>
  <c r="W109" i="6"/>
  <c r="U49" i="6"/>
  <c r="W131" i="6"/>
  <c r="X64" i="6"/>
  <c r="W86" i="6"/>
  <c r="W91" i="6"/>
  <c r="W64" i="6"/>
  <c r="X103" i="6"/>
  <c r="U118" i="6"/>
  <c r="U42" i="6"/>
  <c r="Y42" i="6" s="1"/>
  <c r="W87" i="6"/>
  <c r="W96" i="6"/>
  <c r="V67" i="6"/>
  <c r="W84" i="6"/>
  <c r="V96" i="6"/>
  <c r="W108" i="6"/>
  <c r="Q101" i="6"/>
  <c r="R101" i="6"/>
  <c r="J122" i="6"/>
  <c r="Q66" i="6"/>
  <c r="S66" i="6" s="1"/>
  <c r="P89" i="6"/>
  <c r="Q45" i="6"/>
  <c r="O132" i="6"/>
  <c r="P106" i="6"/>
  <c r="N107" i="6"/>
  <c r="N106" i="6" s="1"/>
  <c r="M45" i="6"/>
  <c r="N46" i="6"/>
  <c r="N45" i="6" s="1"/>
  <c r="O106" i="6"/>
  <c r="R45" i="6"/>
  <c r="O94" i="6"/>
  <c r="Q56" i="6"/>
  <c r="L122" i="6"/>
  <c r="L123" i="6" s="1"/>
  <c r="L141" i="6" s="1"/>
  <c r="L153" i="6" s="1"/>
  <c r="L172" i="6" s="1"/>
  <c r="R27" i="6" s="1"/>
  <c r="R17" i="6" s="1"/>
  <c r="J76" i="6"/>
  <c r="AA13" i="6"/>
  <c r="AG12" i="6" s="1"/>
  <c r="M94" i="6"/>
  <c r="N95" i="6"/>
  <c r="N94" i="6" s="1"/>
  <c r="Q52" i="6"/>
  <c r="P94" i="6"/>
  <c r="R89" i="6"/>
  <c r="R132" i="6"/>
  <c r="R106" i="6"/>
  <c r="O39" i="6"/>
  <c r="K122" i="6"/>
  <c r="M132" i="6"/>
  <c r="N126" i="6"/>
  <c r="N132" i="6" s="1"/>
  <c r="N53" i="6"/>
  <c r="N52" i="6" s="1"/>
  <c r="M52" i="6"/>
  <c r="P132" i="6"/>
  <c r="O89" i="6"/>
  <c r="Q106" i="6"/>
  <c r="O101" i="6"/>
  <c r="Q80" i="6"/>
  <c r="P39" i="6"/>
  <c r="N57" i="6"/>
  <c r="N56" i="6" s="1"/>
  <c r="M56" i="6"/>
  <c r="M89" i="6"/>
  <c r="N90" i="6"/>
  <c r="N89" i="6" s="1"/>
  <c r="Y92" i="6" l="1"/>
  <c r="Y90" i="6"/>
  <c r="Y81" i="6"/>
  <c r="Y117" i="6"/>
  <c r="Y91" i="6"/>
  <c r="Z91" i="6" s="1"/>
  <c r="O76" i="6"/>
  <c r="Y49" i="6"/>
  <c r="Z49" i="6" s="1"/>
  <c r="W52" i="6"/>
  <c r="Y64" i="6"/>
  <c r="Z64" i="6" s="1"/>
  <c r="P76" i="6"/>
  <c r="Y43" i="6"/>
  <c r="Z43" i="6" s="1"/>
  <c r="Y46" i="6"/>
  <c r="Y40" i="6"/>
  <c r="Y50" i="6"/>
  <c r="Z50" i="6" s="1"/>
  <c r="Y54" i="6"/>
  <c r="Z54" i="6" s="1"/>
  <c r="Y47" i="6"/>
  <c r="Z47" i="6" s="1"/>
  <c r="Y41" i="6"/>
  <c r="Y48" i="6"/>
  <c r="Y71" i="6"/>
  <c r="Z71" i="6" s="1"/>
  <c r="Y67" i="6"/>
  <c r="Y53" i="6"/>
  <c r="Y72" i="6"/>
  <c r="Z72" i="6" s="1"/>
  <c r="Y127" i="6"/>
  <c r="Y129" i="6"/>
  <c r="Y126" i="6"/>
  <c r="Y131" i="6"/>
  <c r="Y130" i="6"/>
  <c r="Y128" i="6"/>
  <c r="Y118" i="6"/>
  <c r="Y95" i="6"/>
  <c r="N101" i="6"/>
  <c r="N122" i="6" s="1"/>
  <c r="Y98" i="6"/>
  <c r="Y96" i="6"/>
  <c r="Z96" i="6" s="1"/>
  <c r="Y108" i="6"/>
  <c r="Z108" i="6" s="1"/>
  <c r="Y120" i="6"/>
  <c r="Z120" i="6" s="1"/>
  <c r="Y103" i="6"/>
  <c r="Y107" i="6"/>
  <c r="Y97" i="6"/>
  <c r="Z97" i="6" s="1"/>
  <c r="Y102" i="6"/>
  <c r="Z102" i="6" s="1"/>
  <c r="Y104" i="6"/>
  <c r="Z104" i="6" s="1"/>
  <c r="Y99" i="6"/>
  <c r="Y109" i="6"/>
  <c r="J123" i="6"/>
  <c r="J141" i="6" s="1"/>
  <c r="J153" i="6" s="1"/>
  <c r="Z42" i="6"/>
  <c r="Z118" i="6"/>
  <c r="I123" i="6"/>
  <c r="I141" i="6" s="1"/>
  <c r="I147" i="6" s="1"/>
  <c r="X39" i="6"/>
  <c r="W66" i="6"/>
  <c r="Y66" i="6" s="1"/>
  <c r="Z66" i="6" s="1"/>
  <c r="X106" i="6"/>
  <c r="M76" i="6"/>
  <c r="R69" i="6"/>
  <c r="R68" i="6"/>
  <c r="T66" i="6"/>
  <c r="U89" i="6"/>
  <c r="W80" i="6"/>
  <c r="X101" i="6"/>
  <c r="X89" i="6"/>
  <c r="U52" i="6"/>
  <c r="U80" i="6"/>
  <c r="V52" i="6"/>
  <c r="N76" i="6"/>
  <c r="M122" i="6"/>
  <c r="O122" i="6"/>
  <c r="W101" i="6"/>
  <c r="Z99" i="6"/>
  <c r="U106" i="6"/>
  <c r="X94" i="6"/>
  <c r="V89" i="6"/>
  <c r="W39" i="6"/>
  <c r="W56" i="6"/>
  <c r="Z62" i="6"/>
  <c r="AC40" i="6"/>
  <c r="AB40" i="6"/>
  <c r="AB53" i="6"/>
  <c r="AC62" i="6"/>
  <c r="AE62" i="6" s="1"/>
  <c r="AD81" i="6"/>
  <c r="AA83" i="6"/>
  <c r="AB91" i="6"/>
  <c r="AB46" i="6"/>
  <c r="AD40" i="6"/>
  <c r="AA84" i="6"/>
  <c r="AB81" i="6"/>
  <c r="AA87" i="6"/>
  <c r="AA81" i="6"/>
  <c r="AA127" i="6"/>
  <c r="AD126" i="6"/>
  <c r="AB102" i="6"/>
  <c r="AA46" i="6"/>
  <c r="AA97" i="6"/>
  <c r="AA40" i="6"/>
  <c r="AA92" i="6"/>
  <c r="AA128" i="6"/>
  <c r="AA131" i="6"/>
  <c r="AD95" i="6"/>
  <c r="AD102" i="6"/>
  <c r="AA104" i="6"/>
  <c r="AA107" i="6"/>
  <c r="AA82" i="6"/>
  <c r="AA85" i="6"/>
  <c r="AC81" i="6"/>
  <c r="AD46" i="6"/>
  <c r="AA64" i="6"/>
  <c r="AD90" i="6"/>
  <c r="AC126" i="6"/>
  <c r="AC95" i="6"/>
  <c r="AC107" i="6"/>
  <c r="AC117" i="6"/>
  <c r="AB95" i="6"/>
  <c r="AA108" i="6"/>
  <c r="AA90" i="6"/>
  <c r="AA66" i="6"/>
  <c r="AA53" i="6"/>
  <c r="AA126" i="6"/>
  <c r="AA103" i="6"/>
  <c r="AA98" i="6"/>
  <c r="AA117" i="6"/>
  <c r="AA102" i="6"/>
  <c r="AA95" i="6"/>
  <c r="AA109" i="6"/>
  <c r="AA96" i="6"/>
  <c r="AB90" i="6"/>
  <c r="AA129" i="6"/>
  <c r="AB126" i="6"/>
  <c r="AA99" i="6"/>
  <c r="AD107" i="6"/>
  <c r="AA120" i="6"/>
  <c r="AA71" i="6"/>
  <c r="AA67" i="6"/>
  <c r="AA130" i="6"/>
  <c r="AC102" i="6"/>
  <c r="AB107" i="6"/>
  <c r="AC46" i="6"/>
  <c r="AA72" i="6"/>
  <c r="AA47" i="6"/>
  <c r="AA42" i="6"/>
  <c r="AA48" i="6"/>
  <c r="AA54" i="6"/>
  <c r="AC83" i="6"/>
  <c r="AB129" i="6"/>
  <c r="AD131" i="6"/>
  <c r="AD41" i="6"/>
  <c r="AC120" i="6"/>
  <c r="AC97" i="6"/>
  <c r="AC98" i="6"/>
  <c r="AD47" i="6"/>
  <c r="AC41" i="6"/>
  <c r="AB66" i="6"/>
  <c r="AB67" i="6"/>
  <c r="AD71" i="6"/>
  <c r="AC71" i="6"/>
  <c r="AC108" i="6"/>
  <c r="AB64" i="6"/>
  <c r="AC53" i="6"/>
  <c r="AB84" i="6"/>
  <c r="AB131" i="6"/>
  <c r="AD130" i="6"/>
  <c r="AC128" i="6"/>
  <c r="AD99" i="6"/>
  <c r="AC42" i="6"/>
  <c r="AD96" i="6"/>
  <c r="AD108" i="6"/>
  <c r="AC103" i="6"/>
  <c r="AD67" i="6"/>
  <c r="AC90" i="6"/>
  <c r="AD53" i="6"/>
  <c r="AB47" i="6"/>
  <c r="AB42" i="6"/>
  <c r="AB48" i="6"/>
  <c r="AB54" i="6"/>
  <c r="AC85" i="6"/>
  <c r="AD54" i="6"/>
  <c r="AC129" i="6"/>
  <c r="AD129" i="6"/>
  <c r="AB98" i="6"/>
  <c r="AD49" i="6"/>
  <c r="AB104" i="6"/>
  <c r="AD109" i="6"/>
  <c r="AD98" i="6"/>
  <c r="AD104" i="6"/>
  <c r="AC67" i="6"/>
  <c r="AB72" i="6"/>
  <c r="AA43" i="6"/>
  <c r="AC91" i="6"/>
  <c r="AA41" i="6"/>
  <c r="AA50" i="6"/>
  <c r="AA49" i="6"/>
  <c r="AC84" i="6"/>
  <c r="AB128" i="6"/>
  <c r="AC104" i="6"/>
  <c r="AC47" i="6"/>
  <c r="AC43" i="6"/>
  <c r="AB50" i="6"/>
  <c r="AD42" i="6"/>
  <c r="AC72" i="6"/>
  <c r="AB85" i="6"/>
  <c r="AD127" i="6"/>
  <c r="AD120" i="6"/>
  <c r="AB97" i="6"/>
  <c r="AD72" i="6"/>
  <c r="AB86" i="6"/>
  <c r="AC70" i="6"/>
  <c r="AE70" i="6" s="1"/>
  <c r="AB49" i="6"/>
  <c r="AC127" i="6"/>
  <c r="AB41" i="6"/>
  <c r="AB43" i="6"/>
  <c r="AC87" i="6"/>
  <c r="AB92" i="6"/>
  <c r="AC130" i="6"/>
  <c r="AC131" i="6"/>
  <c r="AD48" i="6"/>
  <c r="AB120" i="6"/>
  <c r="AC96" i="6"/>
  <c r="AB109" i="6"/>
  <c r="AB103" i="6"/>
  <c r="AC82" i="6"/>
  <c r="AB83" i="6"/>
  <c r="AB130" i="6"/>
  <c r="AD50" i="6"/>
  <c r="AD64" i="6"/>
  <c r="AD103" i="6"/>
  <c r="AC109" i="6"/>
  <c r="AD128" i="6"/>
  <c r="AC49" i="6"/>
  <c r="AB108" i="6"/>
  <c r="AB71" i="6"/>
  <c r="AA86" i="6"/>
  <c r="AC92" i="6"/>
  <c r="AB87" i="6"/>
  <c r="AC48" i="6"/>
  <c r="AD43" i="6"/>
  <c r="AD97" i="6"/>
  <c r="AB96" i="6"/>
  <c r="AC50" i="6"/>
  <c r="AC118" i="6"/>
  <c r="AE118" i="6" s="1"/>
  <c r="AC68" i="6"/>
  <c r="AB82" i="6"/>
  <c r="AC54" i="6"/>
  <c r="AB127" i="6"/>
  <c r="AD66" i="6"/>
  <c r="AC64" i="6"/>
  <c r="AC69" i="6"/>
  <c r="AB99" i="6"/>
  <c r="AD92" i="6"/>
  <c r="AC99" i="6"/>
  <c r="AC86" i="6"/>
  <c r="T50" i="6"/>
  <c r="S89" i="6"/>
  <c r="T90" i="6"/>
  <c r="T131" i="6"/>
  <c r="T48" i="6"/>
  <c r="T128" i="6"/>
  <c r="Z92" i="6"/>
  <c r="W94" i="6"/>
  <c r="Z67" i="6"/>
  <c r="V94" i="6"/>
  <c r="U101" i="6"/>
  <c r="V80" i="6"/>
  <c r="S111" i="6"/>
  <c r="T117" i="6"/>
  <c r="T111" i="6" s="1"/>
  <c r="P122" i="6"/>
  <c r="K123" i="6"/>
  <c r="K141" i="6" s="1"/>
  <c r="K153" i="6" s="1"/>
  <c r="K172" i="6" s="1"/>
  <c r="Q26" i="6" s="1"/>
  <c r="Q17" i="6" s="1"/>
  <c r="T96" i="6"/>
  <c r="S56" i="6"/>
  <c r="T57" i="6"/>
  <c r="S52" i="6"/>
  <c r="T53" i="6"/>
  <c r="T47" i="6"/>
  <c r="T129" i="6"/>
  <c r="T40" i="6"/>
  <c r="S39" i="6"/>
  <c r="T62" i="6"/>
  <c r="S106" i="6"/>
  <c r="T126" i="6"/>
  <c r="S132" i="6"/>
  <c r="W106" i="6"/>
  <c r="W111" i="6"/>
  <c r="X132" i="6"/>
  <c r="Z127" i="6"/>
  <c r="V101" i="6"/>
  <c r="U39" i="6"/>
  <c r="T64" i="6"/>
  <c r="T127" i="6"/>
  <c r="R76" i="6"/>
  <c r="S101" i="6"/>
  <c r="U94" i="6"/>
  <c r="V45" i="6"/>
  <c r="T43" i="6"/>
  <c r="Q122" i="6"/>
  <c r="T42" i="6"/>
  <c r="Z41" i="6"/>
  <c r="Z131" i="6"/>
  <c r="U111" i="6"/>
  <c r="Z130" i="6"/>
  <c r="W132" i="6"/>
  <c r="V106" i="6"/>
  <c r="Z109" i="6"/>
  <c r="T92" i="6"/>
  <c r="T41" i="6"/>
  <c r="T91" i="6"/>
  <c r="T130" i="6"/>
  <c r="T54" i="6"/>
  <c r="Z48" i="6"/>
  <c r="Z128" i="6"/>
  <c r="X45" i="6"/>
  <c r="W89" i="6"/>
  <c r="Z129" i="6"/>
  <c r="U132" i="6"/>
  <c r="V39" i="6"/>
  <c r="T97" i="6"/>
  <c r="Q76" i="6"/>
  <c r="T108" i="6"/>
  <c r="T106" i="6" s="1"/>
  <c r="T102" i="6"/>
  <c r="T101" i="6" s="1"/>
  <c r="AG13" i="6"/>
  <c r="AM12" i="6" s="1"/>
  <c r="S94" i="6"/>
  <c r="T95" i="6"/>
  <c r="U45" i="6"/>
  <c r="W45" i="6"/>
  <c r="X52" i="6"/>
  <c r="V132" i="6"/>
  <c r="T46" i="6"/>
  <c r="S45" i="6"/>
  <c r="R87" i="6"/>
  <c r="S87" i="6" s="1"/>
  <c r="R86" i="6"/>
  <c r="S86" i="6" s="1"/>
  <c r="R83" i="6"/>
  <c r="S83" i="6" s="1"/>
  <c r="R85" i="6"/>
  <c r="S85" i="6" s="1"/>
  <c r="R84" i="6"/>
  <c r="S84" i="6" s="1"/>
  <c r="R82" i="6"/>
  <c r="S82" i="6" s="1"/>
  <c r="T81" i="6"/>
  <c r="J148" i="6" l="1"/>
  <c r="AE117" i="6"/>
  <c r="P123" i="6"/>
  <c r="P141" i="6" s="1"/>
  <c r="AE90" i="6"/>
  <c r="AE91" i="6"/>
  <c r="AE92" i="6"/>
  <c r="AE81" i="6"/>
  <c r="O123" i="6"/>
  <c r="O141" i="6" s="1"/>
  <c r="AE40" i="6"/>
  <c r="AE41" i="6"/>
  <c r="AE67" i="6"/>
  <c r="AE46" i="6"/>
  <c r="AE53" i="6"/>
  <c r="AE72" i="6"/>
  <c r="AF72" i="6" s="1"/>
  <c r="AE49" i="6"/>
  <c r="AE50" i="6"/>
  <c r="AE54" i="6"/>
  <c r="AF54" i="6" s="1"/>
  <c r="AE48" i="6"/>
  <c r="AE42" i="6"/>
  <c r="AE71" i="6"/>
  <c r="AF71" i="6" s="1"/>
  <c r="AE43" i="6"/>
  <c r="AE47" i="6"/>
  <c r="AE64" i="6"/>
  <c r="J147" i="6"/>
  <c r="M147" i="6" s="1"/>
  <c r="N147" i="6" s="1"/>
  <c r="AE129" i="6"/>
  <c r="AE126" i="6"/>
  <c r="AE128" i="6"/>
  <c r="AE130" i="6"/>
  <c r="AE131" i="6"/>
  <c r="AF131" i="6" s="1"/>
  <c r="AE127" i="6"/>
  <c r="AE107" i="6"/>
  <c r="AE97" i="6"/>
  <c r="AE96" i="6"/>
  <c r="AE104" i="6"/>
  <c r="AF104" i="6" s="1"/>
  <c r="AE109" i="6"/>
  <c r="AE120" i="6"/>
  <c r="AF120" i="6" s="1"/>
  <c r="AE95" i="6"/>
  <c r="AE102" i="6"/>
  <c r="AE108" i="6"/>
  <c r="AF108" i="6" s="1"/>
  <c r="I148" i="6"/>
  <c r="AE99" i="6"/>
  <c r="I153" i="6"/>
  <c r="I172" i="6" s="1"/>
  <c r="O21" i="6" s="1"/>
  <c r="O17" i="6" s="1"/>
  <c r="AE98" i="6"/>
  <c r="AE103" i="6"/>
  <c r="AF103" i="6" s="1"/>
  <c r="M123" i="6"/>
  <c r="M141" i="6" s="1"/>
  <c r="M153" i="6" s="1"/>
  <c r="M172" i="6" s="1"/>
  <c r="X76" i="6"/>
  <c r="Q123" i="6"/>
  <c r="Q141" i="6" s="1"/>
  <c r="Q153" i="6" s="1"/>
  <c r="Q172" i="6" s="1"/>
  <c r="W26" i="6" s="1"/>
  <c r="W17" i="6" s="1"/>
  <c r="AC132" i="6"/>
  <c r="W76" i="6"/>
  <c r="T89" i="6"/>
  <c r="T52" i="6"/>
  <c r="AA132" i="6"/>
  <c r="AA52" i="6"/>
  <c r="AH53" i="6"/>
  <c r="AI62" i="6"/>
  <c r="AK62" i="6" s="1"/>
  <c r="AH40" i="6"/>
  <c r="AI40" i="6"/>
  <c r="AH46" i="6"/>
  <c r="AJ81" i="6"/>
  <c r="AG84" i="6"/>
  <c r="AG81" i="6"/>
  <c r="AJ40" i="6"/>
  <c r="AI81" i="6"/>
  <c r="AG86" i="6"/>
  <c r="AG40" i="6"/>
  <c r="AG92" i="6"/>
  <c r="AG87" i="6"/>
  <c r="AH81" i="6"/>
  <c r="AI90" i="6"/>
  <c r="AG82" i="6"/>
  <c r="AG83" i="6"/>
  <c r="AG128" i="6"/>
  <c r="AJ53" i="6"/>
  <c r="AJ46" i="6"/>
  <c r="AJ102" i="6"/>
  <c r="AG67" i="6"/>
  <c r="AG71" i="6"/>
  <c r="AH42" i="6"/>
  <c r="AH50" i="6"/>
  <c r="AH43" i="6"/>
  <c r="AH48" i="6"/>
  <c r="AH90" i="6"/>
  <c r="AG90" i="6"/>
  <c r="AG66" i="6"/>
  <c r="AJ126" i="6"/>
  <c r="AG127" i="6"/>
  <c r="AH95" i="6"/>
  <c r="AG99" i="6"/>
  <c r="AG98" i="6"/>
  <c r="AG53" i="6"/>
  <c r="AG49" i="6"/>
  <c r="AG54" i="6"/>
  <c r="AG41" i="6"/>
  <c r="AG47" i="6"/>
  <c r="AI126" i="6"/>
  <c r="AI107" i="6"/>
  <c r="AG120" i="6"/>
  <c r="AI46" i="6"/>
  <c r="AI102" i="6"/>
  <c r="AG95" i="6"/>
  <c r="AJ90" i="6"/>
  <c r="AH91" i="6"/>
  <c r="AG104" i="6"/>
  <c r="AG102" i="6"/>
  <c r="AG126" i="6"/>
  <c r="AG96" i="6"/>
  <c r="AJ107" i="6"/>
  <c r="AG108" i="6"/>
  <c r="AH102" i="6"/>
  <c r="AG103" i="6"/>
  <c r="AH49" i="6"/>
  <c r="AH54" i="6"/>
  <c r="AH41" i="6"/>
  <c r="AH47" i="6"/>
  <c r="AI85" i="6"/>
  <c r="AG85" i="6"/>
  <c r="AG97" i="6"/>
  <c r="AG42" i="6"/>
  <c r="AG50" i="6"/>
  <c r="AG43" i="6"/>
  <c r="AG48" i="6"/>
  <c r="AH84" i="6"/>
  <c r="AG130" i="6"/>
  <c r="AI117" i="6"/>
  <c r="AG107" i="6"/>
  <c r="AI87" i="6"/>
  <c r="AJ128" i="6"/>
  <c r="AH103" i="6"/>
  <c r="AJ49" i="6"/>
  <c r="AI109" i="6"/>
  <c r="AI98" i="6"/>
  <c r="AH98" i="6"/>
  <c r="AJ109" i="6"/>
  <c r="AH72" i="6"/>
  <c r="AH71" i="6"/>
  <c r="AI70" i="6"/>
  <c r="AK70" i="6" s="1"/>
  <c r="AG117" i="6"/>
  <c r="AI95" i="6"/>
  <c r="AI92" i="6"/>
  <c r="AI82" i="6"/>
  <c r="AH129" i="6"/>
  <c r="AH127" i="6"/>
  <c r="AH96" i="6"/>
  <c r="AI43" i="6"/>
  <c r="AJ120" i="6"/>
  <c r="AI42" i="6"/>
  <c r="AI47" i="6"/>
  <c r="AI50" i="6"/>
  <c r="AI118" i="6"/>
  <c r="AJ67" i="6"/>
  <c r="AH107" i="6"/>
  <c r="AI53" i="6"/>
  <c r="AH85" i="6"/>
  <c r="AH87" i="6"/>
  <c r="AJ129" i="6"/>
  <c r="AH128" i="6"/>
  <c r="AI41" i="6"/>
  <c r="AJ98" i="6"/>
  <c r="AJ64" i="6"/>
  <c r="AJ50" i="6"/>
  <c r="AI64" i="6"/>
  <c r="AI129" i="6"/>
  <c r="AI128" i="6"/>
  <c r="AI120" i="6"/>
  <c r="AI68" i="6"/>
  <c r="AG46" i="6"/>
  <c r="AI67" i="6"/>
  <c r="AH92" i="6"/>
  <c r="AI127" i="6"/>
  <c r="AJ42" i="6"/>
  <c r="AJ104" i="6"/>
  <c r="AH104" i="6"/>
  <c r="AJ48" i="6"/>
  <c r="AH66" i="6"/>
  <c r="AI72" i="6"/>
  <c r="AH86" i="6"/>
  <c r="AH126" i="6"/>
  <c r="AI130" i="6"/>
  <c r="AI54" i="6"/>
  <c r="AJ54" i="6"/>
  <c r="AI49" i="6"/>
  <c r="AH64" i="6"/>
  <c r="AI69" i="6"/>
  <c r="AG131" i="6"/>
  <c r="AG72" i="6"/>
  <c r="AH82" i="6"/>
  <c r="AI84" i="6"/>
  <c r="AH131" i="6"/>
  <c r="AI131" i="6"/>
  <c r="AI48" i="6"/>
  <c r="AJ103" i="6"/>
  <c r="AJ99" i="6"/>
  <c r="AH109" i="6"/>
  <c r="AI97" i="6"/>
  <c r="AI104" i="6"/>
  <c r="AJ66" i="6"/>
  <c r="AI108" i="6"/>
  <c r="AJ72" i="6"/>
  <c r="AJ71" i="6"/>
  <c r="AH83" i="6"/>
  <c r="AJ131" i="6"/>
  <c r="AJ96" i="6"/>
  <c r="AJ108" i="6"/>
  <c r="AH108" i="6"/>
  <c r="AJ47" i="6"/>
  <c r="AI86" i="6"/>
  <c r="AH67" i="6"/>
  <c r="AG109" i="6"/>
  <c r="AJ95" i="6"/>
  <c r="AJ92" i="6"/>
  <c r="AJ130" i="6"/>
  <c r="AI96" i="6"/>
  <c r="AH99" i="6"/>
  <c r="AJ41" i="6"/>
  <c r="AH120" i="6"/>
  <c r="AI71" i="6"/>
  <c r="AH130" i="6"/>
  <c r="AH97" i="6"/>
  <c r="AI99" i="6"/>
  <c r="AJ97" i="6"/>
  <c r="AG129" i="6"/>
  <c r="AJ43" i="6"/>
  <c r="AJ127" i="6"/>
  <c r="AI83" i="6"/>
  <c r="AG64" i="6"/>
  <c r="AI91" i="6"/>
  <c r="AI103" i="6"/>
  <c r="S76" i="6"/>
  <c r="J172" i="6"/>
  <c r="P22" i="6"/>
  <c r="P17" i="6" s="1"/>
  <c r="Y101" i="6"/>
  <c r="AB106" i="6"/>
  <c r="AD106" i="6"/>
  <c r="AA94" i="6"/>
  <c r="AD89" i="6"/>
  <c r="AD101" i="6"/>
  <c r="AA45" i="6"/>
  <c r="AB52" i="6"/>
  <c r="Z81" i="6"/>
  <c r="R80" i="6"/>
  <c r="R122" i="6" s="1"/>
  <c r="R123" i="6" s="1"/>
  <c r="R141" i="6" s="1"/>
  <c r="R153" i="6" s="1"/>
  <c r="R172" i="6" s="1"/>
  <c r="X27" i="6" s="1"/>
  <c r="X17" i="6" s="1"/>
  <c r="T84" i="6"/>
  <c r="Z117" i="6"/>
  <c r="Z111" i="6" s="1"/>
  <c r="Y111" i="6"/>
  <c r="Z98" i="6"/>
  <c r="Z103" i="6"/>
  <c r="Z101" i="6" s="1"/>
  <c r="AB80" i="6"/>
  <c r="AC56" i="6"/>
  <c r="U122" i="6"/>
  <c r="W122" i="6"/>
  <c r="T85" i="6"/>
  <c r="T83" i="6"/>
  <c r="AM13" i="6"/>
  <c r="AS12" i="6" s="1"/>
  <c r="T132" i="6"/>
  <c r="AF99" i="6"/>
  <c r="AA101" i="6"/>
  <c r="AA89" i="6"/>
  <c r="AB101" i="6"/>
  <c r="AB39" i="6"/>
  <c r="Y106" i="6"/>
  <c r="Z57" i="6"/>
  <c r="Z56" i="6" s="1"/>
  <c r="Y56" i="6"/>
  <c r="AC94" i="6"/>
  <c r="AC66" i="6"/>
  <c r="AE66" i="6" s="1"/>
  <c r="AF97" i="6"/>
  <c r="T45" i="6"/>
  <c r="V76" i="6"/>
  <c r="T86" i="6"/>
  <c r="Z126" i="6"/>
  <c r="Z132" i="6" s="1"/>
  <c r="Y132" i="6"/>
  <c r="Z95" i="6"/>
  <c r="Y94" i="6"/>
  <c r="T39" i="6"/>
  <c r="J150" i="6"/>
  <c r="P33" i="6"/>
  <c r="J151" i="6"/>
  <c r="AF118" i="6"/>
  <c r="AC52" i="6"/>
  <c r="AC101" i="6"/>
  <c r="AB132" i="6"/>
  <c r="AA111" i="6"/>
  <c r="AD45" i="6"/>
  <c r="AD94" i="6"/>
  <c r="AD132" i="6"/>
  <c r="AD39" i="6"/>
  <c r="AC39" i="6"/>
  <c r="Z107" i="6"/>
  <c r="Z106" i="6" s="1"/>
  <c r="Z53" i="6"/>
  <c r="Z52" i="6" s="1"/>
  <c r="Y52" i="6"/>
  <c r="Y39" i="6"/>
  <c r="Z40" i="6"/>
  <c r="Z39" i="6" s="1"/>
  <c r="AA39" i="6"/>
  <c r="Y45" i="6"/>
  <c r="Z46" i="6"/>
  <c r="Z45" i="6" s="1"/>
  <c r="AC45" i="6"/>
  <c r="T87" i="6"/>
  <c r="AF129" i="6"/>
  <c r="AB94" i="6"/>
  <c r="AC80" i="6"/>
  <c r="AB45" i="6"/>
  <c r="Y89" i="6"/>
  <c r="Z90" i="6"/>
  <c r="Z89" i="6" s="1"/>
  <c r="AF96" i="6"/>
  <c r="T56" i="6"/>
  <c r="V122" i="6"/>
  <c r="AD52" i="6"/>
  <c r="AB89" i="6"/>
  <c r="AC111" i="6"/>
  <c r="AF128" i="6"/>
  <c r="AF107" i="6"/>
  <c r="AA106" i="6"/>
  <c r="T94" i="6"/>
  <c r="U76" i="6"/>
  <c r="AC89" i="6"/>
  <c r="AF67" i="6"/>
  <c r="AC106" i="6"/>
  <c r="AA80" i="6"/>
  <c r="N123" i="6"/>
  <c r="N141" i="6" s="1"/>
  <c r="N153" i="6" s="1"/>
  <c r="N172" i="6" s="1"/>
  <c r="M148" i="6" l="1"/>
  <c r="N148" i="6" s="1"/>
  <c r="AK117" i="6"/>
  <c r="I151" i="6"/>
  <c r="M151" i="6" s="1"/>
  <c r="N151" i="6" s="1"/>
  <c r="AK81" i="6"/>
  <c r="AK92" i="6"/>
  <c r="AL92" i="6" s="1"/>
  <c r="AK90" i="6"/>
  <c r="AK91" i="6"/>
  <c r="AL91" i="6" s="1"/>
  <c r="O153" i="6"/>
  <c r="O172" i="6" s="1"/>
  <c r="U21" i="6" s="1"/>
  <c r="U17" i="6" s="1"/>
  <c r="U69" i="6" s="1"/>
  <c r="O69" i="6"/>
  <c r="O68" i="6"/>
  <c r="AK46" i="6"/>
  <c r="I150" i="6"/>
  <c r="M150" i="6" s="1"/>
  <c r="N150" i="6" s="1"/>
  <c r="O33" i="6"/>
  <c r="O147" i="6" s="1"/>
  <c r="AK64" i="6"/>
  <c r="AL64" i="6" s="1"/>
  <c r="AK72" i="6"/>
  <c r="AL72" i="6" s="1"/>
  <c r="AK40" i="6"/>
  <c r="AK48" i="6"/>
  <c r="AL48" i="6" s="1"/>
  <c r="AK43" i="6"/>
  <c r="AL43" i="6" s="1"/>
  <c r="AK50" i="6"/>
  <c r="AL50" i="6" s="1"/>
  <c r="AK42" i="6"/>
  <c r="AL42" i="6" s="1"/>
  <c r="AK47" i="6"/>
  <c r="AK41" i="6"/>
  <c r="AL41" i="6" s="1"/>
  <c r="AK71" i="6"/>
  <c r="AL71" i="6" s="1"/>
  <c r="AK54" i="6"/>
  <c r="AL54" i="6" s="1"/>
  <c r="AK67" i="6"/>
  <c r="AL67" i="6" s="1"/>
  <c r="AK49" i="6"/>
  <c r="AL49" i="6" s="1"/>
  <c r="AK53" i="6"/>
  <c r="AK129" i="6"/>
  <c r="AK130" i="6"/>
  <c r="AL130" i="6" s="1"/>
  <c r="AK126" i="6"/>
  <c r="AK131" i="6"/>
  <c r="AK128" i="6"/>
  <c r="AK127" i="6"/>
  <c r="AL127" i="6" s="1"/>
  <c r="AK107" i="6"/>
  <c r="AK97" i="6"/>
  <c r="AK103" i="6"/>
  <c r="AK108" i="6"/>
  <c r="AK95" i="6"/>
  <c r="M174" i="6"/>
  <c r="M175" i="6" s="1"/>
  <c r="N175" i="6" s="1"/>
  <c r="AK96" i="6"/>
  <c r="AL96" i="6" s="1"/>
  <c r="AK120" i="6"/>
  <c r="AL120" i="6" s="1"/>
  <c r="AK98" i="6"/>
  <c r="AL98" i="6" s="1"/>
  <c r="AK102" i="6"/>
  <c r="AK99" i="6"/>
  <c r="AL99" i="6" s="1"/>
  <c r="S17" i="6"/>
  <c r="AK118" i="6"/>
  <c r="AL118" i="6" s="1"/>
  <c r="AK109" i="6"/>
  <c r="AL109" i="6" s="1"/>
  <c r="AK104" i="6"/>
  <c r="AL104" i="6" s="1"/>
  <c r="Z94" i="6"/>
  <c r="V123" i="6"/>
  <c r="V141" i="6" s="1"/>
  <c r="W123" i="6"/>
  <c r="W141" i="6" s="1"/>
  <c r="W153" i="6" s="1"/>
  <c r="W172" i="6" s="1"/>
  <c r="AC26" i="6" s="1"/>
  <c r="AC17" i="6" s="1"/>
  <c r="AA76" i="6"/>
  <c r="U123" i="6"/>
  <c r="U141" i="6" s="1"/>
  <c r="AH45" i="6"/>
  <c r="AL129" i="6"/>
  <c r="AF66" i="6"/>
  <c r="AB122" i="6"/>
  <c r="T82" i="6"/>
  <c r="T80" i="6" s="1"/>
  <c r="S80" i="6"/>
  <c r="P69" i="6"/>
  <c r="P68" i="6"/>
  <c r="P153" i="6"/>
  <c r="AI45" i="6"/>
  <c r="AJ52" i="6"/>
  <c r="AB76" i="6"/>
  <c r="AL131" i="6"/>
  <c r="AJ106" i="6"/>
  <c r="AJ132" i="6"/>
  <c r="AI39" i="6"/>
  <c r="AE101" i="6"/>
  <c r="AG39" i="6"/>
  <c r="AE39" i="6"/>
  <c r="AF40" i="6"/>
  <c r="AF43" i="6"/>
  <c r="AF98" i="6"/>
  <c r="AC76" i="6"/>
  <c r="AF117" i="6"/>
  <c r="AF111" i="6" s="1"/>
  <c r="AE111" i="6"/>
  <c r="AF102" i="6"/>
  <c r="AF101" i="6" s="1"/>
  <c r="AI66" i="6"/>
  <c r="AK66" i="6" s="1"/>
  <c r="AI52" i="6"/>
  <c r="AJ89" i="6"/>
  <c r="AI106" i="6"/>
  <c r="AG52" i="6"/>
  <c r="AH39" i="6"/>
  <c r="AE132" i="6"/>
  <c r="AF126" i="6"/>
  <c r="AO62" i="6"/>
  <c r="AQ62" i="6" s="1"/>
  <c r="AO81" i="6"/>
  <c r="AM82" i="6"/>
  <c r="AN53" i="6"/>
  <c r="AO117" i="6"/>
  <c r="AM84" i="6"/>
  <c r="AP81" i="6"/>
  <c r="AM81" i="6"/>
  <c r="AP90" i="6"/>
  <c r="AN46" i="6"/>
  <c r="AN81" i="6"/>
  <c r="AP40" i="6"/>
  <c r="AN91" i="6"/>
  <c r="AM83" i="6"/>
  <c r="AM86" i="6"/>
  <c r="AM40" i="6"/>
  <c r="AN40" i="6"/>
  <c r="AM85" i="6"/>
  <c r="AM117" i="6"/>
  <c r="AM64" i="6"/>
  <c r="AP95" i="6"/>
  <c r="AM71" i="6"/>
  <c r="AM108" i="6"/>
  <c r="AM98" i="6"/>
  <c r="AO67" i="6"/>
  <c r="AM66" i="6"/>
  <c r="AM131" i="6"/>
  <c r="AM128" i="6"/>
  <c r="AQ128" i="6" s="1"/>
  <c r="AM126" i="6"/>
  <c r="AM104" i="6"/>
  <c r="AM107" i="6"/>
  <c r="AP107" i="6"/>
  <c r="AO102" i="6"/>
  <c r="AN102" i="6"/>
  <c r="AO40" i="6"/>
  <c r="AM130" i="6"/>
  <c r="AM109" i="6"/>
  <c r="AO46" i="6"/>
  <c r="AM97" i="6"/>
  <c r="AM95" i="6"/>
  <c r="AO126" i="6"/>
  <c r="AM129" i="6"/>
  <c r="AM120" i="6"/>
  <c r="AN107" i="6"/>
  <c r="AP53" i="6"/>
  <c r="AM103" i="6"/>
  <c r="AM67" i="6"/>
  <c r="AM87" i="6"/>
  <c r="AM92" i="6"/>
  <c r="AM127" i="6"/>
  <c r="AM53" i="6"/>
  <c r="AN95" i="6"/>
  <c r="AP46" i="6"/>
  <c r="AM99" i="6"/>
  <c r="AP102" i="6"/>
  <c r="AN87" i="6"/>
  <c r="AO82" i="6"/>
  <c r="AP48" i="6"/>
  <c r="AN109" i="6"/>
  <c r="AP47" i="6"/>
  <c r="AN120" i="6"/>
  <c r="AN96" i="6"/>
  <c r="AP42" i="6"/>
  <c r="AP97" i="6"/>
  <c r="AO72" i="6"/>
  <c r="AM46" i="6"/>
  <c r="AM102" i="6"/>
  <c r="AM47" i="6"/>
  <c r="AM43" i="6"/>
  <c r="AM54" i="6"/>
  <c r="AM50" i="6"/>
  <c r="AN92" i="6"/>
  <c r="AN85" i="6"/>
  <c r="AP129" i="6"/>
  <c r="AN129" i="6"/>
  <c r="AO129" i="6"/>
  <c r="AO118" i="6"/>
  <c r="AQ118" i="6" s="1"/>
  <c r="AO50" i="6"/>
  <c r="AP50" i="6"/>
  <c r="AO47" i="6"/>
  <c r="AO108" i="6"/>
  <c r="AP108" i="6"/>
  <c r="AO68" i="6"/>
  <c r="AN90" i="6"/>
  <c r="AM96" i="6"/>
  <c r="AO95" i="6"/>
  <c r="AO128" i="6"/>
  <c r="AP41" i="6"/>
  <c r="AN72" i="6"/>
  <c r="AM90" i="6"/>
  <c r="AN84" i="6"/>
  <c r="AP92" i="6"/>
  <c r="AO130" i="6"/>
  <c r="AP131" i="6"/>
  <c r="AN128" i="6"/>
  <c r="AP103" i="6"/>
  <c r="AP43" i="6"/>
  <c r="AO41" i="6"/>
  <c r="AO98" i="6"/>
  <c r="AN99" i="6"/>
  <c r="AP64" i="6"/>
  <c r="AP71" i="6"/>
  <c r="AP67" i="6"/>
  <c r="AO85" i="6"/>
  <c r="AP128" i="6"/>
  <c r="AO48" i="6"/>
  <c r="AO42" i="6"/>
  <c r="AO86" i="6"/>
  <c r="AO70" i="6"/>
  <c r="AQ70" i="6" s="1"/>
  <c r="AN126" i="6"/>
  <c r="AP126" i="6"/>
  <c r="AM72" i="6"/>
  <c r="AN47" i="6"/>
  <c r="AN43" i="6"/>
  <c r="AN54" i="6"/>
  <c r="AN50" i="6"/>
  <c r="AO91" i="6"/>
  <c r="AO127" i="6"/>
  <c r="AN130" i="6"/>
  <c r="AO43" i="6"/>
  <c r="AO99" i="6"/>
  <c r="AN104" i="6"/>
  <c r="AO71" i="6"/>
  <c r="AN67" i="6"/>
  <c r="AM48" i="6"/>
  <c r="AM41" i="6"/>
  <c r="AO92" i="6"/>
  <c r="AN83" i="6"/>
  <c r="AP98" i="6"/>
  <c r="AP109" i="6"/>
  <c r="AP99" i="6"/>
  <c r="AN71" i="6"/>
  <c r="AM42" i="6"/>
  <c r="AM49" i="6"/>
  <c r="AO87" i="6"/>
  <c r="AN131" i="6"/>
  <c r="AO120" i="6"/>
  <c r="AN98" i="6"/>
  <c r="AP49" i="6"/>
  <c r="AO64" i="6"/>
  <c r="AO53" i="6"/>
  <c r="AO103" i="6"/>
  <c r="AN66" i="6"/>
  <c r="AP72" i="6"/>
  <c r="AO90" i="6"/>
  <c r="AN48" i="6"/>
  <c r="AO131" i="6"/>
  <c r="AO96" i="6"/>
  <c r="AN64" i="6"/>
  <c r="AO104" i="6"/>
  <c r="AN49" i="6"/>
  <c r="AO83" i="6"/>
  <c r="AN127" i="6"/>
  <c r="AO49" i="6"/>
  <c r="AO109" i="6"/>
  <c r="AP96" i="6"/>
  <c r="AN42" i="6"/>
  <c r="AO84" i="6"/>
  <c r="AP130" i="6"/>
  <c r="AP66" i="6"/>
  <c r="AP120" i="6"/>
  <c r="AN108" i="6"/>
  <c r="AO107" i="6"/>
  <c r="AP104" i="6"/>
  <c r="AO54" i="6"/>
  <c r="AN41" i="6"/>
  <c r="AN82" i="6"/>
  <c r="AP54" i="6"/>
  <c r="AO97" i="6"/>
  <c r="AN97" i="6"/>
  <c r="AN103" i="6"/>
  <c r="AO69" i="6"/>
  <c r="AP127" i="6"/>
  <c r="AN86" i="6"/>
  <c r="AF57" i="6"/>
  <c r="AE56" i="6"/>
  <c r="AE45" i="6"/>
  <c r="AF46" i="6"/>
  <c r="AF49" i="6"/>
  <c r="AF81" i="6"/>
  <c r="AF92" i="6"/>
  <c r="AH132" i="6"/>
  <c r="AF109" i="6"/>
  <c r="AF106" i="6" s="1"/>
  <c r="AD76" i="6"/>
  <c r="T76" i="6"/>
  <c r="AE94" i="6"/>
  <c r="AF95" i="6"/>
  <c r="AG45" i="6"/>
  <c r="AH106" i="6"/>
  <c r="AI132" i="6"/>
  <c r="AG89" i="6"/>
  <c r="AI80" i="6"/>
  <c r="AL62" i="6"/>
  <c r="AI56" i="6"/>
  <c r="AF130" i="6"/>
  <c r="Z76" i="6"/>
  <c r="AI94" i="6"/>
  <c r="AG132" i="6"/>
  <c r="AH89" i="6"/>
  <c r="AI89" i="6"/>
  <c r="AJ39" i="6"/>
  <c r="AH52" i="6"/>
  <c r="AF90" i="6"/>
  <c r="AE89" i="6"/>
  <c r="AE106" i="6"/>
  <c r="AF127" i="6"/>
  <c r="AF42" i="6"/>
  <c r="Y76" i="6"/>
  <c r="AF48" i="6"/>
  <c r="P148" i="6"/>
  <c r="P146" i="6"/>
  <c r="P147" i="6"/>
  <c r="AF64" i="6"/>
  <c r="AJ94" i="6"/>
  <c r="AG111" i="6"/>
  <c r="AJ101" i="6"/>
  <c r="AH80" i="6"/>
  <c r="AG80" i="6"/>
  <c r="AG106" i="6"/>
  <c r="AL97" i="6"/>
  <c r="AL103" i="6"/>
  <c r="AG94" i="6"/>
  <c r="AL47" i="6"/>
  <c r="AJ45" i="6"/>
  <c r="AF53" i="6"/>
  <c r="AF52" i="6" s="1"/>
  <c r="AE52" i="6"/>
  <c r="AA122" i="6"/>
  <c r="AF91" i="6"/>
  <c r="AF47" i="6"/>
  <c r="X69" i="6"/>
  <c r="X68" i="6"/>
  <c r="AC122" i="6"/>
  <c r="AF41" i="6"/>
  <c r="AF50" i="6"/>
  <c r="AS13" i="6"/>
  <c r="AS11" i="6"/>
  <c r="AF62" i="6"/>
  <c r="AI111" i="6"/>
  <c r="AH101" i="6"/>
  <c r="AL102" i="6"/>
  <c r="AG101" i="6"/>
  <c r="AI101" i="6"/>
  <c r="AH94" i="6"/>
  <c r="AQ102" i="6" l="1"/>
  <c r="AR102" i="6" s="1"/>
  <c r="AQ117" i="6"/>
  <c r="AQ90" i="6"/>
  <c r="AQ92" i="6"/>
  <c r="AQ81" i="6"/>
  <c r="AQ91" i="6"/>
  <c r="U68" i="6"/>
  <c r="U153" i="6"/>
  <c r="U172" i="6" s="1"/>
  <c r="AA21" i="6" s="1"/>
  <c r="AA17" i="6" s="1"/>
  <c r="AA68" i="6" s="1"/>
  <c r="AA123" i="6"/>
  <c r="AA141" i="6" s="1"/>
  <c r="O146" i="6"/>
  <c r="S146" i="6" s="1"/>
  <c r="T146" i="6" s="1"/>
  <c r="O148" i="6"/>
  <c r="S148" i="6" s="1"/>
  <c r="T148" i="6" s="1"/>
  <c r="AQ46" i="6"/>
  <c r="AQ72" i="6"/>
  <c r="AR72" i="6" s="1"/>
  <c r="AQ40" i="6"/>
  <c r="AQ50" i="6"/>
  <c r="AR50" i="6" s="1"/>
  <c r="AQ67" i="6"/>
  <c r="AR67" i="6" s="1"/>
  <c r="AQ49" i="6"/>
  <c r="AQ41" i="6"/>
  <c r="AR41" i="6" s="1"/>
  <c r="AQ54" i="6"/>
  <c r="AQ71" i="6"/>
  <c r="AR71" i="6" s="1"/>
  <c r="AQ42" i="6"/>
  <c r="AQ48" i="6"/>
  <c r="AQ43" i="6"/>
  <c r="AR43" i="6" s="1"/>
  <c r="AQ47" i="6"/>
  <c r="AQ64" i="6"/>
  <c r="AR64" i="6" s="1"/>
  <c r="AQ53" i="6"/>
  <c r="N174" i="6"/>
  <c r="AQ130" i="6"/>
  <c r="AQ127" i="6"/>
  <c r="AQ129" i="6"/>
  <c r="AQ131" i="6"/>
  <c r="AQ126" i="6"/>
  <c r="AQ97" i="6"/>
  <c r="AR97" i="6" s="1"/>
  <c r="AQ107" i="6"/>
  <c r="AQ108" i="6"/>
  <c r="AQ109" i="6"/>
  <c r="AQ99" i="6"/>
  <c r="AR99" i="6" s="1"/>
  <c r="AQ103" i="6"/>
  <c r="AR103" i="6" s="1"/>
  <c r="AQ104" i="6"/>
  <c r="AR104" i="6" s="1"/>
  <c r="AQ96" i="6"/>
  <c r="AR96" i="6" s="1"/>
  <c r="AQ120" i="6"/>
  <c r="S147" i="6"/>
  <c r="T147" i="6" s="1"/>
  <c r="S69" i="6"/>
  <c r="T69" i="6" s="1"/>
  <c r="AQ95" i="6"/>
  <c r="AQ98" i="6"/>
  <c r="AR98" i="6" s="1"/>
  <c r="S68" i="6"/>
  <c r="T68" i="6" s="1"/>
  <c r="AF94" i="6"/>
  <c r="AB123" i="6"/>
  <c r="AB141" i="6" s="1"/>
  <c r="AN89" i="6"/>
  <c r="AJ76" i="6"/>
  <c r="AO52" i="6"/>
  <c r="AK106" i="6"/>
  <c r="AF56" i="6"/>
  <c r="AF89" i="6"/>
  <c r="AO39" i="6"/>
  <c r="AR128" i="6"/>
  <c r="AP94" i="6"/>
  <c r="AL66" i="6"/>
  <c r="AI122" i="6"/>
  <c r="AL101" i="6"/>
  <c r="AK101" i="6"/>
  <c r="AG122" i="6"/>
  <c r="P151" i="6"/>
  <c r="V33" i="6"/>
  <c r="P150" i="6"/>
  <c r="AL108" i="6"/>
  <c r="AO89" i="6"/>
  <c r="AP132" i="6"/>
  <c r="AM94" i="6"/>
  <c r="AP106" i="6"/>
  <c r="AO66" i="6"/>
  <c r="AQ66" i="6" s="1"/>
  <c r="AR66" i="6" s="1"/>
  <c r="AM111" i="6"/>
  <c r="AH76" i="6"/>
  <c r="AG76" i="6"/>
  <c r="AL107" i="6"/>
  <c r="AL81" i="6"/>
  <c r="AK111" i="6"/>
  <c r="AL117" i="6"/>
  <c r="AL111" i="6" s="1"/>
  <c r="AF45" i="6"/>
  <c r="AN132" i="6"/>
  <c r="AP45" i="6"/>
  <c r="AP52" i="6"/>
  <c r="AM106" i="6"/>
  <c r="AP39" i="6"/>
  <c r="AO111" i="6"/>
  <c r="AC123" i="6"/>
  <c r="AC141" i="6" s="1"/>
  <c r="AC153" i="6" s="1"/>
  <c r="AC172" i="6" s="1"/>
  <c r="AI26" i="6" s="1"/>
  <c r="AI17" i="6" s="1"/>
  <c r="AL40" i="6"/>
  <c r="AL39" i="6" s="1"/>
  <c r="AK39" i="6"/>
  <c r="AL128" i="6"/>
  <c r="AH122" i="6"/>
  <c r="AL90" i="6"/>
  <c r="AL89" i="6" s="1"/>
  <c r="AK89" i="6"/>
  <c r="AN94" i="6"/>
  <c r="AN106" i="6"/>
  <c r="AO45" i="6"/>
  <c r="AN39" i="6"/>
  <c r="AN80" i="6"/>
  <c r="AN52" i="6"/>
  <c r="V22" i="6"/>
  <c r="V17" i="6" s="1"/>
  <c r="Y17" i="6" s="1"/>
  <c r="P172" i="6"/>
  <c r="AK132" i="6"/>
  <c r="AL126" i="6"/>
  <c r="AK45" i="6"/>
  <c r="AL46" i="6"/>
  <c r="AL45" i="6" s="1"/>
  <c r="AO106" i="6"/>
  <c r="AM89" i="6"/>
  <c r="AO94" i="6"/>
  <c r="AM52" i="6"/>
  <c r="AM39" i="6"/>
  <c r="AN45" i="6"/>
  <c r="AM101" i="6"/>
  <c r="AR127" i="6"/>
  <c r="AM132" i="6"/>
  <c r="AP89" i="6"/>
  <c r="AO80" i="6"/>
  <c r="AL53" i="6"/>
  <c r="AL52" i="6" s="1"/>
  <c r="AK52" i="6"/>
  <c r="AO56" i="6"/>
  <c r="S122" i="6"/>
  <c r="AK56" i="6"/>
  <c r="AL57" i="6"/>
  <c r="AL56" i="6" s="1"/>
  <c r="AR118" i="6"/>
  <c r="AO132" i="6"/>
  <c r="AN101" i="6"/>
  <c r="AR131" i="6"/>
  <c r="AF132" i="6"/>
  <c r="T17" i="6"/>
  <c r="AF39" i="6"/>
  <c r="T122" i="6"/>
  <c r="T123" i="6" s="1"/>
  <c r="T141" i="6" s="1"/>
  <c r="X86" i="6"/>
  <c r="Y86" i="6" s="1"/>
  <c r="X83" i="6"/>
  <c r="Y83" i="6" s="1"/>
  <c r="X82" i="6"/>
  <c r="Y82" i="6" s="1"/>
  <c r="X85" i="6"/>
  <c r="Y85" i="6" s="1"/>
  <c r="X84" i="6"/>
  <c r="Y84" i="6" s="1"/>
  <c r="X87" i="6"/>
  <c r="Y87" i="6" s="1"/>
  <c r="AM45" i="6"/>
  <c r="AM80" i="6"/>
  <c r="AU62" i="6"/>
  <c r="AW62" i="6" s="1"/>
  <c r="AV40" i="6"/>
  <c r="AT40" i="6"/>
  <c r="AS84" i="6"/>
  <c r="AS83" i="6"/>
  <c r="AU40" i="6"/>
  <c r="AS86" i="6"/>
  <c r="AT46" i="6"/>
  <c r="AS81" i="6"/>
  <c r="AV81" i="6"/>
  <c r="AT81" i="6"/>
  <c r="AT53" i="6"/>
  <c r="AS82" i="6"/>
  <c r="AS85" i="6"/>
  <c r="AS127" i="6"/>
  <c r="AS96" i="6"/>
  <c r="AV53" i="6"/>
  <c r="AS118" i="6"/>
  <c r="AS99" i="6"/>
  <c r="AU81" i="6"/>
  <c r="AU90" i="6"/>
  <c r="AU126" i="6"/>
  <c r="AS104" i="6"/>
  <c r="AU95" i="6"/>
  <c r="AS46" i="6"/>
  <c r="AT102" i="6"/>
  <c r="AV107" i="6"/>
  <c r="AS67" i="6"/>
  <c r="AS87" i="6"/>
  <c r="AT91" i="6"/>
  <c r="AS66" i="6"/>
  <c r="AT126" i="6"/>
  <c r="AS40" i="6"/>
  <c r="AU117" i="6"/>
  <c r="AU46" i="6"/>
  <c r="AV90" i="6"/>
  <c r="AS131" i="6"/>
  <c r="AV126" i="6"/>
  <c r="AS108" i="6"/>
  <c r="AU67" i="6"/>
  <c r="AS107" i="6"/>
  <c r="AS90" i="6"/>
  <c r="AS92" i="6"/>
  <c r="AV102" i="6"/>
  <c r="AS103" i="6"/>
  <c r="AS120" i="6"/>
  <c r="AS71" i="6"/>
  <c r="AS64" i="6"/>
  <c r="AS95" i="6"/>
  <c r="AS130" i="6"/>
  <c r="AV95" i="6"/>
  <c r="AS53" i="6"/>
  <c r="AS102" i="6"/>
  <c r="AS117" i="6"/>
  <c r="AT95" i="6"/>
  <c r="AT90" i="6"/>
  <c r="AS128" i="6"/>
  <c r="AU107" i="6"/>
  <c r="AU92" i="6"/>
  <c r="AT83" i="6"/>
  <c r="AU98" i="6"/>
  <c r="AV98" i="6"/>
  <c r="AV97" i="6"/>
  <c r="AV50" i="6"/>
  <c r="AU97" i="6"/>
  <c r="AT131" i="6"/>
  <c r="AT86" i="6"/>
  <c r="AV43" i="6"/>
  <c r="AT103" i="6"/>
  <c r="AT82" i="6"/>
  <c r="AV129" i="6"/>
  <c r="AU96" i="6"/>
  <c r="AT99" i="6"/>
  <c r="AS126" i="6"/>
  <c r="AV46" i="6"/>
  <c r="AV130" i="6"/>
  <c r="AT109" i="6"/>
  <c r="AU47" i="6"/>
  <c r="AT108" i="6"/>
  <c r="AU68" i="6"/>
  <c r="AT107" i="6"/>
  <c r="AU102" i="6"/>
  <c r="AS98" i="6"/>
  <c r="AS49" i="6"/>
  <c r="AS50" i="6"/>
  <c r="AS47" i="6"/>
  <c r="AS48" i="6"/>
  <c r="AT84" i="6"/>
  <c r="AU91" i="6"/>
  <c r="AT128" i="6"/>
  <c r="AT104" i="6"/>
  <c r="AV66" i="6"/>
  <c r="AU104" i="6"/>
  <c r="AU41" i="6"/>
  <c r="AU108" i="6"/>
  <c r="AU103" i="6"/>
  <c r="AV54" i="6"/>
  <c r="AU43" i="6"/>
  <c r="AT67" i="6"/>
  <c r="AS129" i="6"/>
  <c r="AS109" i="6"/>
  <c r="AS72" i="6"/>
  <c r="AS97" i="6"/>
  <c r="AS42" i="6"/>
  <c r="AU85" i="6"/>
  <c r="AV128" i="6"/>
  <c r="AT130" i="6"/>
  <c r="AU120" i="6"/>
  <c r="AV41" i="6"/>
  <c r="AV96" i="6"/>
  <c r="AT66" i="6"/>
  <c r="AV72" i="6"/>
  <c r="AV64" i="6"/>
  <c r="AU54" i="6"/>
  <c r="AU130" i="6"/>
  <c r="AT98" i="6"/>
  <c r="AT47" i="6"/>
  <c r="AU128" i="6"/>
  <c r="AT42" i="6"/>
  <c r="AT87" i="6"/>
  <c r="AU127" i="6"/>
  <c r="AU129" i="6"/>
  <c r="AT71" i="6"/>
  <c r="AT97" i="6"/>
  <c r="AT96" i="6"/>
  <c r="AT127" i="6"/>
  <c r="AV48" i="6"/>
  <c r="AU70" i="6"/>
  <c r="AW70" i="6" s="1"/>
  <c r="AV127" i="6"/>
  <c r="AT129" i="6"/>
  <c r="AV120" i="6"/>
  <c r="AU84" i="6"/>
  <c r="AU64" i="6"/>
  <c r="AT41" i="6"/>
  <c r="AT50" i="6"/>
  <c r="AT92" i="6"/>
  <c r="AV49" i="6"/>
  <c r="AU83" i="6"/>
  <c r="AU53" i="6"/>
  <c r="AU69" i="6"/>
  <c r="AS43" i="6"/>
  <c r="AU82" i="6"/>
  <c r="AU48" i="6"/>
  <c r="AT120" i="6"/>
  <c r="AV67" i="6"/>
  <c r="AU86" i="6"/>
  <c r="AV99" i="6"/>
  <c r="AT43" i="6"/>
  <c r="AT48" i="6"/>
  <c r="AT85" i="6"/>
  <c r="AV42" i="6"/>
  <c r="AV104" i="6"/>
  <c r="AU49" i="6"/>
  <c r="AU71" i="6"/>
  <c r="AV71" i="6"/>
  <c r="AT72" i="6"/>
  <c r="AU42" i="6"/>
  <c r="AT54" i="6"/>
  <c r="AV131" i="6"/>
  <c r="AV109" i="6"/>
  <c r="AV103" i="6"/>
  <c r="AU72" i="6"/>
  <c r="AT49" i="6"/>
  <c r="AS54" i="6"/>
  <c r="AU87" i="6"/>
  <c r="AV92" i="6"/>
  <c r="AU131" i="6"/>
  <c r="AV108" i="6"/>
  <c r="AV47" i="6"/>
  <c r="AT64" i="6"/>
  <c r="AU50" i="6"/>
  <c r="AU99" i="6"/>
  <c r="AU118" i="6"/>
  <c r="AS41" i="6"/>
  <c r="AU109" i="6"/>
  <c r="AK94" i="6"/>
  <c r="AL95" i="6"/>
  <c r="AL94" i="6" s="1"/>
  <c r="AP101" i="6"/>
  <c r="AO101" i="6"/>
  <c r="AE76" i="6"/>
  <c r="AI76" i="6"/>
  <c r="AW81" i="6" l="1"/>
  <c r="AZ81" i="6" s="1"/>
  <c r="AW90" i="6"/>
  <c r="AW91" i="6"/>
  <c r="AX91" i="6" s="1"/>
  <c r="AI123" i="6"/>
  <c r="AI141" i="6" s="1"/>
  <c r="AI153" i="6" s="1"/>
  <c r="AI172" i="6" s="1"/>
  <c r="AO26" i="6" s="1"/>
  <c r="AO17" i="6" s="1"/>
  <c r="AW92" i="6"/>
  <c r="AX92" i="6" s="1"/>
  <c r="U33" i="6"/>
  <c r="U147" i="6" s="1"/>
  <c r="AA69" i="6"/>
  <c r="AA153" i="6"/>
  <c r="AA172" i="6" s="1"/>
  <c r="AG21" i="6" s="1"/>
  <c r="AG17" i="6" s="1"/>
  <c r="AG69" i="6" s="1"/>
  <c r="O151" i="6"/>
  <c r="S151" i="6" s="1"/>
  <c r="T151" i="6" s="1"/>
  <c r="O150" i="6"/>
  <c r="S150" i="6" s="1"/>
  <c r="T150" i="6" s="1"/>
  <c r="AW41" i="6"/>
  <c r="AX41" i="6" s="1"/>
  <c r="AW54" i="6"/>
  <c r="AX54" i="6" s="1"/>
  <c r="AU52" i="6"/>
  <c r="AW40" i="6"/>
  <c r="AZ40" i="6" s="1"/>
  <c r="AW46" i="6"/>
  <c r="AW42" i="6"/>
  <c r="AX42" i="6" s="1"/>
  <c r="AW64" i="6"/>
  <c r="AZ64" i="6" s="1"/>
  <c r="AW48" i="6"/>
  <c r="AX48" i="6" s="1"/>
  <c r="AW71" i="6"/>
  <c r="AX71" i="6" s="1"/>
  <c r="AW72" i="6"/>
  <c r="AX72" i="6" s="1"/>
  <c r="AW47" i="6"/>
  <c r="AX47" i="6" s="1"/>
  <c r="AW43" i="6"/>
  <c r="AX43" i="6" s="1"/>
  <c r="AW50" i="6"/>
  <c r="AX50" i="6" s="1"/>
  <c r="AW49" i="6"/>
  <c r="AX49" i="6" s="1"/>
  <c r="AW53" i="6"/>
  <c r="AZ53" i="6" s="1"/>
  <c r="AW67" i="6"/>
  <c r="AX67" i="6" s="1"/>
  <c r="AW126" i="6"/>
  <c r="AW127" i="6"/>
  <c r="AW130" i="6"/>
  <c r="AW128" i="6"/>
  <c r="AW129" i="6"/>
  <c r="AW131" i="6"/>
  <c r="AX131" i="6" s="1"/>
  <c r="AW109" i="6"/>
  <c r="AX109" i="6" s="1"/>
  <c r="AW98" i="6"/>
  <c r="AW99" i="6"/>
  <c r="AW118" i="6"/>
  <c r="AW95" i="6"/>
  <c r="AZ95" i="6" s="1"/>
  <c r="AW107" i="6"/>
  <c r="AZ107" i="6" s="1"/>
  <c r="AW96" i="6"/>
  <c r="AZ96" i="6" s="1"/>
  <c r="AW97" i="6"/>
  <c r="AX97" i="6" s="1"/>
  <c r="AW108" i="6"/>
  <c r="AZ108" i="6" s="1"/>
  <c r="AW104" i="6"/>
  <c r="AW117" i="6"/>
  <c r="AW120" i="6"/>
  <c r="AZ120" i="6" s="1"/>
  <c r="AW102" i="6"/>
  <c r="AW103" i="6"/>
  <c r="AZ103" i="6" s="1"/>
  <c r="AO76" i="6"/>
  <c r="AP76" i="6"/>
  <c r="AL132" i="6"/>
  <c r="AF76" i="6"/>
  <c r="AG123" i="6"/>
  <c r="AG141" i="6" s="1"/>
  <c r="AH123" i="6"/>
  <c r="AH141" i="6" s="1"/>
  <c r="AV39" i="6"/>
  <c r="AO122" i="6"/>
  <c r="AU45" i="6"/>
  <c r="AZ98" i="6"/>
  <c r="X80" i="6"/>
  <c r="X122" i="6" s="1"/>
  <c r="X123" i="6" s="1"/>
  <c r="X141" i="6" s="1"/>
  <c r="X153" i="6" s="1"/>
  <c r="X172" i="6" s="1"/>
  <c r="AD27" i="6" s="1"/>
  <c r="AD17" i="6" s="1"/>
  <c r="AU101" i="6"/>
  <c r="AT94" i="6"/>
  <c r="AS106" i="6"/>
  <c r="AV106" i="6"/>
  <c r="AZ99" i="6"/>
  <c r="AS80" i="6"/>
  <c r="AU56" i="6"/>
  <c r="AX62" i="6"/>
  <c r="Z83" i="6"/>
  <c r="AR91" i="6"/>
  <c r="AR62" i="6"/>
  <c r="AZ62" i="6"/>
  <c r="AR101" i="6"/>
  <c r="AR90" i="6"/>
  <c r="AQ89" i="6"/>
  <c r="AN122" i="6"/>
  <c r="AR47" i="6"/>
  <c r="AQ94" i="6"/>
  <c r="AR95" i="6"/>
  <c r="AR94" i="6" s="1"/>
  <c r="AS94" i="6"/>
  <c r="AR49" i="6"/>
  <c r="AR57" i="6"/>
  <c r="AQ56" i="6"/>
  <c r="AT106" i="6"/>
  <c r="AV45" i="6"/>
  <c r="AS111" i="6"/>
  <c r="AU66" i="6"/>
  <c r="AW66" i="6" s="1"/>
  <c r="AU111" i="6"/>
  <c r="AT101" i="6"/>
  <c r="AT45" i="6"/>
  <c r="AR81" i="6"/>
  <c r="Z86" i="6"/>
  <c r="AR42" i="6"/>
  <c r="AQ101" i="6"/>
  <c r="AR109" i="6"/>
  <c r="AN76" i="6"/>
  <c r="AS89" i="6"/>
  <c r="AU80" i="6"/>
  <c r="AX129" i="6"/>
  <c r="AS132" i="6"/>
  <c r="AZ57" i="6"/>
  <c r="AS39" i="6"/>
  <c r="AS45" i="6"/>
  <c r="AT52" i="6"/>
  <c r="AM122" i="6"/>
  <c r="AR129" i="6"/>
  <c r="AS101" i="6"/>
  <c r="AT132" i="6"/>
  <c r="AU94" i="6"/>
  <c r="AV52" i="6"/>
  <c r="AT80" i="6"/>
  <c r="AU39" i="6"/>
  <c r="AQ132" i="6"/>
  <c r="AR126" i="6"/>
  <c r="AM76" i="6"/>
  <c r="AR120" i="6"/>
  <c r="AR108" i="6"/>
  <c r="AK76" i="6"/>
  <c r="AU106" i="6"/>
  <c r="AS52" i="6"/>
  <c r="AV101" i="6"/>
  <c r="AV132" i="6"/>
  <c r="AZ104" i="6"/>
  <c r="AR92" i="6"/>
  <c r="Z87" i="6"/>
  <c r="T153" i="6"/>
  <c r="T172" i="6" s="1"/>
  <c r="AQ39" i="6"/>
  <c r="AR40" i="6"/>
  <c r="AL76" i="6"/>
  <c r="AQ106" i="6"/>
  <c r="AR48" i="6"/>
  <c r="AR117" i="6"/>
  <c r="AR111" i="6" s="1"/>
  <c r="AQ111" i="6"/>
  <c r="AZ117" i="6"/>
  <c r="AV94" i="6"/>
  <c r="AU132" i="6"/>
  <c r="Z84" i="6"/>
  <c r="AR130" i="6"/>
  <c r="AZ130" i="6"/>
  <c r="AQ52" i="6"/>
  <c r="AR53" i="6"/>
  <c r="V153" i="6"/>
  <c r="V69" i="6"/>
  <c r="V68" i="6"/>
  <c r="AR107" i="6"/>
  <c r="AL106" i="6"/>
  <c r="AR54" i="6"/>
  <c r="AZ54" i="6"/>
  <c r="AT89" i="6"/>
  <c r="AX130" i="6"/>
  <c r="AV89" i="6"/>
  <c r="AU89" i="6"/>
  <c r="AX127" i="6"/>
  <c r="AT39" i="6"/>
  <c r="AQ45" i="6"/>
  <c r="AR46" i="6"/>
  <c r="Z85" i="6"/>
  <c r="S123" i="6"/>
  <c r="V147" i="6"/>
  <c r="V148" i="6"/>
  <c r="V146" i="6"/>
  <c r="AZ109" i="6" l="1"/>
  <c r="AZ92" i="6"/>
  <c r="AZ97" i="6"/>
  <c r="U146" i="6"/>
  <c r="Y146" i="6" s="1"/>
  <c r="Z146" i="6" s="1"/>
  <c r="U148" i="6"/>
  <c r="AA33" i="6" s="1"/>
  <c r="AG68" i="6"/>
  <c r="AG153" i="6"/>
  <c r="AG172" i="6" s="1"/>
  <c r="AM21" i="6" s="1"/>
  <c r="AM17" i="6" s="1"/>
  <c r="AM69" i="6" s="1"/>
  <c r="AZ41" i="6"/>
  <c r="AZ49" i="6"/>
  <c r="AX64" i="6"/>
  <c r="AZ47" i="6"/>
  <c r="AZ43" i="6"/>
  <c r="AO123" i="6"/>
  <c r="AO141" i="6" s="1"/>
  <c r="AO153" i="6" s="1"/>
  <c r="AO172" i="6" s="1"/>
  <c r="AU26" i="6" s="1"/>
  <c r="AU17" i="6" s="1"/>
  <c r="AX66" i="6"/>
  <c r="Y68" i="6"/>
  <c r="Z68" i="6" s="1"/>
  <c r="Y69" i="6"/>
  <c r="Z69" i="6" s="1"/>
  <c r="AX103" i="6"/>
  <c r="Y147" i="6"/>
  <c r="Z147" i="6" s="1"/>
  <c r="AS76" i="6"/>
  <c r="AN123" i="6"/>
  <c r="AN141" i="6" s="1"/>
  <c r="AX99" i="6"/>
  <c r="AX104" i="6"/>
  <c r="AX108" i="6"/>
  <c r="AR89" i="6"/>
  <c r="AX96" i="6"/>
  <c r="AU76" i="6"/>
  <c r="AT122" i="6"/>
  <c r="AW101" i="6"/>
  <c r="AZ101" i="6" s="1"/>
  <c r="AV76" i="6"/>
  <c r="AM123" i="6"/>
  <c r="AM141" i="6" s="1"/>
  <c r="AX102" i="6"/>
  <c r="AZ131" i="6"/>
  <c r="AZ127" i="6"/>
  <c r="AX120" i="6"/>
  <c r="AT76" i="6"/>
  <c r="AR106" i="6"/>
  <c r="AX90" i="6"/>
  <c r="AX89" i="6" s="1"/>
  <c r="AW89" i="6"/>
  <c r="AZ89" i="6" s="1"/>
  <c r="AZ42" i="6"/>
  <c r="AX117" i="6"/>
  <c r="AW111" i="6"/>
  <c r="AZ111" i="6" s="1"/>
  <c r="AS122" i="6"/>
  <c r="AW106" i="6"/>
  <c r="AZ106" i="6" s="1"/>
  <c r="AX98" i="6"/>
  <c r="Z17" i="6"/>
  <c r="S141" i="6"/>
  <c r="AW56" i="6"/>
  <c r="AZ56" i="6" s="1"/>
  <c r="AX57" i="6"/>
  <c r="AX56" i="6" s="1"/>
  <c r="AX118" i="6"/>
  <c r="AZ118" i="6"/>
  <c r="AZ66" i="6"/>
  <c r="V172" i="6"/>
  <c r="AB22" i="6"/>
  <c r="AB17" i="6" s="1"/>
  <c r="AE17" i="6" s="1"/>
  <c r="AZ50" i="6"/>
  <c r="AQ76" i="6"/>
  <c r="AZ91" i="6"/>
  <c r="AD68" i="6"/>
  <c r="AD69" i="6"/>
  <c r="AR39" i="6"/>
  <c r="AX128" i="6"/>
  <c r="AZ128" i="6"/>
  <c r="AX53" i="6"/>
  <c r="AX52" i="6" s="1"/>
  <c r="AW52" i="6"/>
  <c r="AZ52" i="6" s="1"/>
  <c r="AW45" i="6"/>
  <c r="AZ45" i="6" s="1"/>
  <c r="AX46" i="6"/>
  <c r="AX45" i="6" s="1"/>
  <c r="AU122" i="6"/>
  <c r="AU123" i="6" s="1"/>
  <c r="AU141" i="6" s="1"/>
  <c r="AZ102" i="6"/>
  <c r="AR56" i="6"/>
  <c r="Z82" i="6"/>
  <c r="Z80" i="6" s="1"/>
  <c r="Y80" i="6"/>
  <c r="Y122" i="6" s="1"/>
  <c r="Y123" i="6" s="1"/>
  <c r="AZ46" i="6"/>
  <c r="AR132" i="6"/>
  <c r="AR45" i="6"/>
  <c r="AZ48" i="6"/>
  <c r="AB33" i="6"/>
  <c r="V151" i="6"/>
  <c r="V150" i="6"/>
  <c r="AR52" i="6"/>
  <c r="AZ129" i="6"/>
  <c r="AX40" i="6"/>
  <c r="AX39" i="6" s="1"/>
  <c r="AW39" i="6"/>
  <c r="AZ39" i="6" s="1"/>
  <c r="AX126" i="6"/>
  <c r="AW132" i="6"/>
  <c r="AZ132" i="6" s="1"/>
  <c r="AZ126" i="6"/>
  <c r="U151" i="6"/>
  <c r="AW94" i="6"/>
  <c r="AZ94" i="6" s="1"/>
  <c r="AX95" i="6"/>
  <c r="AZ90" i="6"/>
  <c r="AX81" i="6"/>
  <c r="AX107" i="6"/>
  <c r="U150" i="6" l="1"/>
  <c r="Y150" i="6" s="1"/>
  <c r="Z150" i="6" s="1"/>
  <c r="Y148" i="6"/>
  <c r="Z148" i="6" s="1"/>
  <c r="AM68" i="6"/>
  <c r="AM153" i="6"/>
  <c r="AM172" i="6" s="1"/>
  <c r="AS21" i="6" s="1"/>
  <c r="AS17" i="6" s="1"/>
  <c r="AS69" i="6" s="1"/>
  <c r="AS123" i="6"/>
  <c r="AS141" i="6" s="1"/>
  <c r="Y151" i="6"/>
  <c r="Z151" i="6" s="1"/>
  <c r="AX106" i="6"/>
  <c r="AX76" i="6"/>
  <c r="AU153" i="6"/>
  <c r="AU172" i="6" s="1"/>
  <c r="AX101" i="6"/>
  <c r="AT123" i="6"/>
  <c r="AT141" i="6" s="1"/>
  <c r="S153" i="6"/>
  <c r="S172" i="6" s="1"/>
  <c r="S174" i="6" s="1"/>
  <c r="AB153" i="6"/>
  <c r="AB68" i="6"/>
  <c r="AB69" i="6"/>
  <c r="AX111" i="6"/>
  <c r="AX94" i="6"/>
  <c r="AA146" i="6"/>
  <c r="AA147" i="6"/>
  <c r="AA148" i="6"/>
  <c r="AR76" i="6"/>
  <c r="AX132" i="6"/>
  <c r="Z122" i="6"/>
  <c r="Z123" i="6" s="1"/>
  <c r="Z141" i="6" s="1"/>
  <c r="Z153" i="6" s="1"/>
  <c r="Z172" i="6" s="1"/>
  <c r="AD84" i="6"/>
  <c r="AE84" i="6" s="1"/>
  <c r="AD87" i="6"/>
  <c r="AE87" i="6" s="1"/>
  <c r="AD83" i="6"/>
  <c r="AE83" i="6" s="1"/>
  <c r="AD86" i="6"/>
  <c r="AE86" i="6" s="1"/>
  <c r="AD82" i="6"/>
  <c r="AE82" i="6" s="1"/>
  <c r="AD85" i="6"/>
  <c r="AE85" i="6" s="1"/>
  <c r="AW76" i="6"/>
  <c r="AZ76" i="6" s="1"/>
  <c r="AB147" i="6"/>
  <c r="AB146" i="6"/>
  <c r="AB148" i="6"/>
  <c r="AS68" i="6" l="1"/>
  <c r="AS153" i="6"/>
  <c r="AS172" i="6" s="1"/>
  <c r="AE146" i="6"/>
  <c r="AF146" i="6" s="1"/>
  <c r="AE68" i="6"/>
  <c r="AF68" i="6" s="1"/>
  <c r="AE69" i="6"/>
  <c r="AF69" i="6" s="1"/>
  <c r="AE148" i="6"/>
  <c r="AF148" i="6" s="1"/>
  <c r="AE147" i="6"/>
  <c r="AF147" i="6" s="1"/>
  <c r="AD80" i="6"/>
  <c r="AD122" i="6" s="1"/>
  <c r="AD123" i="6" s="1"/>
  <c r="AD141" i="6" s="1"/>
  <c r="AD153" i="6" s="1"/>
  <c r="AD172" i="6" s="1"/>
  <c r="AJ27" i="6" s="1"/>
  <c r="AJ17" i="6" s="1"/>
  <c r="AB151" i="6"/>
  <c r="AB150" i="6"/>
  <c r="AH33" i="6"/>
  <c r="AF17" i="6"/>
  <c r="AF85" i="6"/>
  <c r="AF86" i="6"/>
  <c r="AH22" i="6"/>
  <c r="AH17" i="6" s="1"/>
  <c r="AB172" i="6"/>
  <c r="AF83" i="6"/>
  <c r="T174" i="6"/>
  <c r="S175" i="6"/>
  <c r="T175" i="6" s="1"/>
  <c r="AF87" i="6"/>
  <c r="AA150" i="6"/>
  <c r="AA151" i="6"/>
  <c r="AG33" i="6"/>
  <c r="AF84" i="6"/>
  <c r="AK17" i="6" l="1"/>
  <c r="AE150" i="6"/>
  <c r="AF150" i="6" s="1"/>
  <c r="AE151" i="6"/>
  <c r="AF151" i="6" s="1"/>
  <c r="Y141" i="6"/>
  <c r="AH147" i="6"/>
  <c r="AH148" i="6"/>
  <c r="AH146" i="6"/>
  <c r="AF82" i="6"/>
  <c r="AF80" i="6" s="1"/>
  <c r="AE80" i="6"/>
  <c r="AG146" i="6"/>
  <c r="AG147" i="6"/>
  <c r="AG148" i="6"/>
  <c r="AH69" i="6"/>
  <c r="AH153" i="6"/>
  <c r="AH68" i="6"/>
  <c r="AJ68" i="6"/>
  <c r="AJ69" i="6"/>
  <c r="AK69" i="6" l="1"/>
  <c r="AL69" i="6" s="1"/>
  <c r="AK68" i="6"/>
  <c r="AL68" i="6" s="1"/>
  <c r="AK148" i="6"/>
  <c r="AL148" i="6" s="1"/>
  <c r="AK147" i="6"/>
  <c r="AL147" i="6" s="1"/>
  <c r="AK146" i="6"/>
  <c r="AL146" i="6" s="1"/>
  <c r="AL17" i="6"/>
  <c r="AE122" i="6"/>
  <c r="AH172" i="6"/>
  <c r="AN22" i="6"/>
  <c r="AN17" i="6" s="1"/>
  <c r="AF122" i="6"/>
  <c r="AF123" i="6" s="1"/>
  <c r="AF141" i="6" s="1"/>
  <c r="AF153" i="6" s="1"/>
  <c r="AF172" i="6" s="1"/>
  <c r="AJ84" i="6"/>
  <c r="AK84" i="6" s="1"/>
  <c r="AJ87" i="6"/>
  <c r="AK87" i="6" s="1"/>
  <c r="AJ82" i="6"/>
  <c r="AK82" i="6" s="1"/>
  <c r="AJ85" i="6"/>
  <c r="AK85" i="6" s="1"/>
  <c r="AJ86" i="6"/>
  <c r="AK86" i="6" s="1"/>
  <c r="AJ83" i="6"/>
  <c r="AK83" i="6" s="1"/>
  <c r="AG150" i="6"/>
  <c r="AG151" i="6"/>
  <c r="AM33" i="6"/>
  <c r="AH151" i="6"/>
  <c r="AH150" i="6"/>
  <c r="AN33" i="6"/>
  <c r="Y153" i="6"/>
  <c r="Y172" i="6" s="1"/>
  <c r="Y174" i="6" s="1"/>
  <c r="AK151" i="6" l="1"/>
  <c r="AL151" i="6" s="1"/>
  <c r="AK150" i="6"/>
  <c r="AL150" i="6" s="1"/>
  <c r="AL87" i="6"/>
  <c r="AM146" i="6"/>
  <c r="AM148" i="6"/>
  <c r="AM147" i="6"/>
  <c r="AL83" i="6"/>
  <c r="AL84" i="6"/>
  <c r="AN68" i="6"/>
  <c r="AN153" i="6"/>
  <c r="AN69" i="6"/>
  <c r="AL86" i="6"/>
  <c r="AL85" i="6"/>
  <c r="Z174" i="6"/>
  <c r="Y175" i="6"/>
  <c r="Z175" i="6" s="1"/>
  <c r="AN147" i="6"/>
  <c r="AN146" i="6"/>
  <c r="AN148" i="6"/>
  <c r="AJ80" i="6"/>
  <c r="AJ122" i="6" s="1"/>
  <c r="AJ123" i="6" s="1"/>
  <c r="AJ141" i="6" s="1"/>
  <c r="AJ153" i="6" s="1"/>
  <c r="AJ172" i="6" s="1"/>
  <c r="AP27" i="6" s="1"/>
  <c r="AP17" i="6" s="1"/>
  <c r="AQ17" i="6" s="1"/>
  <c r="AE123" i="6"/>
  <c r="AQ148" i="6" l="1"/>
  <c r="AR148" i="6" s="1"/>
  <c r="AQ147" i="6"/>
  <c r="AR147" i="6" s="1"/>
  <c r="AQ146" i="6"/>
  <c r="AR146" i="6" s="1"/>
  <c r="AR17" i="6"/>
  <c r="AN172" i="6"/>
  <c r="AT22" i="6"/>
  <c r="AT17" i="6" s="1"/>
  <c r="AE141" i="6"/>
  <c r="AM150" i="6"/>
  <c r="AS33" i="6"/>
  <c r="AM151" i="6"/>
  <c r="AP69" i="6"/>
  <c r="AP68" i="6"/>
  <c r="AL82" i="6"/>
  <c r="AL80" i="6" s="1"/>
  <c r="AK80" i="6"/>
  <c r="AT33" i="6"/>
  <c r="AN151" i="6"/>
  <c r="AN150" i="6"/>
  <c r="AQ150" i="6" l="1"/>
  <c r="AR150" i="6" s="1"/>
  <c r="AQ151" i="6"/>
  <c r="AR151" i="6" s="1"/>
  <c r="AQ68" i="6"/>
  <c r="AR68" i="6" s="1"/>
  <c r="AQ69" i="6"/>
  <c r="AR69" i="6" s="1"/>
  <c r="AE153" i="6"/>
  <c r="AE172" i="6" s="1"/>
  <c r="AE174" i="6" s="1"/>
  <c r="AT69" i="6"/>
  <c r="AT153" i="6"/>
  <c r="AT68" i="6"/>
  <c r="AK122" i="6"/>
  <c r="AT147" i="6"/>
  <c r="AT146" i="6"/>
  <c r="AT148" i="6"/>
  <c r="AL122" i="6"/>
  <c r="AL123" i="6" s="1"/>
  <c r="AL141" i="6" s="1"/>
  <c r="AL153" i="6" s="1"/>
  <c r="AL172" i="6" s="1"/>
  <c r="AP85" i="6"/>
  <c r="AQ85" i="6" s="1"/>
  <c r="AP82" i="6"/>
  <c r="AQ82" i="6" s="1"/>
  <c r="AP87" i="6"/>
  <c r="AQ87" i="6" s="1"/>
  <c r="AP84" i="6"/>
  <c r="AQ84" i="6" s="1"/>
  <c r="AP83" i="6"/>
  <c r="AQ83" i="6" s="1"/>
  <c r="AP86" i="6"/>
  <c r="AQ86" i="6" s="1"/>
  <c r="AS146" i="6"/>
  <c r="AS147" i="6"/>
  <c r="AS148" i="6"/>
  <c r="AW146" i="6" l="1"/>
  <c r="AX146" i="6" s="1"/>
  <c r="AW147" i="6"/>
  <c r="AX147" i="6" s="1"/>
  <c r="AW148" i="6"/>
  <c r="AX148" i="6" s="1"/>
  <c r="AR86" i="6"/>
  <c r="AF174" i="6"/>
  <c r="AE175" i="6"/>
  <c r="AF175" i="6" s="1"/>
  <c r="AR87" i="6"/>
  <c r="AR84" i="6"/>
  <c r="AS150" i="6"/>
  <c r="AS151" i="6"/>
  <c r="AP80" i="6"/>
  <c r="AP122" i="6" s="1"/>
  <c r="AP123" i="6" s="1"/>
  <c r="AP141" i="6" s="1"/>
  <c r="AP153" i="6" s="1"/>
  <c r="AP172" i="6" s="1"/>
  <c r="AV27" i="6" s="1"/>
  <c r="AV17" i="6" s="1"/>
  <c r="AW17" i="6" s="1"/>
  <c r="AK123" i="6"/>
  <c r="AR85" i="6"/>
  <c r="AT151" i="6"/>
  <c r="AT150" i="6"/>
  <c r="AT172" i="6"/>
  <c r="AY153" i="6"/>
  <c r="BA153" i="6" s="1"/>
  <c r="AR83" i="6"/>
  <c r="AW151" i="6" l="1"/>
  <c r="AX151" i="6" s="1"/>
  <c r="AW150" i="6"/>
  <c r="AX150" i="6" s="1"/>
  <c r="AV68" i="6"/>
  <c r="AV69" i="6"/>
  <c r="AK141" i="6"/>
  <c r="AR82" i="6"/>
  <c r="AR80" i="6" s="1"/>
  <c r="AQ80" i="6"/>
  <c r="AW69" i="6" l="1"/>
  <c r="AX69" i="6" s="1"/>
  <c r="AW68" i="6"/>
  <c r="AX68" i="6" s="1"/>
  <c r="AQ122" i="6"/>
  <c r="AR122" i="6"/>
  <c r="AR123" i="6" s="1"/>
  <c r="AR141" i="6" s="1"/>
  <c r="AR153" i="6" s="1"/>
  <c r="AR172" i="6" s="1"/>
  <c r="AV86" i="6"/>
  <c r="AW86" i="6" s="1"/>
  <c r="AV82" i="6"/>
  <c r="AW82" i="6" s="1"/>
  <c r="AV85" i="6"/>
  <c r="AW85" i="6" s="1"/>
  <c r="AV84" i="6"/>
  <c r="AW84" i="6" s="1"/>
  <c r="AV87" i="6"/>
  <c r="AW87" i="6" s="1"/>
  <c r="AV83" i="6"/>
  <c r="AW83" i="6" s="1"/>
  <c r="AK153" i="6"/>
  <c r="AK172" i="6" s="1"/>
  <c r="AK174" i="6" s="1"/>
  <c r="AX17" i="6"/>
  <c r="AX87" i="6" l="1"/>
  <c r="AZ87" i="6"/>
  <c r="AX84" i="6"/>
  <c r="AZ84" i="6"/>
  <c r="AV80" i="6"/>
  <c r="AV122" i="6" s="1"/>
  <c r="AV123" i="6" s="1"/>
  <c r="AV141" i="6" s="1"/>
  <c r="AV153" i="6" s="1"/>
  <c r="AV172" i="6" s="1"/>
  <c r="AL174" i="6"/>
  <c r="AK175" i="6"/>
  <c r="AL175" i="6" s="1"/>
  <c r="AX86" i="6"/>
  <c r="AZ86" i="6"/>
  <c r="AX85" i="6"/>
  <c r="AZ85" i="6"/>
  <c r="AX83" i="6"/>
  <c r="AZ83" i="6"/>
  <c r="AQ123" i="6"/>
  <c r="AQ141" i="6" l="1"/>
  <c r="AX82" i="6"/>
  <c r="AX80" i="6" s="1"/>
  <c r="AX122" i="6" s="1"/>
  <c r="AX123" i="6" s="1"/>
  <c r="AX141" i="6" s="1"/>
  <c r="AX153" i="6" s="1"/>
  <c r="AX172" i="6" s="1"/>
  <c r="AW80" i="6"/>
  <c r="AZ82" i="6"/>
  <c r="AW122" i="6" l="1"/>
  <c r="AZ80" i="6"/>
  <c r="AQ153" i="6"/>
  <c r="AQ172" i="6" s="1"/>
  <c r="AQ174" i="6" s="1"/>
  <c r="AR174" i="6" l="1"/>
  <c r="AQ175" i="6"/>
  <c r="AR175" i="6" s="1"/>
  <c r="AW123" i="6"/>
  <c r="AZ122" i="6"/>
  <c r="AW141" i="6" l="1"/>
  <c r="AZ123" i="6"/>
  <c r="AW153" i="6" l="1"/>
  <c r="AZ141" i="6"/>
  <c r="AW172" i="6" l="1"/>
  <c r="AW174" i="6" s="1"/>
  <c r="AZ155" i="6"/>
  <c r="BA155" i="6" s="1"/>
  <c r="AX174" i="6" l="1"/>
  <c r="AW175" i="6"/>
  <c r="AX175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Viktor Spiriev</author>
    <author>Martin Kunev</author>
  </authors>
  <commentList>
    <comment ref="B3" authorId="0" shapeId="0" xr:uid="{00000000-0006-0000-0100-000002000000}">
      <text>
        <r>
          <rPr>
            <b/>
            <sz val="9"/>
            <color rgb="FF000000"/>
            <rFont val="Tahoma"/>
            <family val="2"/>
            <charset val="204"/>
          </rPr>
          <t>Input relevant FX rate</t>
        </r>
      </text>
    </comment>
    <comment ref="B49" authorId="1" shapeId="0" xr:uid="{9511D57A-BC99-4646-8666-618B4C38CFA3}">
      <text>
        <r>
          <rPr>
            <b/>
            <sz val="9"/>
            <color indexed="81"/>
            <rFont val="Tahoma"/>
            <family val="2"/>
            <charset val="204"/>
          </rPr>
          <t>Martin Kunev:</t>
        </r>
        <r>
          <rPr>
            <sz val="9"/>
            <color indexed="81"/>
            <rFont val="Tahoma"/>
            <family val="2"/>
            <charset val="204"/>
          </rPr>
          <t xml:space="preserve">
Cheques w/o payment term</t>
        </r>
      </text>
    </comment>
    <comment ref="B50" authorId="1" shapeId="0" xr:uid="{8AE9BB96-0071-4CFD-A3D1-2C65E3CA5253}">
      <text>
        <r>
          <rPr>
            <b/>
            <sz val="9"/>
            <color indexed="81"/>
            <rFont val="Tahoma"/>
            <family val="2"/>
            <charset val="204"/>
          </rPr>
          <t>Martin Kunev:</t>
        </r>
        <r>
          <rPr>
            <sz val="9"/>
            <color indexed="81"/>
            <rFont val="Tahoma"/>
            <family val="2"/>
            <charset val="204"/>
          </rPr>
          <t xml:space="preserve">
Discounted receivables against avaialble discount exchange letter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Petar Hristozov</author>
  </authors>
  <commentList>
    <comment ref="N1" authorId="0" shapeId="0" xr:uid="{F1920DBE-4B39-4FE3-8757-03AABE1F98B1}">
      <text>
        <r>
          <rPr>
            <b/>
            <sz val="9"/>
            <color indexed="81"/>
            <rFont val="Tahoma"/>
            <family val="2"/>
            <charset val="204"/>
          </rPr>
          <t>Petar Hristozov:</t>
        </r>
        <r>
          <rPr>
            <sz val="9"/>
            <color indexed="81"/>
            <rFont val="Tahoma"/>
            <family val="2"/>
            <charset val="204"/>
          </rPr>
          <t xml:space="preserve">
Няма проследимост в края на седмицата в коя банка какви наличности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Petar Hristozov</author>
  </authors>
  <commentList>
    <comment ref="J1" authorId="0" shapeId="0" xr:uid="{5DF64B4E-9511-413F-AE4D-B5ACE06369EC}">
      <text>
        <r>
          <rPr>
            <b/>
            <sz val="9"/>
            <color indexed="81"/>
            <rFont val="Tahoma"/>
            <family val="2"/>
            <charset val="204"/>
          </rPr>
          <t>Petar Hristozov:</t>
        </r>
        <r>
          <rPr>
            <sz val="9"/>
            <color indexed="81"/>
            <rFont val="Tahoma"/>
            <family val="2"/>
            <charset val="204"/>
          </rPr>
          <t xml:space="preserve">
Няма проследимост в края на седмицата в коя банка какви наличности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Petar Hristozov</author>
  </authors>
  <commentList>
    <comment ref="I1" authorId="0" shapeId="0" xr:uid="{88EA4A87-CEDB-4E93-AD68-B1045CA15256}">
      <text>
        <r>
          <rPr>
            <b/>
            <sz val="9"/>
            <color indexed="81"/>
            <rFont val="Tahoma"/>
            <family val="2"/>
            <charset val="204"/>
          </rPr>
          <t>Petar Hristozov:</t>
        </r>
        <r>
          <rPr>
            <sz val="9"/>
            <color indexed="81"/>
            <rFont val="Tahoma"/>
            <family val="2"/>
            <charset val="204"/>
          </rPr>
          <t xml:space="preserve">
Няма проследимост в края на седмицата в коя банка какви наличности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Petar Hristozov</author>
  </authors>
  <commentList>
    <comment ref="J1" authorId="0" shapeId="0" xr:uid="{D9AC91DF-A605-498F-B238-04DD231BA148}">
      <text>
        <r>
          <rPr>
            <b/>
            <sz val="9"/>
            <color indexed="81"/>
            <rFont val="Tahoma"/>
            <family val="2"/>
            <charset val="204"/>
          </rPr>
          <t>Petar Hristozov:</t>
        </r>
        <r>
          <rPr>
            <sz val="9"/>
            <color indexed="81"/>
            <rFont val="Tahoma"/>
            <family val="2"/>
            <charset val="204"/>
          </rPr>
          <t xml:space="preserve">
Няма проследимост в края на седмицата в коя банка какви наличности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FERIEL BEN SAFTA</author>
  </authors>
  <commentList>
    <comment ref="H7" authorId="0" shapeId="0" xr:uid="{A7DD3534-D0FF-4935-9C07-BBC8DE94D281}">
      <text>
        <r>
          <rPr>
            <b/>
            <sz val="9"/>
            <color indexed="81"/>
            <rFont val="Tahoma"/>
            <family val="2"/>
            <charset val="204"/>
          </rPr>
          <t>FERIEL BEN SAFTA:</t>
        </r>
        <r>
          <rPr>
            <sz val="9"/>
            <color indexed="81"/>
            <rFont val="Tahoma"/>
            <family val="2"/>
            <charset val="204"/>
          </rPr>
          <t xml:space="preserve">
same contract and different disbursment</t>
        </r>
      </text>
    </comment>
  </commentList>
</comments>
</file>

<file path=xl/sharedStrings.xml><?xml version="1.0" encoding="utf-8"?>
<sst xmlns="http://schemas.openxmlformats.org/spreadsheetml/2006/main" count="21765" uniqueCount="3770">
  <si>
    <t>USD</t>
  </si>
  <si>
    <t>EUR</t>
  </si>
  <si>
    <t>Contracted Limit</t>
  </si>
  <si>
    <t>Планиран</t>
  </si>
  <si>
    <t>Rent</t>
  </si>
  <si>
    <t>Salaries</t>
  </si>
  <si>
    <t>VAT</t>
  </si>
  <si>
    <t>A.1 Total Receipt From Operational Activities</t>
  </si>
  <si>
    <t>Date</t>
  </si>
  <si>
    <t>Automatically Calculated</t>
  </si>
  <si>
    <t>All Amounts Are Showed in EUR</t>
  </si>
  <si>
    <t>Cash Flow Forecast</t>
  </si>
  <si>
    <t>Total EUR</t>
  </si>
  <si>
    <t>RON</t>
  </si>
  <si>
    <t>WEEK</t>
  </si>
  <si>
    <t>Planned Data</t>
  </si>
  <si>
    <t>A.2. Total Outflows with respect to Operational Activities</t>
  </si>
  <si>
    <t>Fill In manually all cells marked with Orange</t>
  </si>
  <si>
    <t>I. Beginning Balance of Cash</t>
  </si>
  <si>
    <t>Planned Receipts Operatonal Activities</t>
  </si>
  <si>
    <t>Planned Outflows Operational Activities</t>
  </si>
  <si>
    <t>Investment Activities</t>
  </si>
  <si>
    <t>Financing Activities</t>
  </si>
  <si>
    <t>II. Closing Balance of Cash (Planned)</t>
  </si>
  <si>
    <t>Unutilized Part of Overdraft (if applicable)</t>
  </si>
  <si>
    <t>To be Covered by Monbat for the week</t>
  </si>
  <si>
    <t>To be Covered by Monbat with accumulation</t>
  </si>
  <si>
    <t>Type</t>
  </si>
  <si>
    <t>Currency</t>
  </si>
  <si>
    <t>Electricity</t>
  </si>
  <si>
    <t>Custom Taxes</t>
  </si>
  <si>
    <t>Other Taxes</t>
  </si>
  <si>
    <t>W01_2022</t>
  </si>
  <si>
    <t>W02_2022</t>
  </si>
  <si>
    <t>W03_2022</t>
  </si>
  <si>
    <t>TND</t>
  </si>
  <si>
    <t xml:space="preserve">NOUR CONSOLIDATED </t>
  </si>
  <si>
    <t>SND Bank account - STB MEG</t>
  </si>
  <si>
    <t>SNA Bank account - STB</t>
  </si>
  <si>
    <t>SNA Bank account -STB Zriba</t>
  </si>
  <si>
    <t>SNA Bank account - EURO MEG</t>
  </si>
  <si>
    <t>SNA Bank account - USD MEG</t>
  </si>
  <si>
    <t>TIP Bank account - STB MEG</t>
  </si>
  <si>
    <t>NBI Bank account - STB MEG</t>
  </si>
  <si>
    <t>NBI Bank account - EURO MEG</t>
  </si>
  <si>
    <t>A.CASH FLOW FROM OPERATIONS</t>
  </si>
  <si>
    <t>A.1 Cash Inflows</t>
  </si>
  <si>
    <t>Cheque</t>
  </si>
  <si>
    <t>Escompte</t>
  </si>
  <si>
    <t>Espece</t>
  </si>
  <si>
    <t>Virement</t>
  </si>
  <si>
    <t>Cheque PF</t>
  </si>
  <si>
    <t>Cheque V</t>
  </si>
  <si>
    <t>Key Accounts</t>
  </si>
  <si>
    <t>Others</t>
  </si>
  <si>
    <t>SNR</t>
  </si>
  <si>
    <t>SND</t>
  </si>
  <si>
    <t>Monbat AD</t>
  </si>
  <si>
    <t>SNA</t>
  </si>
  <si>
    <t>Total</t>
  </si>
  <si>
    <t>TIP</t>
  </si>
  <si>
    <t>NBI</t>
  </si>
  <si>
    <t>i. Receipts form Clients - In progress (EN COURS)</t>
  </si>
  <si>
    <t>iii. Receipts form Clients - Bank transfers</t>
  </si>
  <si>
    <t>v. Receipts from the tax administration</t>
  </si>
  <si>
    <t>vi. Other receipts</t>
  </si>
  <si>
    <t xml:space="preserve">i. Sourcing - Payments to Suppliers </t>
  </si>
  <si>
    <t>Due payment to suppliers</t>
  </si>
  <si>
    <t>Planned payments to suppliers</t>
  </si>
  <si>
    <t>ii. MRP cycle - materials for production</t>
  </si>
  <si>
    <t>iii. Recuring monthly spending</t>
  </si>
  <si>
    <t>Social security payments</t>
  </si>
  <si>
    <t>iv. G&amp;A spending</t>
  </si>
  <si>
    <t>Marketing</t>
  </si>
  <si>
    <t>Business trips</t>
  </si>
  <si>
    <t>iv. Tax and fees</t>
  </si>
  <si>
    <t>v. Payments towards intergroup companies</t>
  </si>
  <si>
    <t>B. Cash outflows due to Investment Activities</t>
  </si>
  <si>
    <t>B. Total cash outflows due to Investment Activities</t>
  </si>
  <si>
    <t>Other administrative</t>
  </si>
  <si>
    <t>D.Short-term financing (liqudity bridge)</t>
  </si>
  <si>
    <t>Short-term (bridge) financing - receipt</t>
  </si>
  <si>
    <t>Short-term (bridge) financing - return</t>
  </si>
  <si>
    <t>ii. Cash balance at bank accounts</t>
  </si>
  <si>
    <t>i. Cash generation activities</t>
  </si>
  <si>
    <t>…..</t>
  </si>
  <si>
    <t>ii. Cash preservation activities</t>
  </si>
  <si>
    <t>iii. Unlocked liquidity</t>
  </si>
  <si>
    <t xml:space="preserve">SNA </t>
  </si>
  <si>
    <t>i. Cash balance - petty cash</t>
  </si>
  <si>
    <t>ii. Receipts form Clients - non matured</t>
  </si>
  <si>
    <t>Cash</t>
  </si>
  <si>
    <t>A.2 Cash outflows</t>
  </si>
  <si>
    <t>Client</t>
  </si>
  <si>
    <t>Doc. Date</t>
  </si>
  <si>
    <t>Due date</t>
  </si>
  <si>
    <t>Ageing bucket</t>
  </si>
  <si>
    <t>Due week</t>
  </si>
  <si>
    <t>Payment type</t>
  </si>
  <si>
    <t>Export vs Domestic</t>
  </si>
  <si>
    <t>Domestic</t>
  </si>
  <si>
    <t>Export - key client</t>
  </si>
  <si>
    <t>Export - other</t>
  </si>
  <si>
    <t>Amount</t>
  </si>
  <si>
    <t>CH (Cheque)</t>
  </si>
  <si>
    <t>TR (Bank Transfer)</t>
  </si>
  <si>
    <t>Bank</t>
  </si>
  <si>
    <t>Megrine</t>
  </si>
  <si>
    <t>Zaghouan</t>
  </si>
  <si>
    <t>SFAX</t>
  </si>
  <si>
    <t>Entity</t>
  </si>
  <si>
    <t>I. Receipts form Clients - In progress (EN COURS)</t>
  </si>
  <si>
    <t>II. Receipts form Clients - non matured</t>
  </si>
  <si>
    <t>III. Receipts form Clients - Bank transfers</t>
  </si>
  <si>
    <t>IV. Receipts from intergroup companies</t>
  </si>
  <si>
    <t>V. Receipts from the tax administration</t>
  </si>
  <si>
    <t>VI. Other receipts</t>
  </si>
  <si>
    <t>Type of income 2</t>
  </si>
  <si>
    <t>Type of income 1</t>
  </si>
  <si>
    <t>Type of income 3</t>
  </si>
  <si>
    <t>INCOMES MAPPING</t>
  </si>
  <si>
    <t>Days Outstanding</t>
  </si>
  <si>
    <t>Today</t>
  </si>
  <si>
    <t>Payment type 2</t>
  </si>
  <si>
    <t>Principle</t>
  </si>
  <si>
    <t>Interest</t>
  </si>
  <si>
    <t>Bank Taxes</t>
  </si>
  <si>
    <t>Lease Payments</t>
  </si>
  <si>
    <t>W04_2022</t>
  </si>
  <si>
    <t>W05_2022</t>
  </si>
  <si>
    <t>W06_2022</t>
  </si>
  <si>
    <t>W07_2022</t>
  </si>
  <si>
    <t>W08_2022</t>
  </si>
  <si>
    <t>W09_2022</t>
  </si>
  <si>
    <t>W10_2022</t>
  </si>
  <si>
    <t>W11_2022</t>
  </si>
  <si>
    <t>W12_2022</t>
  </si>
  <si>
    <t>W13_2022</t>
  </si>
  <si>
    <t>W14_2022</t>
  </si>
  <si>
    <t>W15_2022</t>
  </si>
  <si>
    <t>W16_2022</t>
  </si>
  <si>
    <t>W17_2022</t>
  </si>
  <si>
    <t>W18_2022</t>
  </si>
  <si>
    <t>W19_2022</t>
  </si>
  <si>
    <t>W20_2022</t>
  </si>
  <si>
    <t>W21_2022</t>
  </si>
  <si>
    <t>W22_2022</t>
  </si>
  <si>
    <t>W23_2022</t>
  </si>
  <si>
    <t>W24_2022</t>
  </si>
  <si>
    <t>W25_2022</t>
  </si>
  <si>
    <t>W26_2022</t>
  </si>
  <si>
    <t>W27_2022</t>
  </si>
  <si>
    <t>W28_2022</t>
  </si>
  <si>
    <t>W29_2022</t>
  </si>
  <si>
    <t>W30_2022</t>
  </si>
  <si>
    <t>W31_2022</t>
  </si>
  <si>
    <t>W32_2022</t>
  </si>
  <si>
    <t>W33_2022</t>
  </si>
  <si>
    <t>W34_2022</t>
  </si>
  <si>
    <t>W35_2022</t>
  </si>
  <si>
    <t>W36_2022</t>
  </si>
  <si>
    <t>W37_2022</t>
  </si>
  <si>
    <t>W38_2022</t>
  </si>
  <si>
    <t>W39_2022</t>
  </si>
  <si>
    <t>W40_2022</t>
  </si>
  <si>
    <t>W41_2022</t>
  </si>
  <si>
    <t>W42_2022</t>
  </si>
  <si>
    <t>W43_2022</t>
  </si>
  <si>
    <t>W44_2022</t>
  </si>
  <si>
    <t>W45_2022</t>
  </si>
  <si>
    <t>W46_2022</t>
  </si>
  <si>
    <t>W47_2022</t>
  </si>
  <si>
    <t>W48_2022</t>
  </si>
  <si>
    <t>W49_2022</t>
  </si>
  <si>
    <t>W50_2022</t>
  </si>
  <si>
    <t>W51_2022</t>
  </si>
  <si>
    <t>W52_2022</t>
  </si>
  <si>
    <t>W01_2023</t>
  </si>
  <si>
    <t>W02_2023</t>
  </si>
  <si>
    <t>W03_2023</t>
  </si>
  <si>
    <t>W04_2023</t>
  </si>
  <si>
    <t>W05_2023</t>
  </si>
  <si>
    <t>W06_2023</t>
  </si>
  <si>
    <t>W07_2023</t>
  </si>
  <si>
    <t>W08_2023</t>
  </si>
  <si>
    <t>W09_2023</t>
  </si>
  <si>
    <t>W10_2023</t>
  </si>
  <si>
    <t>W11_2023</t>
  </si>
  <si>
    <t>W12_2023</t>
  </si>
  <si>
    <t>W13_2023</t>
  </si>
  <si>
    <t>W14_2023</t>
  </si>
  <si>
    <t>W15_2023</t>
  </si>
  <si>
    <t>W16_2023</t>
  </si>
  <si>
    <t>W17_2023</t>
  </si>
  <si>
    <t>W18_2023</t>
  </si>
  <si>
    <t>W19_2023</t>
  </si>
  <si>
    <t>W20_2023</t>
  </si>
  <si>
    <t>W21_2023</t>
  </si>
  <si>
    <t>W22_2023</t>
  </si>
  <si>
    <t>W23_2023</t>
  </si>
  <si>
    <t>W24_2023</t>
  </si>
  <si>
    <t>W25_2023</t>
  </si>
  <si>
    <t>W26_2023</t>
  </si>
  <si>
    <t>W27_2023</t>
  </si>
  <si>
    <t>W28_2023</t>
  </si>
  <si>
    <t>W29_2023</t>
  </si>
  <si>
    <t>W30_2023</t>
  </si>
  <si>
    <t>W31_2023</t>
  </si>
  <si>
    <t>W32_2023</t>
  </si>
  <si>
    <t>W33_2023</t>
  </si>
  <si>
    <t>W34_2023</t>
  </si>
  <si>
    <t>W35_2023</t>
  </si>
  <si>
    <t>W36_2023</t>
  </si>
  <si>
    <t>W37_2023</t>
  </si>
  <si>
    <t>W38_2023</t>
  </si>
  <si>
    <t>W39_2023</t>
  </si>
  <si>
    <t>W40_2023</t>
  </si>
  <si>
    <t>W41_2023</t>
  </si>
  <si>
    <t>W42_2023</t>
  </si>
  <si>
    <t>W43_2023</t>
  </si>
  <si>
    <t>W44_2023</t>
  </si>
  <si>
    <t>W45_2023</t>
  </si>
  <si>
    <t>W46_2023</t>
  </si>
  <si>
    <t>W47_2023</t>
  </si>
  <si>
    <t>W48_2023</t>
  </si>
  <si>
    <t>W49_2023</t>
  </si>
  <si>
    <t>W50_2023</t>
  </si>
  <si>
    <t>W51_2023</t>
  </si>
  <si>
    <t>W52_2023</t>
  </si>
  <si>
    <t>W01_2024</t>
  </si>
  <si>
    <t>Due Week</t>
  </si>
  <si>
    <t>Capex - SND</t>
  </si>
  <si>
    <t>Capex - SNA</t>
  </si>
  <si>
    <t>Capex - Business projects</t>
  </si>
  <si>
    <t>Capex - Environmental compliance</t>
  </si>
  <si>
    <t>Applicable exchange rate</t>
  </si>
  <si>
    <t>Payment term</t>
  </si>
  <si>
    <t>II. Cash Balance Surplus/(Deficit) from Operational Activities (A.1-A.2)</t>
  </si>
  <si>
    <t>III. Closing balance Surplus/(Deficit) from Business Activities (A.1-A.2-B-C)</t>
  </si>
  <si>
    <t>Addional low margin sales to Bin Shihon</t>
  </si>
  <si>
    <t>Capex - Other</t>
  </si>
  <si>
    <t>iii. Bank Facility Balance</t>
  </si>
  <si>
    <t>Sales of batteries - local</t>
  </si>
  <si>
    <t>Sales of batteries - export</t>
  </si>
  <si>
    <t>Sales of grids &amp; plates</t>
  </si>
  <si>
    <t>Sales of polypropilene</t>
  </si>
  <si>
    <t>Other sales revenue</t>
  </si>
  <si>
    <t>up to 30 days</t>
  </si>
  <si>
    <t>Currency Amount</t>
  </si>
  <si>
    <t>FX rate</t>
  </si>
  <si>
    <t>TND Amount</t>
  </si>
  <si>
    <t>Documented</t>
  </si>
  <si>
    <t>Expected</t>
  </si>
  <si>
    <t>Sum of TND Amount</t>
  </si>
  <si>
    <t>Type of spending</t>
  </si>
  <si>
    <t>Product sold</t>
  </si>
  <si>
    <t>Description</t>
  </si>
  <si>
    <t>Vendor name</t>
  </si>
  <si>
    <t>Purchase bucket</t>
  </si>
  <si>
    <t>Sourcing &amp; MRP payments MAPPING</t>
  </si>
  <si>
    <t>Amount in TND</t>
  </si>
  <si>
    <t>Purchase bucket - Sourcing and MRP</t>
  </si>
  <si>
    <t>Expense buckets</t>
  </si>
  <si>
    <t>Recurring spending</t>
  </si>
  <si>
    <t>vi. Other payments</t>
  </si>
  <si>
    <t>Capex - SNR</t>
  </si>
  <si>
    <t>Type of CAPEX spending</t>
  </si>
  <si>
    <t>SNR Bank account - STB MEG</t>
  </si>
  <si>
    <t>SNA Bank account -STB MEG</t>
  </si>
  <si>
    <t>Input EUR / TND rate</t>
  </si>
  <si>
    <t>Input USD / TND rate</t>
  </si>
  <si>
    <t>Applicable Exchange rates</t>
  </si>
  <si>
    <t>Document number</t>
  </si>
  <si>
    <t>HAKIM BEN SADOK KHEMIS</t>
  </si>
  <si>
    <t>JALEL BEN AHMED EL GABSI</t>
  </si>
  <si>
    <t>PERSONNEL  NOUR</t>
  </si>
  <si>
    <t>NASRALLAH BELGACEM B.HOUCH</t>
  </si>
  <si>
    <t>STE ELECTRICIA AUTO</t>
  </si>
  <si>
    <t>SOCIETE WORLD PARTS</t>
  </si>
  <si>
    <t>STE LIZIDI ACCESSOIRES AUTOS</t>
  </si>
  <si>
    <t>KALLEL MAJDI</t>
  </si>
  <si>
    <t>NAILA BEN AHMED JEMAI</t>
  </si>
  <si>
    <t>SOUADI ABDELKADER</t>
  </si>
  <si>
    <t>STE MECHERGUI EZZEDINE P.AUT</t>
  </si>
  <si>
    <t>MATHLOUTHI WALID B ABDLWAHEB</t>
  </si>
  <si>
    <t>BEJI FAYCEL</t>
  </si>
  <si>
    <t>HASSINI AHMED BEN MOHAMED</t>
  </si>
  <si>
    <t>HAIKEL BEN MOULDI ESSAHLI</t>
  </si>
  <si>
    <t>SMAOUI MOHSEN</t>
  </si>
  <si>
    <t>HACHICHA THAMEUR</t>
  </si>
  <si>
    <t>STE NACEUR AUTOM.SERVICES</t>
  </si>
  <si>
    <t>MOHAMED BEN MOHAMED SAMIR</t>
  </si>
  <si>
    <t>MOHAMED ZARAGA  Z P A</t>
  </si>
  <si>
    <t>CARREFOUR BATTERIES</t>
  </si>
  <si>
    <t>ESSAIED SALAH</t>
  </si>
  <si>
    <t>KHALED DRIDI</t>
  </si>
  <si>
    <t>FOUED BEN SADOK KACEM</t>
  </si>
  <si>
    <t>BELGACEM BEN BOUBAKER MEJRI</t>
  </si>
  <si>
    <t>CHHIMI HENDA</t>
  </si>
  <si>
    <t>TRABELSI JAMEL</t>
  </si>
  <si>
    <t>JOUINI AUTO " J A "</t>
  </si>
  <si>
    <t>SOUFIANE MANNAI</t>
  </si>
  <si>
    <t>MAJED BEN MED HAMMAMI</t>
  </si>
  <si>
    <t>RAMEH JAMILA BEN SADOK</t>
  </si>
  <si>
    <t>STE MANEL AUTO-SOMA-</t>
  </si>
  <si>
    <t>CHERIF MOHAMED</t>
  </si>
  <si>
    <t>MONDHER MEFTAH</t>
  </si>
  <si>
    <t>CHIBANI BEN SALEM TAYEB</t>
  </si>
  <si>
    <t>STE ESPACE.ARTS.DECOR.FER</t>
  </si>
  <si>
    <t>SOCIETE HNIA</t>
  </si>
  <si>
    <t>STE COMPTOIR PCES RCHGS+ELEC</t>
  </si>
  <si>
    <t>MAROUA BENT NEJIB AAZOUZI</t>
  </si>
  <si>
    <t>AMOR BEN ABDRAHMENE BIBANI</t>
  </si>
  <si>
    <t>ESSKANDER SLIMAN</t>
  </si>
  <si>
    <t>NOUREDDINE B MOHAMOUD KNIOUA</t>
  </si>
  <si>
    <t>SOUHEIL TEKAYA</t>
  </si>
  <si>
    <t>NEJI EL JAZI</t>
  </si>
  <si>
    <t>MONDIAL BATTERIES</t>
  </si>
  <si>
    <t>STE QUALITY SPARE PARTS</t>
  </si>
  <si>
    <t>FAROUK SAADANI</t>
  </si>
  <si>
    <t>STE B.ABDESSALEM PIECES AUTO</t>
  </si>
  <si>
    <t>MOURAD BEN GACEM NALOUTI</t>
  </si>
  <si>
    <t>BEDOUI MANEL BT ALI</t>
  </si>
  <si>
    <t>JILANI BEN AHMED CHNINA</t>
  </si>
  <si>
    <t>STE M W AUTO'S</t>
  </si>
  <si>
    <t>AWADNI MAATOUG</t>
  </si>
  <si>
    <t>STE MARETH AUTO SERVICES</t>
  </si>
  <si>
    <t>STE DABBABI PCS.RCH.AUTO.AGR</t>
  </si>
  <si>
    <t>HAROUNI HAFSIA BT MOHAMED</t>
  </si>
  <si>
    <t>STE NEFZAWA EQUIPS GENERALE</t>
  </si>
  <si>
    <t>STE GENERALE AUTO DU SUD</t>
  </si>
  <si>
    <t>ALIBI YASSMINA BENT FARHAT</t>
  </si>
  <si>
    <t>HOUCINE B. ABDELHAMID BOUONI</t>
  </si>
  <si>
    <t>GHARBI BILEL BEN ELARBI</t>
  </si>
  <si>
    <t>OUESLATI LOTFI B BELGACEM</t>
  </si>
  <si>
    <t>STE AOULED KHDHIRI SARL</t>
  </si>
  <si>
    <t>FIDHA AMINE B FATHI B HEDI</t>
  </si>
  <si>
    <t>STE    N S P C    TUNISIA</t>
  </si>
  <si>
    <t>BEN MECHRI SALAH B KHOUMAIES</t>
  </si>
  <si>
    <t>STE ALHAYET PARTS</t>
  </si>
  <si>
    <t>STE BEN MECHRI AUTO PIECES</t>
  </si>
  <si>
    <t>STE MARIEM AGRICOLE</t>
  </si>
  <si>
    <t>SKANDER MABROUK</t>
  </si>
  <si>
    <t>PIECES AUTOS BEN ALAYA MED</t>
  </si>
  <si>
    <t>HAMIDA SHILI</t>
  </si>
  <si>
    <t>MARWEN BEN MED BEN HLIMA</t>
  </si>
  <si>
    <t>MEHREZ BEN MOHAMED GUIZANI</t>
  </si>
  <si>
    <t>STE BOUKHRIS PICES.RECHANGES</t>
  </si>
  <si>
    <t>ANIS BEN KHALIPHA RHAIEM</t>
  </si>
  <si>
    <t>STE COGEP AUTO</t>
  </si>
  <si>
    <t>STE IDEALE PIECES AUTOS SIPA</t>
  </si>
  <si>
    <t>FATHI BEN FRADJ AZOUZI</t>
  </si>
  <si>
    <t>LATRACHAUTO</t>
  </si>
  <si>
    <t>COMPTOIR AUTO.SVCES RAPIDES</t>
  </si>
  <si>
    <t>STE PIECE AUTO TUNISIENNE</t>
  </si>
  <si>
    <t>COMPTOIR METOUIEN AUTOMOBILE</t>
  </si>
  <si>
    <t>OMEGA PIECES</t>
  </si>
  <si>
    <t>EL HORRY FARES PAWER AUTO</t>
  </si>
  <si>
    <t>STE COMPTOIR VOITURE MODERNE</t>
  </si>
  <si>
    <t>STE CHAKER &amp;C IE PIECES AUTO</t>
  </si>
  <si>
    <t>MOHAMED RACHED AMAMOU</t>
  </si>
  <si>
    <t>STE. COMMERCIALE DES PIECES</t>
  </si>
  <si>
    <t>PROCAR TUNISIE</t>
  </si>
  <si>
    <t>SOCIETE AUTOS PIECES</t>
  </si>
  <si>
    <t>STE ALBOURAQ PIECES AUTO</t>
  </si>
  <si>
    <t>SOCIETE SAFIR</t>
  </si>
  <si>
    <t>PIECES 9</t>
  </si>
  <si>
    <t>M P R- ESSID LASSAAD</t>
  </si>
  <si>
    <t>STE COMPT EQUIP AUTOS</t>
  </si>
  <si>
    <t>FAKHREDDINE SAKYES</t>
  </si>
  <si>
    <t>STE. MODERNE AUTO</t>
  </si>
  <si>
    <t>KOTNI ALI BEN SALAH</t>
  </si>
  <si>
    <t>BOUCHADDAKH KHALED</t>
  </si>
  <si>
    <t>HADDAD MAKHLOUF</t>
  </si>
  <si>
    <t>NALOUTI SALAH BEN MAHMOUD</t>
  </si>
  <si>
    <t>MOHAMED NACEUR ABDELLI</t>
  </si>
  <si>
    <t>CHAABANI OKBA BEN ALI</t>
  </si>
  <si>
    <t>SALEM AGIL</t>
  </si>
  <si>
    <t>CHAABANE BADREDDINE B.MED</t>
  </si>
  <si>
    <t>KOUKI FAOUZI</t>
  </si>
  <si>
    <t>STE MECHERGUI D'EQUIP. AUTOS</t>
  </si>
  <si>
    <t>STE GHAMMOUR ENAKHIL</t>
  </si>
  <si>
    <t>STE COMPTOIR AGRICOLE.NORD</t>
  </si>
  <si>
    <t>STE DITRI-FILTRE</t>
  </si>
  <si>
    <t>DOUIK PIECES AUTOS</t>
  </si>
  <si>
    <t>SOCIETE DARDOUR ET FILS</t>
  </si>
  <si>
    <t>STE CARTAGE AUTO</t>
  </si>
  <si>
    <t>STE.MAGHR. DE PIECES DE RECH</t>
  </si>
  <si>
    <t>STE MEMMI-AUTO ET COMPAGNIES</t>
  </si>
  <si>
    <t>GUEDHAMI JALEL</t>
  </si>
  <si>
    <t>STE DES EQUIP.INDUST.&amp;TRANSP</t>
  </si>
  <si>
    <t>STE YASSINE PETROLIUM</t>
  </si>
  <si>
    <t>COPI  AUTOS</t>
  </si>
  <si>
    <t>SOKAP AUTOS</t>
  </si>
  <si>
    <t>ZOUARI FRERES</t>
  </si>
  <si>
    <t>GUIDARA ABDALLAH</t>
  </si>
  <si>
    <t>WAJDI BOUZGENDA</t>
  </si>
  <si>
    <t>MOHAMED AYOUB TOUNSI</t>
  </si>
  <si>
    <t>MOHAMED AMINE BEN AMOR</t>
  </si>
  <si>
    <t>STE HAJ TAIEB PIECES.RECHANG</t>
  </si>
  <si>
    <t>MAKNI HANEN</t>
  </si>
  <si>
    <t>STE GOMRI FRERES DE PIECES</t>
  </si>
  <si>
    <t>KALLEL HATEM</t>
  </si>
  <si>
    <t>SIRAJ BEN ZINA</t>
  </si>
  <si>
    <t>STE SLIM VENTE PIECES AUTOS</t>
  </si>
  <si>
    <t>BAAZAOUI SALAH</t>
  </si>
  <si>
    <t>SOCIETE ALI PIECES AUTOS</t>
  </si>
  <si>
    <t>AYMEN AMMAR</t>
  </si>
  <si>
    <t>Not Due</t>
  </si>
  <si>
    <t>SOVEMA</t>
  </si>
  <si>
    <t>MOULES</t>
  </si>
  <si>
    <t>JIANGSU</t>
  </si>
  <si>
    <t>CONTRAT N°311449</t>
  </si>
  <si>
    <t>POLO SEDAN</t>
  </si>
  <si>
    <t>N°</t>
  </si>
  <si>
    <t>PRINCIPAL</t>
  </si>
  <si>
    <t>INTERET</t>
  </si>
  <si>
    <t>TVA</t>
  </si>
  <si>
    <t>FRAIS</t>
  </si>
  <si>
    <t>TOTAL TTC</t>
  </si>
  <si>
    <t xml:space="preserve">Total </t>
  </si>
  <si>
    <t>Règlement</t>
  </si>
  <si>
    <t>Restant dû</t>
  </si>
  <si>
    <t>SNA-NOUR</t>
  </si>
  <si>
    <t>Crédit</t>
  </si>
  <si>
    <t>Échéance</t>
  </si>
  <si>
    <t>Principal</t>
  </si>
  <si>
    <t>Intérêt</t>
  </si>
  <si>
    <t>PP</t>
  </si>
  <si>
    <t>INT</t>
  </si>
  <si>
    <t>STB Meg</t>
  </si>
  <si>
    <t>PROSID</t>
  </si>
  <si>
    <t>FBI</t>
  </si>
  <si>
    <t>STE REGUIGUI PNEUMATIQUE</t>
  </si>
  <si>
    <t>Facility authorization limit</t>
  </si>
  <si>
    <t>No</t>
  </si>
  <si>
    <t>Borrower</t>
  </si>
  <si>
    <t>Contract date</t>
  </si>
  <si>
    <t>Type/purpose of the credit facility</t>
  </si>
  <si>
    <t>Description of the collateral</t>
  </si>
  <si>
    <t>Maturity Date</t>
  </si>
  <si>
    <t>Bank Loans</t>
  </si>
  <si>
    <t>STB</t>
  </si>
  <si>
    <t>Medium term loan</t>
  </si>
  <si>
    <t>Investment SNA2</t>
  </si>
  <si>
    <t xml:space="preserve">punshing line </t>
  </si>
  <si>
    <t xml:space="preserve">working capital </t>
  </si>
  <si>
    <t>inventory working capital</t>
  </si>
  <si>
    <t>9/15/2022 (renewable each 3 months)</t>
  </si>
  <si>
    <t>facility</t>
  </si>
  <si>
    <t xml:space="preserve">Lease </t>
  </si>
  <si>
    <t>CIL</t>
  </si>
  <si>
    <t xml:space="preserve">financial lease </t>
  </si>
  <si>
    <t xml:space="preserve">Car export manager </t>
  </si>
  <si>
    <t>Total bank/lease liabilities</t>
  </si>
  <si>
    <t>Outstanding amount at June 30, 2022</t>
  </si>
  <si>
    <t>Discount exchange letter (Escompte limit)</t>
  </si>
  <si>
    <t>Purchase of boxes and lids</t>
  </si>
  <si>
    <t>Purchase of separator</t>
  </si>
  <si>
    <t>Refer to sheet</t>
  </si>
  <si>
    <t>Maturing receivables</t>
  </si>
  <si>
    <t>Sourcing &amp; MRP payments</t>
  </si>
  <si>
    <t>Other Operational payments</t>
  </si>
  <si>
    <t>CAPEX payments</t>
  </si>
  <si>
    <t>Loans Overview</t>
  </si>
  <si>
    <t>Delay vendor payments to Accuma</t>
  </si>
  <si>
    <t>Decrease scrap batteries purchase by 10%</t>
  </si>
  <si>
    <t>N/A 
(Fill in manually any agreed upon activities)</t>
  </si>
  <si>
    <t>N/A
(Fill in beginning of each week based on available bank balance and facility utilization)</t>
  </si>
  <si>
    <r>
      <rPr>
        <b/>
        <sz val="10"/>
        <rFont val="Arial"/>
        <family val="2"/>
        <charset val="204"/>
      </rPr>
      <t>Fill in manually based on</t>
    </r>
    <r>
      <rPr>
        <b/>
        <sz val="10"/>
        <color rgb="FFFF0000"/>
        <rFont val="Arial"/>
        <family val="2"/>
        <charset val="204"/>
      </rPr>
      <t xml:space="preserve"> 
Bank &amp; Lease repayment schedule</t>
    </r>
  </si>
  <si>
    <t>Bank facilities STB MEG</t>
  </si>
  <si>
    <t>Facility Total limit (negative amnt.)</t>
  </si>
  <si>
    <r>
      <t xml:space="preserve">Facility Available limit, </t>
    </r>
    <r>
      <rPr>
        <b/>
        <sz val="9"/>
        <rFont val="Tahoma"/>
        <family val="2"/>
        <charset val="204"/>
      </rPr>
      <t>beginning of period</t>
    </r>
    <r>
      <rPr>
        <sz val="9"/>
        <rFont val="Tahoma"/>
        <family val="2"/>
        <charset val="204"/>
      </rPr>
      <t xml:space="preserve"> (should be negative, otherwise facility is overused)</t>
    </r>
  </si>
  <si>
    <r>
      <t xml:space="preserve">Facility Available limit, </t>
    </r>
    <r>
      <rPr>
        <b/>
        <sz val="9"/>
        <rFont val="Tahoma"/>
        <family val="2"/>
        <charset val="204"/>
      </rPr>
      <t>end of period</t>
    </r>
    <r>
      <rPr>
        <sz val="9"/>
        <rFont val="Tahoma"/>
        <family val="2"/>
        <charset val="204"/>
      </rPr>
      <t xml:space="preserve"> (should be negative, otherwise facility is overused)</t>
    </r>
  </si>
  <si>
    <t>Facility balance at the end of the period</t>
  </si>
  <si>
    <t>V. CONTIGENCY CASH FLOW PLANNING - USE IN CASE FACILITY AUTORIZATION IS EXCEEDED</t>
  </si>
  <si>
    <t>HAJJI MALEK BEN MED LAID</t>
  </si>
  <si>
    <t>SOCIETE RECTIF</t>
  </si>
  <si>
    <t>STE CENTRE NAOUALI SERVICES</t>
  </si>
  <si>
    <t>STE MDIALE PCE AUTOMOBILES</t>
  </si>
  <si>
    <t>STE CAP  AUTO PIECES SA</t>
  </si>
  <si>
    <t>STE DES PIECES DE RECHANGE</t>
  </si>
  <si>
    <t>S.G.P</t>
  </si>
  <si>
    <t>GHARBI JALEL BEN BRAHIM</t>
  </si>
  <si>
    <t>MANAI WAHID</t>
  </si>
  <si>
    <t>STE TOUNSI PIECES AUTO</t>
  </si>
  <si>
    <t>RIAHI TAREK B HMIDA B MED</t>
  </si>
  <si>
    <t>STE CHAABANI AUTOS "S-C-A"</t>
  </si>
  <si>
    <t>BEN TAHA PIECES AUTO</t>
  </si>
  <si>
    <t>GOLDS FILTRES</t>
  </si>
  <si>
    <t>STE MEDHIOUB PIECES AUTOS</t>
  </si>
  <si>
    <t>STE SOUISSI AUTO PARTS</t>
  </si>
  <si>
    <t>S P I R</t>
  </si>
  <si>
    <t>NOUR GENERAL AUTOS</t>
  </si>
  <si>
    <t>STE EQUIP.INDUSTRIEL &amp; MARIT</t>
  </si>
  <si>
    <t>STE COGEPA</t>
  </si>
  <si>
    <t>SAMIR BEN SLIMEN AOUADI</t>
  </si>
  <si>
    <t>NADER.COMRC.INTERNATIONALE</t>
  </si>
  <si>
    <t>SEIFEDDINE BEN ALI</t>
  </si>
  <si>
    <t>S M E A</t>
  </si>
  <si>
    <t>S J D A</t>
  </si>
  <si>
    <t>STE GENERALE EQUIP.MARITIME</t>
  </si>
  <si>
    <t>BEN ALI ZINA BT SASSI</t>
  </si>
  <si>
    <t>JIHED ELARBI</t>
  </si>
  <si>
    <t>ABDELMAKSOUD IMED B LAZHAR</t>
  </si>
  <si>
    <t>STE COMPTOIR MARITINE DJERBA</t>
  </si>
  <si>
    <t>STE TAYEB PIECES AUTOMOBILES</t>
  </si>
  <si>
    <t>REZGUI ANIS BEN ALI BN AMARA</t>
  </si>
  <si>
    <t>HICHEM BEN IBRAHIM RAHALI</t>
  </si>
  <si>
    <t>STE AL HAMD PIECE AUTO</t>
  </si>
  <si>
    <t>SALAH MHIRI</t>
  </si>
  <si>
    <t>FATHI NAJJAR</t>
  </si>
  <si>
    <t>ABDELKADER MOEZ BEN LAMINE</t>
  </si>
  <si>
    <t>ALI YAHYAOUI</t>
  </si>
  <si>
    <t>SO CO TEM</t>
  </si>
  <si>
    <t>STE METHAMEN AUTO PLUS</t>
  </si>
  <si>
    <t>NAJET BENT SALAH ZAMELI</t>
  </si>
  <si>
    <t>GUIZANI FETHI</t>
  </si>
  <si>
    <t>STE RELAI NAITIC EXPRESS RNE</t>
  </si>
  <si>
    <t>BEDOUI MONGI BEN SALEM</t>
  </si>
  <si>
    <t>STE CDTPR</t>
  </si>
  <si>
    <t>STE WAFA DAMMAK</t>
  </si>
  <si>
    <t>MOHAMMED BEN NOURI MSAKNI</t>
  </si>
  <si>
    <t>STE ELWASAT</t>
  </si>
  <si>
    <t>MOUHAMED GDEMME</t>
  </si>
  <si>
    <t>AHMED BEN ALI TEKAYA</t>
  </si>
  <si>
    <t>FATMA KTATA ( ETS EHK )</t>
  </si>
  <si>
    <t>STE BEN BRAHIM  " SBB "</t>
  </si>
  <si>
    <t>STE GALAXY DE SRVICES</t>
  </si>
  <si>
    <t>STE B KHLIFA DE PICES.RECHGE</t>
  </si>
  <si>
    <t>MAKREM ZAMMALI</t>
  </si>
  <si>
    <t>HAMDI BAYA ECHATTI</t>
  </si>
  <si>
    <t>STE IDEAL  MOTEUR</t>
  </si>
  <si>
    <t>NEJIB GADHOUM</t>
  </si>
  <si>
    <t>SAMI GALLAS</t>
  </si>
  <si>
    <t>MOHSEN ZARAGA</t>
  </si>
  <si>
    <t>SMPA MASMOUDI PIECES AUTOS</t>
  </si>
  <si>
    <t>AYMEN BEN HAMMADI BENAMOR</t>
  </si>
  <si>
    <t>AOUINI SAFOUANE</t>
  </si>
  <si>
    <t>STE.GUEDRI MOHSEN ET FRERES</t>
  </si>
  <si>
    <t>IMED BEN ZEKRI</t>
  </si>
  <si>
    <t>CHEDLY AOUINI</t>
  </si>
  <si>
    <t>STE ABDELKAFI PIECES DE</t>
  </si>
  <si>
    <t>MOUNIR AROUS</t>
  </si>
  <si>
    <t>STUFEME</t>
  </si>
  <si>
    <t>STE MAIS</t>
  </si>
  <si>
    <t>YTY AUTO</t>
  </si>
  <si>
    <t>STE ALHADITHA DE PIECES AUTO</t>
  </si>
  <si>
    <t>STE REKIK AUTOS</t>
  </si>
  <si>
    <t>SOCIETE AU COEUR DU DESERT</t>
  </si>
  <si>
    <t>SOCIETE   " BSPIA "</t>
  </si>
  <si>
    <t>STE ARFA AUTO PLUS</t>
  </si>
  <si>
    <t>STE JEBALI AGRICOLE</t>
  </si>
  <si>
    <t>STE SAAIDI PIECES  RECHANGE</t>
  </si>
  <si>
    <t>BT SERVICES SURAL</t>
  </si>
  <si>
    <t>AHMED BEN FETHI CHOUCHENE</t>
  </si>
  <si>
    <t>STE RANEN.PIECES DE RECHANGE</t>
  </si>
  <si>
    <t>STE EQUIP.GEN.BAROUDI[E.G.B]</t>
  </si>
  <si>
    <t>STE CHERIF ELECTRICITE AUTO</t>
  </si>
  <si>
    <t>EQUIP. AUTOS MOKNINE</t>
  </si>
  <si>
    <t>MONCEF ZARRAGA</t>
  </si>
  <si>
    <t>STE DOGHRI AL BARAKA</t>
  </si>
  <si>
    <t>JALELEDDINE B SALEM ZERELLI</t>
  </si>
  <si>
    <t>AMEL ZGUIDENE EP SADFI</t>
  </si>
  <si>
    <t>SOCIETE DRIDI AUTO (SDA)</t>
  </si>
  <si>
    <t>ETAB. FARHAT BOUJELBAN</t>
  </si>
  <si>
    <t>COMPTOIR ABDENNADHER</t>
  </si>
  <si>
    <t>ELHADHBA BT MED EL ZAIDI</t>
  </si>
  <si>
    <t>TAHER KABOUS ROYAL AUTO</t>
  </si>
  <si>
    <t>OUERFELLI IMEDEDDINE B.SALAH</t>
  </si>
  <si>
    <t>STE GLOBALE BATTERIES DAOUDI</t>
  </si>
  <si>
    <t>FLAH AMINALLAH</t>
  </si>
  <si>
    <t>STE LA RECHANGE AUTOMOBILE</t>
  </si>
  <si>
    <t>YACOUBI BEN MOULDI EL ABED</t>
  </si>
  <si>
    <t>MEJDI NAJET BENT IBRAHIM</t>
  </si>
  <si>
    <t>EZZEDDINE LETIFI</t>
  </si>
  <si>
    <t>RIDHA BEN ALI MENSI</t>
  </si>
  <si>
    <t>ABDELMAJID BEN HASSEN AMIRI</t>
  </si>
  <si>
    <t>STE OULED SASSI</t>
  </si>
  <si>
    <t>BOUAZIZ SLAH</t>
  </si>
  <si>
    <t>LES EQUIPEMENTS MARITIMES DE</t>
  </si>
  <si>
    <t>STE BOUKHZAR SARL</t>
  </si>
  <si>
    <t>STE KHAMMARIA PIECE RECHANGE</t>
  </si>
  <si>
    <t>FREDJ BEN KHALIFA KLEBI</t>
  </si>
  <si>
    <t>DERBEL AHMED</t>
  </si>
  <si>
    <t>SOCIETE EL HOUIOUI</t>
  </si>
  <si>
    <t>STE COMPTOIR DE COMMERCE</t>
  </si>
  <si>
    <t>MISSAOUI RIBEH BENT ARBI</t>
  </si>
  <si>
    <t>STE TLILI AUTO</t>
  </si>
  <si>
    <t>STE  K M P R</t>
  </si>
  <si>
    <t>SAADI ABDALLAH</t>
  </si>
  <si>
    <t>KAFI MOHAMED CHERIF</t>
  </si>
  <si>
    <t>BOURAOUI LAMTI</t>
  </si>
  <si>
    <t>STE TUN.PCE.RECH.ALM.SOTUPRA</t>
  </si>
  <si>
    <t>STE UNIVSEL AUTOMOTIVES PART</t>
  </si>
  <si>
    <t>STE AFRICA DES PIECES AUTOS</t>
  </si>
  <si>
    <t>SOCIETE " CAMPU-CAR "</t>
  </si>
  <si>
    <t>STE GEN.ELCTRIQUE AUTOMOBILE</t>
  </si>
  <si>
    <t>SO.CO.PI</t>
  </si>
  <si>
    <t>ENTREPRISE BOUDOKHAN MOKHTAR</t>
  </si>
  <si>
    <t>STE AUTO SERVICE PLUS</t>
  </si>
  <si>
    <t>STE KZ PIECES AUTOS</t>
  </si>
  <si>
    <t>ELAYEB SALEM BEN MUSTAPHA</t>
  </si>
  <si>
    <t>STE SUD EQUIPEMENT GENERALE</t>
  </si>
  <si>
    <t>STE AL BARAKA EQUIP.GENERALE</t>
  </si>
  <si>
    <t>STE BEN AISSA AUTO</t>
  </si>
  <si>
    <t>STE KACEM ET FILS " EC "</t>
  </si>
  <si>
    <t>STE TRANSPORT ET MANUTENTION</t>
  </si>
  <si>
    <t>NASRI MOKHTAR B.ABDERRAHMEN</t>
  </si>
  <si>
    <t>STE HAMI AUTO</t>
  </si>
  <si>
    <t>EQUIPEMENT VOITURES    [EVE]</t>
  </si>
  <si>
    <t>ESSAFI AUTO</t>
  </si>
  <si>
    <t>EL WIFAK AUTO</t>
  </si>
  <si>
    <t>OUN ALLAH SALAHEDDINE</t>
  </si>
  <si>
    <t>AYADI IBRAHIM</t>
  </si>
  <si>
    <t>ANIS BEN REHAIEM NASRI</t>
  </si>
  <si>
    <t>GRAJA NIZAR "GENERAL AUTO"</t>
  </si>
  <si>
    <t>RACHED BEN BRAHIM MAMMACHA</t>
  </si>
  <si>
    <t>ALI BEN BRAHIM HAMMAMI</t>
  </si>
  <si>
    <t>ZIED BEN ALI MABROUKI</t>
  </si>
  <si>
    <t>TAHER MESTIRI</t>
  </si>
  <si>
    <t>STE BEDOUI MOTORS SERVICES</t>
  </si>
  <si>
    <t>BAYDER EQUIP.AGRIC &amp; INDUSTR</t>
  </si>
  <si>
    <t>STE MRABET AUTO</t>
  </si>
  <si>
    <t>HATEM BEN MOHAMED BELGITH</t>
  </si>
  <si>
    <t>STE BOUANI.PIECES .RECHANGE</t>
  </si>
  <si>
    <t>SOSAPIA</t>
  </si>
  <si>
    <t>STE H B A  AUTO</t>
  </si>
  <si>
    <t>HICHRI MOHAMED</t>
  </si>
  <si>
    <t>BEN DKHIL FREDJ BEN HASSAN</t>
  </si>
  <si>
    <t>SOCIETE MANNAI BATIMENT</t>
  </si>
  <si>
    <t>STE ZORRAGA PICES AUTOS</t>
  </si>
  <si>
    <t>ATECH RENT CAR</t>
  </si>
  <si>
    <t>MOH KHALED BOUKERI</t>
  </si>
  <si>
    <t>ELLOUZE RAJA</t>
  </si>
  <si>
    <t>STE GATOUFI GENERAL PIECES</t>
  </si>
  <si>
    <t>OUERGHI MOUNIR B ABDELMAJID</t>
  </si>
  <si>
    <t>PIECES AUTOS MED AZZOUZ</t>
  </si>
  <si>
    <t>GARA NABIL BEN BECHIR</t>
  </si>
  <si>
    <t>AUTO ZONE</t>
  </si>
  <si>
    <t>KHOULOUD EXPRESS</t>
  </si>
  <si>
    <t>STE MESTIRI ET FILS</t>
  </si>
  <si>
    <t>STE IRADA PIECES AUTOS</t>
  </si>
  <si>
    <t>P/AMEN B+KALAAT EL AND</t>
  </si>
  <si>
    <t>P/BIAT+AV DE CARTHAGE-</t>
  </si>
  <si>
    <t>P/ATTIJ BK+BOUSALEM-00</t>
  </si>
  <si>
    <t>OTHER CLIENTS</t>
  </si>
  <si>
    <t>CASH</t>
  </si>
  <si>
    <t>AGENCE MEGRINE</t>
  </si>
  <si>
    <t>AUTRE AGENCE</t>
  </si>
  <si>
    <t>PREVISION TRAITE</t>
  </si>
  <si>
    <t>ERRAFIK LYBIE</t>
  </si>
  <si>
    <t xml:space="preserve">LC </t>
  </si>
  <si>
    <t>VIREMENT</t>
  </si>
  <si>
    <t>NOURAKKUMULATOREN</t>
  </si>
  <si>
    <t>FN220016</t>
  </si>
  <si>
    <t>FN220022</t>
  </si>
  <si>
    <t>FN220024</t>
  </si>
  <si>
    <t>FN220028</t>
  </si>
  <si>
    <t>FN220035</t>
  </si>
  <si>
    <t>GBP</t>
  </si>
  <si>
    <t>CHIMEX</t>
  </si>
  <si>
    <t>SFAXIEN INDUSTRI.AUTOMOBILE</t>
  </si>
  <si>
    <t>TOTAL TUNISIE</t>
  </si>
  <si>
    <t>EQUIPEMENT MODERNE</t>
  </si>
  <si>
    <t>SPHD-SELMA PRODUITS</t>
  </si>
  <si>
    <t>SALAIRE</t>
  </si>
  <si>
    <t>HYDRO WATER</t>
  </si>
  <si>
    <t>Ref Dossier</t>
  </si>
  <si>
    <t>TABLEAU D'ESCOMPTE</t>
  </si>
  <si>
    <t>Echéance</t>
  </si>
  <si>
    <t>Nom</t>
  </si>
  <si>
    <t>Nbr Jours</t>
  </si>
  <si>
    <t>TMM</t>
  </si>
  <si>
    <t>Taux</t>
  </si>
  <si>
    <t>Montant</t>
  </si>
  <si>
    <t>Banque</t>
  </si>
  <si>
    <t>Date Decompte</t>
  </si>
  <si>
    <t>Date Valeur</t>
  </si>
  <si>
    <t>Interet</t>
  </si>
  <si>
    <t>CREDIT DE GESTION</t>
  </si>
  <si>
    <t>SCRUB BATTERY SUPPLIERS</t>
  </si>
  <si>
    <t>SCRUB BATTERY</t>
  </si>
  <si>
    <t>IMPOT MENSUELLE</t>
  </si>
  <si>
    <t>Petrol</t>
  </si>
  <si>
    <t>DIVERS</t>
  </si>
  <si>
    <t>PREVISION DEPENSE</t>
  </si>
  <si>
    <t>V. MITIGATED Net Cash position</t>
  </si>
  <si>
    <t>Delay vendor payments to Monbat AD</t>
  </si>
  <si>
    <t xml:space="preserve">Delay vendor payments CAPEX </t>
  </si>
  <si>
    <t>30-60 days</t>
  </si>
  <si>
    <t>60-90 days</t>
  </si>
  <si>
    <t>90-120 days</t>
  </si>
  <si>
    <t>120-180 days</t>
  </si>
  <si>
    <t>180-360 days</t>
  </si>
  <si>
    <t>Overdue recovery</t>
  </si>
  <si>
    <t>Investment loans from 2016-18</t>
  </si>
  <si>
    <t>Payments based on repayment schedule</t>
  </si>
  <si>
    <t>Revelover WC facility</t>
  </si>
  <si>
    <t>Overdraft facility</t>
  </si>
  <si>
    <t>Constant excess of limit, no repayment</t>
  </si>
  <si>
    <t>Draft discount limit</t>
  </si>
  <si>
    <t>Car lease</t>
  </si>
  <si>
    <t>No payments but renewal each 3 months @ app. 9% interest</t>
  </si>
  <si>
    <t>Investment loan for recycling facility</t>
  </si>
  <si>
    <t>September</t>
  </si>
  <si>
    <t>7 years, Interest = TMM + 2,25, partially repaymed by government grant of 15% * 13.5M (2.025M)</t>
  </si>
  <si>
    <t>Expected future utilizations of contracted debt</t>
  </si>
  <si>
    <t>Total maximum debt</t>
  </si>
  <si>
    <t>needed target EBITDA</t>
  </si>
  <si>
    <t>(assuming 3x coverage)</t>
  </si>
  <si>
    <r>
      <t xml:space="preserve">I. Beginning Cash Balance </t>
    </r>
    <r>
      <rPr>
        <b/>
        <sz val="10"/>
        <color rgb="FFFF0000"/>
        <rFont val="Tahoma"/>
        <family val="2"/>
        <charset val="204"/>
      </rPr>
      <t>(including facility utilization above authorized limit only)</t>
    </r>
  </si>
  <si>
    <t>Total for 8 Weeks</t>
  </si>
  <si>
    <t>C. Net cash outflow/(inflow) from financial activities</t>
  </si>
  <si>
    <t>C. Total Cash outflow/(inflow) with respect to Financing Activities</t>
  </si>
  <si>
    <t>IV. Net Cash Closing Balance, net of authorization limit</t>
  </si>
  <si>
    <t>KHAMIS FAHIM BEN SADOK</t>
  </si>
  <si>
    <t>CLIENT PASSAGER JENDOUBA</t>
  </si>
  <si>
    <t>STE MARJA DE DEVELOPPEMENT</t>
  </si>
  <si>
    <t>MECHERGUI MED- EQUIPT AGRIC.</t>
  </si>
  <si>
    <t>MOURAD THABET</t>
  </si>
  <si>
    <t>MOHAMED B BELGACEM MISSAOUI</t>
  </si>
  <si>
    <t>STE KHELIFI PIECES.RECHANGE</t>
  </si>
  <si>
    <t>LA PIECE EURO-JAPONAISE</t>
  </si>
  <si>
    <t>HELA FERJANI NEE AJMI</t>
  </si>
  <si>
    <t>STE HARECH TRANS.TERRESTRE</t>
  </si>
  <si>
    <t>SFAX PNEUS</t>
  </si>
  <si>
    <t>VENTOISE AUTO-SERVICES</t>
  </si>
  <si>
    <t>STE LARMA</t>
  </si>
  <si>
    <t>OUERGUI RAKIA ADELAZIZ</t>
  </si>
  <si>
    <t>STE     S-G-S-S</t>
  </si>
  <si>
    <t>STE RJEB AUTO</t>
  </si>
  <si>
    <t>STE MATEUR QUINC [SOGEMAQ]</t>
  </si>
  <si>
    <t>SOCIETE CHAIBI DE CARBURANT</t>
  </si>
  <si>
    <t>STE PIECES AUTOS JAPONAISES</t>
  </si>
  <si>
    <t>SMART CAR SERVICES</t>
  </si>
  <si>
    <t>STE ROUA VENTE ET ACHAT EN</t>
  </si>
  <si>
    <t>SO.M.E.G</t>
  </si>
  <si>
    <t>ABDELKADER B YOUSSEF GHARBI</t>
  </si>
  <si>
    <t>FREMAS AUTO</t>
  </si>
  <si>
    <t>SOCIETE GENERAL DE PIECES</t>
  </si>
  <si>
    <t>TLATI MOHAMED</t>
  </si>
  <si>
    <t>STE AB AUTO</t>
  </si>
  <si>
    <t>SOCIETE REVOLON</t>
  </si>
  <si>
    <t>Dr Cash</t>
  </si>
  <si>
    <t>Cr Cash</t>
  </si>
  <si>
    <t>MCNE</t>
  </si>
  <si>
    <t>October</t>
  </si>
  <si>
    <t>ESGAIER HAMZA</t>
  </si>
  <si>
    <t>STE TAOUFIK REV.CARBURANT</t>
  </si>
  <si>
    <t>STE YOSR DE PIECES AUTOS</t>
  </si>
  <si>
    <t>STE BATI BRICOLA</t>
  </si>
  <si>
    <t>STE PETRO-MED SARL</t>
  </si>
  <si>
    <t>SAMI BEN EZZEDINE B ABDALLAH</t>
  </si>
  <si>
    <t>EQUIPEMENT HYDRAULIQUES</t>
  </si>
  <si>
    <t>MAISON ROULT &amp; PNEU.</t>
  </si>
  <si>
    <t>STE PNEUS&amp;SERVICES TECHNIQUE</t>
  </si>
  <si>
    <t>STE RAWCHEM AUTO PARTS</t>
  </si>
  <si>
    <t>AMENI DES PIECES DETACHEES</t>
  </si>
  <si>
    <t>BEN SALEM MALIKA</t>
  </si>
  <si>
    <t>STE GHAZEL DES PNEUS</t>
  </si>
  <si>
    <t>Total général</t>
  </si>
  <si>
    <t>DELTA ELECTRICAL SOLUTIONS</t>
  </si>
  <si>
    <t>STE GENERALE ELECTRIQUE PLUS</t>
  </si>
  <si>
    <t>HACHEM AUTOS</t>
  </si>
  <si>
    <t>STE DOUBLE L AUTOS</t>
  </si>
  <si>
    <t>S. T. E. G.</t>
  </si>
  <si>
    <t>POUR ECRITURE HORS EXPLOITAT</t>
  </si>
  <si>
    <t>SNA Bank account -QNB</t>
  </si>
  <si>
    <t>STE FIAT AUTO PIECES [ FAP ]</t>
  </si>
  <si>
    <t>P/BIAT+MEL BOUZELFA-00</t>
  </si>
  <si>
    <t>FOURNISSEURS ACHATS</t>
  </si>
  <si>
    <t>PREVISION ESPECE</t>
  </si>
  <si>
    <t>PREVISION CHEQUE V</t>
  </si>
  <si>
    <t>ACIDE</t>
  </si>
  <si>
    <t>CONTRAT N°311581</t>
  </si>
  <si>
    <t>RENAULT CLIO</t>
  </si>
  <si>
    <t>CONTRAT N°311582</t>
  </si>
  <si>
    <t>OPEL CORSA</t>
  </si>
  <si>
    <t>FOUNISSEUR</t>
  </si>
  <si>
    <t>MONTANT DEVISE</t>
  </si>
  <si>
    <t>MONTANT DINARS</t>
  </si>
  <si>
    <t>DOUANE</t>
  </si>
  <si>
    <t>GARDIENAGE</t>
  </si>
  <si>
    <t>FRET</t>
  </si>
  <si>
    <t>ASSURANCE</t>
  </si>
  <si>
    <t>TOTAL</t>
  </si>
  <si>
    <t>TRANSPORT</t>
  </si>
  <si>
    <t>FACTURE IMPORT</t>
  </si>
  <si>
    <t>TRANSIT</t>
  </si>
  <si>
    <t>GRUE</t>
  </si>
  <si>
    <t>MONTANT A DEBLOQUER</t>
  </si>
  <si>
    <t>TECMAN</t>
  </si>
  <si>
    <t>BEN CHAABEN ZIED B TAIEB</t>
  </si>
  <si>
    <t>P/ATTJ BQ+SIDI THABET-</t>
  </si>
  <si>
    <t>STE VERT AUTO</t>
  </si>
  <si>
    <t>SOCIETE HPR INDUSTRIES</t>
  </si>
  <si>
    <t>TALBI ALI BEN ABDENNABI</t>
  </si>
  <si>
    <t>STE DILINA MOTEUR</t>
  </si>
  <si>
    <t>ZAIED HABIB BEN MOHAMED</t>
  </si>
  <si>
    <t>JAMEL BEN ALI TRIKI</t>
  </si>
  <si>
    <t>P/AL BARAK+HAMMAM LIF-</t>
  </si>
  <si>
    <t>FN230001</t>
  </si>
  <si>
    <t>H2M</t>
  </si>
  <si>
    <t>CONTRAT N°311633</t>
  </si>
  <si>
    <t>TOYOTA COROLLA</t>
  </si>
  <si>
    <t>STE COMPTOIR ABDALLAH SAADI</t>
  </si>
  <si>
    <t>P/ATTIJARI+GABES-00857</t>
  </si>
  <si>
    <t>STE SO CO SUD</t>
  </si>
  <si>
    <t>STE AUTO ESPACE</t>
  </si>
  <si>
    <t>FEKRI BEN MOHAMED BAKLOUTI</t>
  </si>
  <si>
    <t>P/ATTJ BQ+BIZERTE-0085</t>
  </si>
  <si>
    <t>D/ATTIJARI+MOKNINE-000</t>
  </si>
  <si>
    <t>Purchase of LEAD</t>
  </si>
  <si>
    <t>STE ABHS AUTOS</t>
  </si>
  <si>
    <t>STE BR AUTO</t>
  </si>
  <si>
    <t>INVESTISSEMENT</t>
  </si>
  <si>
    <t>EQUIPEMENT IMPORTE</t>
  </si>
  <si>
    <t>LIGNE PUNCHING</t>
  </si>
  <si>
    <t>MACHINE TUBULAIRE</t>
  </si>
  <si>
    <t>MOULES SOVEMA</t>
  </si>
  <si>
    <t>FRAIS D'APPROCHE</t>
  </si>
  <si>
    <t>FRAIS D'AMENAGEMENT</t>
  </si>
  <si>
    <t>ACQUISITION INFORMATIQUE</t>
  </si>
  <si>
    <t>FINANCEMENT</t>
  </si>
  <si>
    <t>AUGMENTATION DU CAPITAL</t>
  </si>
  <si>
    <t>CMT</t>
  </si>
  <si>
    <t>ESSID JAMILA BENT HEDI</t>
  </si>
  <si>
    <t>HOUCINE LOUSSAIEF</t>
  </si>
  <si>
    <t>FN230033</t>
  </si>
  <si>
    <t xml:space="preserve">New enveloping machine </t>
  </si>
  <si>
    <t>Désignation</t>
  </si>
  <si>
    <t>Coût en MDT</t>
  </si>
  <si>
    <t>Terrain + enregistrement</t>
  </si>
  <si>
    <t>Aménagement + Construction</t>
  </si>
  <si>
    <t>Frais d’étude et divers </t>
  </si>
  <si>
    <t>Fond en MDT</t>
  </si>
  <si>
    <t>%</t>
  </si>
  <si>
    <t>Fond propres</t>
  </si>
  <si>
    <t xml:space="preserve">Crédit bancaire CMT            </t>
  </si>
  <si>
    <t>AMAL SALEM</t>
  </si>
  <si>
    <t>S O C O M A F</t>
  </si>
  <si>
    <t>HARRATHI LOTFI</t>
  </si>
  <si>
    <t>P/BIAT+BEN AROUS-00017</t>
  </si>
  <si>
    <t>P/BQ ZAIT+MEL BOUZELFA</t>
  </si>
  <si>
    <t>LA DOUANE</t>
  </si>
  <si>
    <t>MED HEDI B SALLEM IBN MESSOU</t>
  </si>
  <si>
    <t>STE COMPTOIR.PIECE.FRANCAISE</t>
  </si>
  <si>
    <t>HADHRI MOUHED BEN HAMOUDA</t>
  </si>
  <si>
    <t>STE MULTITOOLS</t>
  </si>
  <si>
    <t>BECHIR BOUCEDRA</t>
  </si>
  <si>
    <t>P/ATTIJARI+H.SOUSSE-05</t>
  </si>
  <si>
    <t>P/ATTJ BQ+BOUFICHA-008</t>
  </si>
  <si>
    <t>PROXITECH</t>
  </si>
  <si>
    <t>STE MOHSEN GUEDRI</t>
  </si>
  <si>
    <t>CEH-CPT DE L'EQU HAMMAMET</t>
  </si>
  <si>
    <t>CONTRAT N°311695</t>
  </si>
  <si>
    <t>2 FOURGONETTE FORD</t>
  </si>
  <si>
    <t>CONTRAT N°311719</t>
  </si>
  <si>
    <t>RENAULT EXPRESS</t>
  </si>
  <si>
    <t>STE RAMI.VNTE.PICES.RECHANGE</t>
  </si>
  <si>
    <t>P/ATTIJARI+MOULARES-05</t>
  </si>
  <si>
    <t>ST TOTAL SALES COMPANY</t>
  </si>
  <si>
    <t>LYS IMPRESSION</t>
  </si>
  <si>
    <t>GENERAL INCENDIE</t>
  </si>
  <si>
    <t>SOCIETE EL KOUKI</t>
  </si>
  <si>
    <t>PALLISER</t>
  </si>
  <si>
    <t>ADDITIF FONDERIE</t>
  </si>
  <si>
    <t>SECURITY</t>
  </si>
  <si>
    <t>ETIQUETTE</t>
  </si>
  <si>
    <t>EMBALLAGE</t>
  </si>
  <si>
    <t>Delay vendor payments to Dixon</t>
  </si>
  <si>
    <t>LA TUNSIENNE.PICES AUTO</t>
  </si>
  <si>
    <t>STE HERCULE AUTO Z2</t>
  </si>
  <si>
    <t>AQUA SERVICES</t>
  </si>
  <si>
    <t>SUMP</t>
  </si>
  <si>
    <t>S O N E D E</t>
  </si>
  <si>
    <t>Planned payments to Accuma</t>
  </si>
  <si>
    <t>Planned payments to Monbat</t>
  </si>
  <si>
    <t>STE TAHRI STATION SERVICES</t>
  </si>
  <si>
    <t>P/BIAT+MEL TEMIME-0000</t>
  </si>
  <si>
    <t>P/BQ ZAIT+RIADH EL AND</t>
  </si>
  <si>
    <t>W02_2024</t>
  </si>
  <si>
    <t>W03_2024</t>
  </si>
  <si>
    <t>W04_2024</t>
  </si>
  <si>
    <t>W05_2024</t>
  </si>
  <si>
    <t>W06_2024</t>
  </si>
  <si>
    <t>W07_2024</t>
  </si>
  <si>
    <t>W08_2024</t>
  </si>
  <si>
    <t>W09_2024</t>
  </si>
  <si>
    <t>LOUKAL PIECES AUTOS</t>
  </si>
  <si>
    <t>LAJNAF SALHA</t>
  </si>
  <si>
    <t>STE C M J SUARL</t>
  </si>
  <si>
    <t>ZIED ABDELMALEK</t>
  </si>
  <si>
    <t>STE SOCOFA</t>
  </si>
  <si>
    <t>P/BIAT+BENI KHALLED-00</t>
  </si>
  <si>
    <t>P/BQ ZAIT+BOUMHEL-4000</t>
  </si>
  <si>
    <t>ACTD</t>
  </si>
  <si>
    <t>STPA</t>
  </si>
  <si>
    <t>CRA2E</t>
  </si>
  <si>
    <t>SOCOOPEC</t>
  </si>
  <si>
    <t>STE BDIOUI DE COMMERCE</t>
  </si>
  <si>
    <t>ZAT AUTO</t>
  </si>
  <si>
    <t>ST BEN ISMAIL DES PIECES</t>
  </si>
  <si>
    <t>LE MATERIEL AGRICOLE</t>
  </si>
  <si>
    <t>STE JEDEIDA PIECES AUTO</t>
  </si>
  <si>
    <t>P/ATTJ BQ+EL FAHS-0103</t>
  </si>
  <si>
    <t>P/ZITOUNA+SBEITLA-4000</t>
  </si>
  <si>
    <t>P/ATB+BENI KHALLED-000</t>
  </si>
  <si>
    <t>Boudrant</t>
  </si>
  <si>
    <t>PLOMB Pi Industrielle</t>
  </si>
  <si>
    <t>STI-RELEC</t>
  </si>
  <si>
    <t>W10_2024</t>
  </si>
  <si>
    <t>W11_2024</t>
  </si>
  <si>
    <t>W12_2024</t>
  </si>
  <si>
    <t>W13_2024</t>
  </si>
  <si>
    <t>BEN SHIHON</t>
  </si>
  <si>
    <t>AVOIR</t>
  </si>
  <si>
    <t>W14_2024</t>
  </si>
  <si>
    <t>W15_2024</t>
  </si>
  <si>
    <t>W16_2024</t>
  </si>
  <si>
    <t>W17_2024</t>
  </si>
  <si>
    <t>W18_2024</t>
  </si>
  <si>
    <t>W19_2024</t>
  </si>
  <si>
    <t>W20_2024</t>
  </si>
  <si>
    <t>W21_2024</t>
  </si>
  <si>
    <t>W22_2024</t>
  </si>
  <si>
    <t>STE RAED TOUT POID LOURD</t>
  </si>
  <si>
    <t>D/BH+MOKNINE-5912395</t>
  </si>
  <si>
    <t>CARTHAGE TOURS</t>
  </si>
  <si>
    <t>DATE FACTURE</t>
  </si>
  <si>
    <t>DATE DECOMPTE</t>
  </si>
  <si>
    <t>CLIENT</t>
  </si>
  <si>
    <t>MONTANT FACTURE</t>
  </si>
  <si>
    <t>TAUX</t>
  </si>
  <si>
    <t>MONTANT TND</t>
  </si>
  <si>
    <t xml:space="preserve">INTERET </t>
  </si>
  <si>
    <t>MONTANT NET</t>
  </si>
  <si>
    <t>NBR JOUR</t>
  </si>
  <si>
    <t>ATC Automatisme</t>
  </si>
  <si>
    <t>STE SOUADI AUTO</t>
  </si>
  <si>
    <t>23402114</t>
  </si>
  <si>
    <t>STE L'HORIZON DE PIECES DE</t>
  </si>
  <si>
    <t>STE AMDOOS PARTS COMPANY</t>
  </si>
  <si>
    <t>DATE DOM</t>
  </si>
  <si>
    <t>STE BAYA AUTO PLUS</t>
  </si>
  <si>
    <t>SOCIETE KHMIRI MOHAMED</t>
  </si>
  <si>
    <t>STE COMP. GENERAL EQUIPEMENT</t>
  </si>
  <si>
    <t>STE CENT POUR CENT BATTERIES</t>
  </si>
  <si>
    <t>23402198</t>
  </si>
  <si>
    <t>23402197</t>
  </si>
  <si>
    <t>23402196</t>
  </si>
  <si>
    <t>23402162</t>
  </si>
  <si>
    <t>23402161</t>
  </si>
  <si>
    <t>23302384</t>
  </si>
  <si>
    <t>23302375</t>
  </si>
  <si>
    <t>23302374</t>
  </si>
  <si>
    <t>P/ZITOUNA+MSAKEN-40013</t>
  </si>
  <si>
    <t>D/BT+JEMMAL-1561880</t>
  </si>
  <si>
    <t>D/BT+JEMMAL-1561879</t>
  </si>
  <si>
    <t>D/BIAT+MONASTIR-000697</t>
  </si>
  <si>
    <t>P/ATB+SFAX-0000163</t>
  </si>
  <si>
    <t>P/BIAT+BEN AROUS-00004</t>
  </si>
  <si>
    <t>P/STB+SFAX-0008543</t>
  </si>
  <si>
    <t>P/STB+SFAX-0008542</t>
  </si>
  <si>
    <t>P/ATTIJ BK+JEND-004945</t>
  </si>
  <si>
    <t>P/AMEN B+SIDI THABET-5</t>
  </si>
  <si>
    <t>D/ATTB+KSOUR ESSEF-000</t>
  </si>
  <si>
    <t>W23_2024</t>
  </si>
  <si>
    <t>W24_2024</t>
  </si>
  <si>
    <t>W25_2024</t>
  </si>
  <si>
    <t>AIR LIQUIDE TUNISIE</t>
  </si>
  <si>
    <t>2RE</t>
  </si>
  <si>
    <t>ooredoo</t>
  </si>
  <si>
    <t>FIXNGO</t>
  </si>
  <si>
    <t>TUNISIE VEHICULES INDUSTRIEL</t>
  </si>
  <si>
    <t>SMART SOLUTION</t>
  </si>
  <si>
    <t>OXYGENE</t>
  </si>
  <si>
    <t>Input GBP / TND rate</t>
  </si>
  <si>
    <t>STE MED ALI DE PIECES DE</t>
  </si>
  <si>
    <t>MISSAOUI MOURAD BEN AHMDA</t>
  </si>
  <si>
    <t>SOCIETE COPRA</t>
  </si>
  <si>
    <t>GHARBI ELHABIB B AHMED</t>
  </si>
  <si>
    <t>23402300</t>
  </si>
  <si>
    <t>23402299</t>
  </si>
  <si>
    <t>23402298</t>
  </si>
  <si>
    <t>23402280</t>
  </si>
  <si>
    <t>23126174</t>
  </si>
  <si>
    <t>23126385</t>
  </si>
  <si>
    <t>23402297</t>
  </si>
  <si>
    <t>23402296</t>
  </si>
  <si>
    <t>23302476</t>
  </si>
  <si>
    <t>23126312</t>
  </si>
  <si>
    <t>23402295</t>
  </si>
  <si>
    <t>23126218</t>
  </si>
  <si>
    <t>D/BIAT+MONASTIR-000711</t>
  </si>
  <si>
    <t>D/BIAT+MONASTIR-000874</t>
  </si>
  <si>
    <t>P/UIB+SOUSSE-1052553</t>
  </si>
  <si>
    <t>p/bt+BEN AROUS-2025266</t>
  </si>
  <si>
    <t>P/UIB+KALAA KEBIRA-981</t>
  </si>
  <si>
    <t>D/BIAT+MONASTIR-000873</t>
  </si>
  <si>
    <t>P/STB+SFAX-0008604</t>
  </si>
  <si>
    <t>P/BNA+RADES-9333506</t>
  </si>
  <si>
    <t>P/ATTIJ BK+TAJER-00421</t>
  </si>
  <si>
    <t>P/AMEN B+MORNAGUIA-982</t>
  </si>
  <si>
    <t>P/ALBARAKA+GABES-89943</t>
  </si>
  <si>
    <t>P/BIAT+BEN AROUS-00015</t>
  </si>
  <si>
    <t>D/ZITOUNA+MAHDIA-40011</t>
  </si>
  <si>
    <t>P/AMEN B+BEN AROUS-369</t>
  </si>
  <si>
    <t>P/BH+DJEBEL EL OUEST-6</t>
  </si>
  <si>
    <t>ACCUMA 56</t>
  </si>
  <si>
    <t>ACCUMA 57</t>
  </si>
  <si>
    <t>ACCUMA 58</t>
  </si>
  <si>
    <t>MONBAT</t>
  </si>
  <si>
    <t>ROYAL CERT MAGHREB</t>
  </si>
  <si>
    <t>HOUSSEM MOUSSA</t>
  </si>
  <si>
    <t>ESILAB</t>
  </si>
  <si>
    <t>SPE</t>
  </si>
  <si>
    <t>2 MG + HONDA</t>
  </si>
  <si>
    <t>1 HONDA</t>
  </si>
  <si>
    <t>ATL</t>
  </si>
  <si>
    <t>ECHEANCIER 2024</t>
  </si>
  <si>
    <t>Total 01/2024</t>
  </si>
  <si>
    <t>Total 02/2024</t>
  </si>
  <si>
    <t>Total 04/2024</t>
  </si>
  <si>
    <t>Total 05/2024</t>
  </si>
  <si>
    <t>Total 07/2024</t>
  </si>
  <si>
    <t>Total 08/2024</t>
  </si>
  <si>
    <t>Total 10/2024</t>
  </si>
  <si>
    <t>Total 11/2024</t>
  </si>
  <si>
    <t>TOTAL 2024</t>
  </si>
  <si>
    <t>CONTRAT N°0000920160</t>
  </si>
  <si>
    <t>Loyer HT</t>
  </si>
  <si>
    <t>COPAB</t>
  </si>
  <si>
    <t>MERDASSI MONTASAR BN OTHMEN</t>
  </si>
  <si>
    <t>STE AUTO INTELLIGENT</t>
  </si>
  <si>
    <t>24301024</t>
  </si>
  <si>
    <t>24301036</t>
  </si>
  <si>
    <t>24401010</t>
  </si>
  <si>
    <t>24301022</t>
  </si>
  <si>
    <t>24123541</t>
  </si>
  <si>
    <t>D/BNA+MAHRES-0631433</t>
  </si>
  <si>
    <t>P/BH+SFAX-6474771</t>
  </si>
  <si>
    <t>D/BNA+JEMMAL-8766587</t>
  </si>
  <si>
    <t>D/BNA+MAHRES-0631432</t>
  </si>
  <si>
    <t>P/UBCI+BIZERTE-2254898</t>
  </si>
  <si>
    <t>BSA</t>
  </si>
  <si>
    <t>BEN ALI AYMEN</t>
  </si>
  <si>
    <t>HATEM BEN SALAH KRAIEM</t>
  </si>
  <si>
    <t>NAIM BERRICH</t>
  </si>
  <si>
    <t>STE BEN ALAYA AUTO</t>
  </si>
  <si>
    <t>STE AUTOLEAD</t>
  </si>
  <si>
    <t>STE MEZRI.VTE PCE.RECH.AGRIC</t>
  </si>
  <si>
    <t>24401057</t>
  </si>
  <si>
    <t>24401039</t>
  </si>
  <si>
    <t>24401038</t>
  </si>
  <si>
    <t>24301129</t>
  </si>
  <si>
    <t>24401069</t>
  </si>
  <si>
    <t>24401052</t>
  </si>
  <si>
    <t>24401040</t>
  </si>
  <si>
    <t>24301128</t>
  </si>
  <si>
    <t>24401068</t>
  </si>
  <si>
    <t>24301094</t>
  </si>
  <si>
    <t>24123711</t>
  </si>
  <si>
    <t>24123631</t>
  </si>
  <si>
    <t>24123713</t>
  </si>
  <si>
    <t>24123655</t>
  </si>
  <si>
    <t>24401067</t>
  </si>
  <si>
    <t>24123654</t>
  </si>
  <si>
    <t>24123653</t>
  </si>
  <si>
    <t>24123652</t>
  </si>
  <si>
    <t>24601071</t>
  </si>
  <si>
    <t>24401053</t>
  </si>
  <si>
    <t>24401081</t>
  </si>
  <si>
    <t>24301127</t>
  </si>
  <si>
    <t>24123651</t>
  </si>
  <si>
    <t>24301116</t>
  </si>
  <si>
    <t>24123650</t>
  </si>
  <si>
    <t>24123649</t>
  </si>
  <si>
    <t>24401073</t>
  </si>
  <si>
    <t>24123648</t>
  </si>
  <si>
    <t>24401066</t>
  </si>
  <si>
    <t>24123647</t>
  </si>
  <si>
    <t>24601070</t>
  </si>
  <si>
    <t>24123732</t>
  </si>
  <si>
    <t>24301046</t>
  </si>
  <si>
    <t>24301115</t>
  </si>
  <si>
    <t>24301114</t>
  </si>
  <si>
    <t>24401072</t>
  </si>
  <si>
    <t>24401080</t>
  </si>
  <si>
    <t>24301139</t>
  </si>
  <si>
    <t>24301138</t>
  </si>
  <si>
    <t>24301093</t>
  </si>
  <si>
    <t>24301096</t>
  </si>
  <si>
    <t>24123623</t>
  </si>
  <si>
    <t>24401065</t>
  </si>
  <si>
    <t>24301137</t>
  </si>
  <si>
    <t>24301136</t>
  </si>
  <si>
    <t>24301126</t>
  </si>
  <si>
    <t>24123630</t>
  </si>
  <si>
    <t>24301135</t>
  </si>
  <si>
    <t>24301113</t>
  </si>
  <si>
    <t>24301134</t>
  </si>
  <si>
    <t>24301133</t>
  </si>
  <si>
    <t>24301132</t>
  </si>
  <si>
    <t>24123646</t>
  </si>
  <si>
    <t>24301045</t>
  </si>
  <si>
    <t>24123645</t>
  </si>
  <si>
    <t>24301112</t>
  </si>
  <si>
    <t>24123644</t>
  </si>
  <si>
    <t>24601067</t>
  </si>
  <si>
    <t>24601069</t>
  </si>
  <si>
    <t>24601072</t>
  </si>
  <si>
    <t>24401045</t>
  </si>
  <si>
    <t>24401074</t>
  </si>
  <si>
    <t>24301109</t>
  </si>
  <si>
    <t>24601075</t>
  </si>
  <si>
    <t>24601065</t>
  </si>
  <si>
    <t>24601068</t>
  </si>
  <si>
    <t>24601073</t>
  </si>
  <si>
    <t>24401064</t>
  </si>
  <si>
    <t>24401051</t>
  </si>
  <si>
    <t>24301044</t>
  </si>
  <si>
    <t>24301125</t>
  </si>
  <si>
    <t>24123659</t>
  </si>
  <si>
    <t>24123740</t>
  </si>
  <si>
    <t>24123739</t>
  </si>
  <si>
    <t>24401075</t>
  </si>
  <si>
    <t>24123610</t>
  </si>
  <si>
    <t>P/ATTIJARI+H SOUSSE-05</t>
  </si>
  <si>
    <t>D/BIAT+MONASTIR-000723</t>
  </si>
  <si>
    <t>P/BIAT+SFAX-0008688</t>
  </si>
  <si>
    <t>D/UIB+TEBOULBA-1540216</t>
  </si>
  <si>
    <t>D/AMEN+MOKNINE-5046196</t>
  </si>
  <si>
    <t>D/BIAT+MONASTIR-000877</t>
  </si>
  <si>
    <t>P/BIAT+SFAX-0008687</t>
  </si>
  <si>
    <t>D/UIB+TEBOULBA-1540215</t>
  </si>
  <si>
    <t>P/STB+SFAX-0008664</t>
  </si>
  <si>
    <t>P/STB+TN-0000708</t>
  </si>
  <si>
    <t>P/TSB+MANOUBA-9270407</t>
  </si>
  <si>
    <t>P/STB+TN-0000879</t>
  </si>
  <si>
    <t>P/STB+KELIBIA-0010564</t>
  </si>
  <si>
    <t>D/UIB+TEBOULBA-1540214</t>
  </si>
  <si>
    <t>P/STB+KELIBIA-0010563</t>
  </si>
  <si>
    <t>P/STB+KELIBIA-0010562</t>
  </si>
  <si>
    <t>P/STB+KELIBIA-0010561</t>
  </si>
  <si>
    <t>P/UBCI+GABES-0313956</t>
  </si>
  <si>
    <t>D/AMEN+MOKNINE-5046197</t>
  </si>
  <si>
    <t>D/BH+MOKNINE-6315917</t>
  </si>
  <si>
    <t>P/BIAT+SFAX-0008686</t>
  </si>
  <si>
    <t>P/STB+KELIBIA-0010560</t>
  </si>
  <si>
    <t>D/BIAT+BIRALI-0003886</t>
  </si>
  <si>
    <t>P/STB+KELIBIA-0010559</t>
  </si>
  <si>
    <t>P/STB+KELIBIA-0010558</t>
  </si>
  <si>
    <t>D/BNA+JEMMAL-0732463</t>
  </si>
  <si>
    <t>P/STB+KELIBIA-0010557</t>
  </si>
  <si>
    <t>D/UIB+TEBOULBA-1540213</t>
  </si>
  <si>
    <t>P/STB+KELIBIA-0010556</t>
  </si>
  <si>
    <t>P/UBCI+GABES-0313955</t>
  </si>
  <si>
    <t>P/BIAT+TN-0002232</t>
  </si>
  <si>
    <t>D/BNA+CHEBBA-0710051</t>
  </si>
  <si>
    <t>D/BIAT+BIRALI-0003885</t>
  </si>
  <si>
    <t>D/BIAT+BIRALI-0003884</t>
  </si>
  <si>
    <t>D/BNA+JEMMAL-0732462</t>
  </si>
  <si>
    <t>D/BH+MOKNINE-6315916</t>
  </si>
  <si>
    <t>P/STB+SFAX-0009897</t>
  </si>
  <si>
    <t>P/STB+SFAX-0009900</t>
  </si>
  <si>
    <t>P/STB+SFAX-0008663</t>
  </si>
  <si>
    <t>P/ATB+SFAX-0000199</t>
  </si>
  <si>
    <t>P/STB+FOUCHANA-0000632</t>
  </si>
  <si>
    <t>D/UIB+TEBOULBA-1540219</t>
  </si>
  <si>
    <t>P/STB+SFAX-0009899</t>
  </si>
  <si>
    <t>P/STB+SFAX-0009950</t>
  </si>
  <si>
    <t>P/BIAT+SFAX-0008685</t>
  </si>
  <si>
    <t>P/TSB+MANOUBA-9270406</t>
  </si>
  <si>
    <t>P/STB+SFAX-0009949</t>
  </si>
  <si>
    <t>D/BIAT+BIR ALI-0003883</t>
  </si>
  <si>
    <t>P/STB+SFAX-0009948</t>
  </si>
  <si>
    <t>P/STB+SFAX-0009943</t>
  </si>
  <si>
    <t>P/STB+SFAX-0009942</t>
  </si>
  <si>
    <t>P/STB+KELIBIA-0010555</t>
  </si>
  <si>
    <t>D/BNA+CHEBBA-0710050</t>
  </si>
  <si>
    <t>P/STB+KELIBIA-0010552</t>
  </si>
  <si>
    <t>D/BIAT+BIRALI-0003882</t>
  </si>
  <si>
    <t>P/STB+KELIBIA-0010554</t>
  </si>
  <si>
    <t>P/UBCI+GABES-0313961</t>
  </si>
  <si>
    <t>P/UBCI+GABES-0313954</t>
  </si>
  <si>
    <t>P/UBCI+GABES-0313960</t>
  </si>
  <si>
    <t>D/AMEN+MOKNINE-5384380</t>
  </si>
  <si>
    <t>D/BNA+JEMMAL-0732461</t>
  </si>
  <si>
    <t>D/BIAT+BIRALI-0003881</t>
  </si>
  <si>
    <t>P/UBCI+GABES-0313959</t>
  </si>
  <si>
    <t>P/UBCI+GABES-0313951</t>
  </si>
  <si>
    <t>P/UBCI+GABES-0313953</t>
  </si>
  <si>
    <t>P/UBCI+GABES-0313958</t>
  </si>
  <si>
    <t>D/UIB+TEBOULBA-1540218</t>
  </si>
  <si>
    <t>D/AMEN+MOKNINE-5046195</t>
  </si>
  <si>
    <t>D/BNA+CHEBBA-0710049</t>
  </si>
  <si>
    <t>P/BIAT+SFAX-0008684</t>
  </si>
  <si>
    <t>P/BTE+TN-6921176</t>
  </si>
  <si>
    <t>P/STB+FOUCHANA-0000633</t>
  </si>
  <si>
    <t>P/BIAT+TN-0002732</t>
  </si>
  <si>
    <t>D/BNA+JEMMAL-0732460</t>
  </si>
  <si>
    <t>D/ZITOUNA+MOKNINE-4001</t>
  </si>
  <si>
    <t>P/ATTJ+TN-0230124</t>
  </si>
  <si>
    <t>P/ATB+BENI KHIAR-00003</t>
  </si>
  <si>
    <t>P/UIB+OUED ELLIL-99023</t>
  </si>
  <si>
    <t>P/BNA+BENI KHALLED-959</t>
  </si>
  <si>
    <t>P/ATB+EL INTILAKA-0000</t>
  </si>
  <si>
    <t>P/BNA+MEDJEZ EL BAB-59</t>
  </si>
  <si>
    <t>W26_2024</t>
  </si>
  <si>
    <t>W27_2024</t>
  </si>
  <si>
    <t>W28_2024</t>
  </si>
  <si>
    <t>W29_2024</t>
  </si>
  <si>
    <t>W30_2024</t>
  </si>
  <si>
    <t>W31_2024</t>
  </si>
  <si>
    <t>W32_2024</t>
  </si>
  <si>
    <t>W33_2024</t>
  </si>
  <si>
    <t>W34_2024</t>
  </si>
  <si>
    <t>W35_2024</t>
  </si>
  <si>
    <t>W36_2024</t>
  </si>
  <si>
    <t>W37_2024</t>
  </si>
  <si>
    <t>W38_2024</t>
  </si>
  <si>
    <t>W39_2024</t>
  </si>
  <si>
    <t>W40_2024</t>
  </si>
  <si>
    <t>24401058</t>
  </si>
  <si>
    <t>ACM Technologie</t>
  </si>
  <si>
    <t>FN240012</t>
  </si>
  <si>
    <t>ACCUMA 01</t>
  </si>
  <si>
    <t>ACCUMA 02</t>
  </si>
  <si>
    <t>ACCUMA 03</t>
  </si>
  <si>
    <t>ACCUMA 04</t>
  </si>
  <si>
    <t>ACCUMA 05</t>
  </si>
  <si>
    <t>ACCUMA 06</t>
  </si>
  <si>
    <t>ACCUMA 07</t>
  </si>
  <si>
    <t>ACCUMA 08</t>
  </si>
  <si>
    <t>AKKUMPLAST 01</t>
  </si>
  <si>
    <t>TRANSCARGO TUNISIA SA</t>
  </si>
  <si>
    <t>ARKASS TUNISIE</t>
  </si>
  <si>
    <t>STIRELEC COMMERCE</t>
  </si>
  <si>
    <t>ECHEANCE REEL</t>
  </si>
  <si>
    <t>ECHEANCE MCNE</t>
  </si>
  <si>
    <t>STE BELMABROUK DES TRAVAUX</t>
  </si>
  <si>
    <t>STE COMPTOIR ZARZIS DES</t>
  </si>
  <si>
    <t>EL BARAKA VENTE PIECES RECH.</t>
  </si>
  <si>
    <t>SOCIETE SART</t>
  </si>
  <si>
    <t>STE AOUES VEHICULE</t>
  </si>
  <si>
    <t>GARGOURI HASSEN</t>
  </si>
  <si>
    <t>BRAHIM BEN MOHAMED MEDDEB</t>
  </si>
  <si>
    <t>USINE NOUVELLE DE PATES</t>
  </si>
  <si>
    <t>24401157</t>
  </si>
  <si>
    <t>24401147</t>
  </si>
  <si>
    <t>24401155</t>
  </si>
  <si>
    <t>24401146</t>
  </si>
  <si>
    <t>24123807</t>
  </si>
  <si>
    <t>24123873</t>
  </si>
  <si>
    <t>24123874</t>
  </si>
  <si>
    <t>24123875</t>
  </si>
  <si>
    <t>24123876</t>
  </si>
  <si>
    <t>24123877</t>
  </si>
  <si>
    <t>24123878</t>
  </si>
  <si>
    <t>24123879</t>
  </si>
  <si>
    <t>24123880</t>
  </si>
  <si>
    <t>24123881</t>
  </si>
  <si>
    <t>24401137</t>
  </si>
  <si>
    <t>24301151</t>
  </si>
  <si>
    <t>24123804</t>
  </si>
  <si>
    <t>24123803</t>
  </si>
  <si>
    <t>24401136</t>
  </si>
  <si>
    <t>24401145</t>
  </si>
  <si>
    <t>24301167</t>
  </si>
  <si>
    <t>24301168</t>
  </si>
  <si>
    <t>24123882</t>
  </si>
  <si>
    <t>24123805</t>
  </si>
  <si>
    <t>24123906</t>
  </si>
  <si>
    <t>24401091</t>
  </si>
  <si>
    <t>24401121</t>
  </si>
  <si>
    <t>24401143</t>
  </si>
  <si>
    <t>24123883</t>
  </si>
  <si>
    <t>24123884</t>
  </si>
  <si>
    <t>24301150</t>
  </si>
  <si>
    <t>24123885</t>
  </si>
  <si>
    <t>24123905</t>
  </si>
  <si>
    <t>24123802</t>
  </si>
  <si>
    <t>24123801</t>
  </si>
  <si>
    <t>24401138</t>
  </si>
  <si>
    <t>24401098</t>
  </si>
  <si>
    <t>24123915</t>
  </si>
  <si>
    <t>24123806</t>
  </si>
  <si>
    <t>24123904</t>
  </si>
  <si>
    <t>24701052</t>
  </si>
  <si>
    <t>24123800</t>
  </si>
  <si>
    <t>24123851</t>
  </si>
  <si>
    <t>24123777</t>
  </si>
  <si>
    <t>24601097</t>
  </si>
  <si>
    <t>24401144</t>
  </si>
  <si>
    <t>24401097</t>
  </si>
  <si>
    <t>24123843</t>
  </si>
  <si>
    <t>24123815</t>
  </si>
  <si>
    <t>24123846</t>
  </si>
  <si>
    <t>24123858</t>
  </si>
  <si>
    <t>24123872</t>
  </si>
  <si>
    <t>24123903</t>
  </si>
  <si>
    <t>24123852</t>
  </si>
  <si>
    <t>24601098</t>
  </si>
  <si>
    <t>24123916</t>
  </si>
  <si>
    <t>24123776</t>
  </si>
  <si>
    <t>24401096</t>
  </si>
  <si>
    <t>24123910</t>
  </si>
  <si>
    <t>24123911</t>
  </si>
  <si>
    <t>24601099</t>
  </si>
  <si>
    <t>24801068</t>
  </si>
  <si>
    <t>24601085</t>
  </si>
  <si>
    <t>24401090</t>
  </si>
  <si>
    <t>24401095</t>
  </si>
  <si>
    <t>24301154</t>
  </si>
  <si>
    <t>24123829</t>
  </si>
  <si>
    <t>24123862</t>
  </si>
  <si>
    <t>24123896</t>
  </si>
  <si>
    <t>24123888</t>
  </si>
  <si>
    <t>24123890</t>
  </si>
  <si>
    <t>24123817</t>
  </si>
  <si>
    <t>24123828</t>
  </si>
  <si>
    <t>24123855</t>
  </si>
  <si>
    <t>24801083</t>
  </si>
  <si>
    <t>24801078</t>
  </si>
  <si>
    <t>24601089</t>
  </si>
  <si>
    <t>24601104</t>
  </si>
  <si>
    <t>24401105</t>
  </si>
  <si>
    <t>24301185</t>
  </si>
  <si>
    <t>24123842</t>
  </si>
  <si>
    <t>24123824</t>
  </si>
  <si>
    <t>24123821</t>
  </si>
  <si>
    <t>24601103</t>
  </si>
  <si>
    <t>24401153</t>
  </si>
  <si>
    <t>24123774</t>
  </si>
  <si>
    <t>24701039</t>
  </si>
  <si>
    <t>24601090</t>
  </si>
  <si>
    <t>24401093</t>
  </si>
  <si>
    <t>24123861</t>
  </si>
  <si>
    <t>24123837</t>
  </si>
  <si>
    <t>24123841</t>
  </si>
  <si>
    <t>24601102</t>
  </si>
  <si>
    <t>24123856</t>
  </si>
  <si>
    <t>24601095</t>
  </si>
  <si>
    <t>24123773</t>
  </si>
  <si>
    <t>24801062</t>
  </si>
  <si>
    <t>24801077</t>
  </si>
  <si>
    <t>24801094</t>
  </si>
  <si>
    <t>24801067</t>
  </si>
  <si>
    <t>24701034</t>
  </si>
  <si>
    <t>24401092</t>
  </si>
  <si>
    <t>24401104</t>
  </si>
  <si>
    <t>24301149</t>
  </si>
  <si>
    <t>24123860</t>
  </si>
  <si>
    <t>24123834</t>
  </si>
  <si>
    <t>24123816</t>
  </si>
  <si>
    <t>24601083</t>
  </si>
  <si>
    <t>24301178</t>
  </si>
  <si>
    <t>24123772</t>
  </si>
  <si>
    <t>24301184</t>
  </si>
  <si>
    <t>24701051</t>
  </si>
  <si>
    <t>24123746</t>
  </si>
  <si>
    <t>D/BIAT+MONASTIR-000733</t>
  </si>
  <si>
    <t>D/BT+JEMMAL-2148001</t>
  </si>
  <si>
    <t>D/BT+JEMMAL-2148000</t>
  </si>
  <si>
    <t>P/STB+KELIBIA-0010753</t>
  </si>
  <si>
    <t>P/STB+KELIBIA-0010751</t>
  </si>
  <si>
    <t>P/STB+KELIBIA-0010750</t>
  </si>
  <si>
    <t>P/STB+KELIBIA-0010749</t>
  </si>
  <si>
    <t>P/STB+KELIBIA-0010748</t>
  </si>
  <si>
    <t>P/STB+KELIBIA-0010747</t>
  </si>
  <si>
    <t>P/STB+KELIBIA-0010746</t>
  </si>
  <si>
    <t>P/STB+KELIBIA-0010745</t>
  </si>
  <si>
    <t>P/STB+KELIBIA-0010754</t>
  </si>
  <si>
    <t>D/BH+MOKNINE-6315922</t>
  </si>
  <si>
    <t>D/BNA+MAHRES-0850934</t>
  </si>
  <si>
    <t>P/BT+BEN AROUS-2025298</t>
  </si>
  <si>
    <t>P/BT+BEN AROUS-2025292</t>
  </si>
  <si>
    <t>D/BH+MOKNINE-6315921</t>
  </si>
  <si>
    <t>D/BT+JEMMAL-2147999</t>
  </si>
  <si>
    <t>P/BH+SFAX-6474791</t>
  </si>
  <si>
    <t>P/ATB+SFAX-0000268</t>
  </si>
  <si>
    <t>P/STB+KELIBIA-0010743</t>
  </si>
  <si>
    <t>P/STB+TN-0000641</t>
  </si>
  <si>
    <t>P/UIB+ERRIADH-1052563</t>
  </si>
  <si>
    <t>D/BNA+JEMMAL-0181959</t>
  </si>
  <si>
    <t>P/STB+KELIBIA-0010744</t>
  </si>
  <si>
    <t>P/STB+KELIBIA-0010742</t>
  </si>
  <si>
    <t>D/BNA+MAHRES-0850933</t>
  </si>
  <si>
    <t>P/STB+KELIBIA-0010755</t>
  </si>
  <si>
    <t>P/STB+TN-0000640</t>
  </si>
  <si>
    <t>P/BT+BEN AROUS-2025291</t>
  </si>
  <si>
    <t>P/BT+BEN AROUS-2025290</t>
  </si>
  <si>
    <t>D/ALBARAKA+MSAKEN-9029</t>
  </si>
  <si>
    <t>D/UIB+K KEBIRA-9813165</t>
  </si>
  <si>
    <t>P/ATTJ+TN-0085741</t>
  </si>
  <si>
    <t>P/STB+TN-0000639</t>
  </si>
  <si>
    <t>P/BH+KEBILI-6936331</t>
  </si>
  <si>
    <t>P/BT+BEN AROUS-2025289</t>
  </si>
  <si>
    <t>P/AMEN B+KALLAT EL AND</t>
  </si>
  <si>
    <t>P/BIAT+RAOUED-0004182</t>
  </si>
  <si>
    <t>P/BZ+GABES-4000369</t>
  </si>
  <si>
    <t>D/UIB+K KEBIRA-9813164</t>
  </si>
  <si>
    <t>P/STB+FOUCHANA-0004654</t>
  </si>
  <si>
    <t>P/ATB+HAMAMMET-0000271</t>
  </si>
  <si>
    <t>P/BIAT+KELIBIA-0006594</t>
  </si>
  <si>
    <t>P/STB+TN-0000638</t>
  </si>
  <si>
    <t>P/BZ+GABES-4000368</t>
  </si>
  <si>
    <t>P/ATTJ+TN-0085740</t>
  </si>
  <si>
    <t>P/BIAT+RAOUED-0004181</t>
  </si>
  <si>
    <t>D/UIB+K KEBIRA-9813163</t>
  </si>
  <si>
    <t>P/BTL+TN-4000176</t>
  </si>
  <si>
    <t>P/BTL+TN-4000160</t>
  </si>
  <si>
    <t>P/BZ+GABES-4000367</t>
  </si>
  <si>
    <t>P/BNA+TESTOUR-9834884</t>
  </si>
  <si>
    <t>P/ATB+DJERBA-0000403</t>
  </si>
  <si>
    <t>D/UIB+K KEBIRA-9885280</t>
  </si>
  <si>
    <t>D/UIB+K KEBIRA-9813162</t>
  </si>
  <si>
    <t>P/BNA+SFAX-8218528</t>
  </si>
  <si>
    <t>P/UIB+IBN KHALDOUN-470</t>
  </si>
  <si>
    <t>P/UBCI+AV DE CART-2533</t>
  </si>
  <si>
    <t>p/al barak+tn-9040233</t>
  </si>
  <si>
    <t>p/albarak+tn-9018346</t>
  </si>
  <si>
    <t>P/ATB+HAMAMMET-0000269</t>
  </si>
  <si>
    <t>P/STB+KELIBIA-0001255</t>
  </si>
  <si>
    <t>P/UBCI+MENIHLA-2303900</t>
  </si>
  <si>
    <t>P/BT+SILI-2137637</t>
  </si>
  <si>
    <t>P/ATTIJ BK+JEND-004947</t>
  </si>
  <si>
    <t>P/UIB+ZERZIS-9534352</t>
  </si>
  <si>
    <t>p/bz+djerba-4003665</t>
  </si>
  <si>
    <t>D/BNA+KAIROUAN-0252715</t>
  </si>
  <si>
    <t>P/STB+FOUCHANA-0004653</t>
  </si>
  <si>
    <t>D/UBCI+TEBOULBA-247822</t>
  </si>
  <si>
    <t>P/BIAT+RAOUED-0004179</t>
  </si>
  <si>
    <t>P/UIB+NAFTA-9894977</t>
  </si>
  <si>
    <t>P/UBCI+ZERZIS-2296271</t>
  </si>
  <si>
    <t>D/UIB+K KEBIRA-9813161</t>
  </si>
  <si>
    <t>P/STB+HAMMAMET-0000254</t>
  </si>
  <si>
    <t>P/STB+FOUCHANA-0004652</t>
  </si>
  <si>
    <t>P/ALBARKA+GABES-899438</t>
  </si>
  <si>
    <t>P/BZ+GABES-4000366</t>
  </si>
  <si>
    <t>P/BIAT+RAOUED-0004178</t>
  </si>
  <si>
    <t>P/STB+TABARKA-0000045</t>
  </si>
  <si>
    <t>P/BNA+ERROUHIA-0266064</t>
  </si>
  <si>
    <t>P/BNA+TESTOUR-9834883</t>
  </si>
  <si>
    <t>P/STB+REDAYEF-0000501</t>
  </si>
  <si>
    <t>D/UIB+K KEBIRA-9813160</t>
  </si>
  <si>
    <t>D/BNA+KAIROUAN-0252714</t>
  </si>
  <si>
    <t>D/BNA+MAHRES-0850932</t>
  </si>
  <si>
    <t>P/BT+GROMBALIA-2070139</t>
  </si>
  <si>
    <t>P/ATB+HAMAMMET-0000268</t>
  </si>
  <si>
    <t>P/QNB+GABES-0006196</t>
  </si>
  <si>
    <t>P/BZ+SFAX-4001136</t>
  </si>
  <si>
    <t>P/BIAT+RAOUED-0004177</t>
  </si>
  <si>
    <t>P/BH+KEBILI-6936332</t>
  </si>
  <si>
    <t>D/ZITOUNA+KAIROUAN-400</t>
  </si>
  <si>
    <t>P/BT+MEDJEZ EL BAB-226</t>
  </si>
  <si>
    <t>P/STB+EL MOUROUJ-00042</t>
  </si>
  <si>
    <t>P/UBCI+MONTFLEURY-2359</t>
  </si>
  <si>
    <t>P/UIB+RAS JEBAL-133308</t>
  </si>
  <si>
    <t>P/BT+BAB SAADOUN-13799</t>
  </si>
  <si>
    <t>P/ATTIJ BK+MATEUR-0020</t>
  </si>
  <si>
    <t>FN240033</t>
  </si>
  <si>
    <t>START BATTERIES</t>
  </si>
  <si>
    <t>MATADOR ALGERIE</t>
  </si>
  <si>
    <t>ACCUMA 09</t>
  </si>
  <si>
    <t>ACCUMA 10</t>
  </si>
  <si>
    <t>AKKUMPLAST 02</t>
  </si>
  <si>
    <t>EXPRESS TRANSIT</t>
  </si>
  <si>
    <t>STE BEN M'BAREK BUREAUTIQE</t>
  </si>
  <si>
    <t>COMPTOIR AGRICOLE INDUSTRIEL</t>
  </si>
  <si>
    <t>REIMEX</t>
  </si>
  <si>
    <t>GRENOBLE SERVICE</t>
  </si>
  <si>
    <t>MORGAN CARBON TUNISIA</t>
  </si>
  <si>
    <t>EEI</t>
  </si>
  <si>
    <t>CONTRAT N°0000921650</t>
  </si>
  <si>
    <t>STE LA REVOLUTION MOTEUR</t>
  </si>
  <si>
    <t>STE EL MABROUK</t>
  </si>
  <si>
    <t>STE ALLO-BATTERIE</t>
  </si>
  <si>
    <t>S P A E</t>
  </si>
  <si>
    <t>STE BECHEIKH FLEXIBLE "SBF"</t>
  </si>
  <si>
    <t>STE HERITIERS MHAMED SOUGUA</t>
  </si>
  <si>
    <t>SOCIETE AROUS QUINCAILLERIE</t>
  </si>
  <si>
    <t>STE KHARAT DE PCES DE RECHAN</t>
  </si>
  <si>
    <t>NACEUR MARAOUI</t>
  </si>
  <si>
    <t>STE SAT INFINITIF</t>
  </si>
  <si>
    <t>STE SUD MOTORS SRVIVES AUTO</t>
  </si>
  <si>
    <t>KHALFA ABDELKADER</t>
  </si>
  <si>
    <t>HAMDI BATTERIES</t>
  </si>
  <si>
    <t>STE     L A S      DES PNEUS</t>
  </si>
  <si>
    <t>YOSRI BAAZAOUI</t>
  </si>
  <si>
    <t>STE KRIAA GENERALE PIECES</t>
  </si>
  <si>
    <t>GENERALE PIECES DE RECHANGES</t>
  </si>
  <si>
    <t>STE MONDE.PIECES.RECHANGE</t>
  </si>
  <si>
    <t>BELHOULA ABDELKARIM</t>
  </si>
  <si>
    <t>STE COMMERCIALE PIECES AUTOS</t>
  </si>
  <si>
    <t>SOCIETE AUTO FIVE</t>
  </si>
  <si>
    <t>STE BEN MARIEM AUTO</t>
  </si>
  <si>
    <t>COMPTOIR GABOUDIA</t>
  </si>
  <si>
    <t>STE DE COM&amp;DE DEV DE LA PROD</t>
  </si>
  <si>
    <t>STE AJYED DE PIECES AUTOS</t>
  </si>
  <si>
    <t>24401246</t>
  </si>
  <si>
    <t>24401252</t>
  </si>
  <si>
    <t>24401225</t>
  </si>
  <si>
    <t>24401243</t>
  </si>
  <si>
    <t>24401224</t>
  </si>
  <si>
    <t>24401253</t>
  </si>
  <si>
    <t>24401223</t>
  </si>
  <si>
    <t>24401259</t>
  </si>
  <si>
    <t>24401251</t>
  </si>
  <si>
    <t>24401258</t>
  </si>
  <si>
    <t>24124136</t>
  </si>
  <si>
    <t>24124135</t>
  </si>
  <si>
    <t>24401215</t>
  </si>
  <si>
    <t>24124134</t>
  </si>
  <si>
    <t>24301284</t>
  </si>
  <si>
    <t>24124133</t>
  </si>
  <si>
    <t>24124132</t>
  </si>
  <si>
    <t>24124131</t>
  </si>
  <si>
    <t>24601174</t>
  </si>
  <si>
    <t>24401204</t>
  </si>
  <si>
    <t>24301283</t>
  </si>
  <si>
    <t>24301282</t>
  </si>
  <si>
    <t>24401257</t>
  </si>
  <si>
    <t>24401250</t>
  </si>
  <si>
    <t>24401267</t>
  </si>
  <si>
    <t>24401185</t>
  </si>
  <si>
    <t>24301252</t>
  </si>
  <si>
    <t>24301267</t>
  </si>
  <si>
    <t>24124095</t>
  </si>
  <si>
    <t>24124107</t>
  </si>
  <si>
    <t>24401206</t>
  </si>
  <si>
    <t>24301243</t>
  </si>
  <si>
    <t>24124057</t>
  </si>
  <si>
    <t>24124084</t>
  </si>
  <si>
    <t>24401158</t>
  </si>
  <si>
    <t>24301288</t>
  </si>
  <si>
    <t>24601178</t>
  </si>
  <si>
    <t>24601179</t>
  </si>
  <si>
    <t>24401249</t>
  </si>
  <si>
    <t>24401214</t>
  </si>
  <si>
    <t>24301281</t>
  </si>
  <si>
    <t>24124130</t>
  </si>
  <si>
    <t>24124085</t>
  </si>
  <si>
    <t>24124129</t>
  </si>
  <si>
    <t>24601181</t>
  </si>
  <si>
    <t>24401194</t>
  </si>
  <si>
    <t>24124106</t>
  </si>
  <si>
    <t>24124128</t>
  </si>
  <si>
    <t>24401265</t>
  </si>
  <si>
    <t>24124127</t>
  </si>
  <si>
    <t>24124126</t>
  </si>
  <si>
    <t>24124201</t>
  </si>
  <si>
    <t>24301280</t>
  </si>
  <si>
    <t>24124125</t>
  </si>
  <si>
    <t>24301287</t>
  </si>
  <si>
    <t>24124200</t>
  </si>
  <si>
    <t>24601177</t>
  </si>
  <si>
    <t>24401244</t>
  </si>
  <si>
    <t>24401242</t>
  </si>
  <si>
    <t>24401221</t>
  </si>
  <si>
    <t>24401248</t>
  </si>
  <si>
    <t>24301242</t>
  </si>
  <si>
    <t>24301304</t>
  </si>
  <si>
    <t>24301189</t>
  </si>
  <si>
    <t>24124105</t>
  </si>
  <si>
    <t>24124056</t>
  </si>
  <si>
    <t>24401192</t>
  </si>
  <si>
    <t>24601162</t>
  </si>
  <si>
    <t>24601158</t>
  </si>
  <si>
    <t>24601173</t>
  </si>
  <si>
    <t>24601176</t>
  </si>
  <si>
    <t>24301266</t>
  </si>
  <si>
    <t>24124080</t>
  </si>
  <si>
    <t>24124104</t>
  </si>
  <si>
    <t>24124199</t>
  </si>
  <si>
    <t>24124184</t>
  </si>
  <si>
    <t>24124008</t>
  </si>
  <si>
    <t>24601142</t>
  </si>
  <si>
    <t>24301220</t>
  </si>
  <si>
    <t>24124121</t>
  </si>
  <si>
    <t>24301303</t>
  </si>
  <si>
    <t>24124198</t>
  </si>
  <si>
    <t>24301286</t>
  </si>
  <si>
    <t>24124180</t>
  </si>
  <si>
    <t>24401191</t>
  </si>
  <si>
    <t>24124007</t>
  </si>
  <si>
    <t>24601126</t>
  </si>
  <si>
    <t>24401266</t>
  </si>
  <si>
    <t>24401169</t>
  </si>
  <si>
    <t>24301257</t>
  </si>
  <si>
    <t>24124140</t>
  </si>
  <si>
    <t>24124165</t>
  </si>
  <si>
    <t>24123958</t>
  </si>
  <si>
    <t>24124185</t>
  </si>
  <si>
    <t>24301219</t>
  </si>
  <si>
    <t>24301279</t>
  </si>
  <si>
    <t>24124197</t>
  </si>
  <si>
    <t>24124202</t>
  </si>
  <si>
    <t>24601141</t>
  </si>
  <si>
    <t>24124006</t>
  </si>
  <si>
    <t>24301278</t>
  </si>
  <si>
    <t>24124196</t>
  </si>
  <si>
    <t>24801134</t>
  </si>
  <si>
    <t>24801137</t>
  </si>
  <si>
    <t>24801147</t>
  </si>
  <si>
    <t>24701079</t>
  </si>
  <si>
    <t>24601172</t>
  </si>
  <si>
    <t>24601159</t>
  </si>
  <si>
    <t>24401276</t>
  </si>
  <si>
    <t>24401220</t>
  </si>
  <si>
    <t>24401272</t>
  </si>
  <si>
    <t>24401168</t>
  </si>
  <si>
    <t>24301249</t>
  </si>
  <si>
    <t>24301244</t>
  </si>
  <si>
    <t>24301241</t>
  </si>
  <si>
    <t>24301234</t>
  </si>
  <si>
    <t>24301270</t>
  </si>
  <si>
    <t>24301233</t>
  </si>
  <si>
    <t>24301295</t>
  </si>
  <si>
    <t>24301302</t>
  </si>
  <si>
    <t>24301256</t>
  </si>
  <si>
    <t>24301188</t>
  </si>
  <si>
    <t>24124147</t>
  </si>
  <si>
    <t>24124093</t>
  </si>
  <si>
    <t>24124144</t>
  </si>
  <si>
    <t>24124110</t>
  </si>
  <si>
    <t>24124206</t>
  </si>
  <si>
    <t>24124172</t>
  </si>
  <si>
    <t>24124145</t>
  </si>
  <si>
    <t>24124072</t>
  </si>
  <si>
    <t>24124123</t>
  </si>
  <si>
    <t>24124122</t>
  </si>
  <si>
    <t>24124216</t>
  </si>
  <si>
    <t>24124066</t>
  </si>
  <si>
    <t>24124079</t>
  </si>
  <si>
    <t>24124081</t>
  </si>
  <si>
    <t>24124213</t>
  </si>
  <si>
    <t>24124112</t>
  </si>
  <si>
    <t>24124055</t>
  </si>
  <si>
    <t>24124114</t>
  </si>
  <si>
    <t>24124142</t>
  </si>
  <si>
    <t>24124155</t>
  </si>
  <si>
    <t>24124207</t>
  </si>
  <si>
    <t>24124168</t>
  </si>
  <si>
    <t>24124171</t>
  </si>
  <si>
    <t>24124174</t>
  </si>
  <si>
    <t>24124175</t>
  </si>
  <si>
    <t>24124046</t>
  </si>
  <si>
    <t>24124048</t>
  </si>
  <si>
    <t>24801124</t>
  </si>
  <si>
    <t>24301218</t>
  </si>
  <si>
    <t>24124204</t>
  </si>
  <si>
    <t>24124063</t>
  </si>
  <si>
    <t>24301232</t>
  </si>
  <si>
    <t>24124078</t>
  </si>
  <si>
    <t>24124005</t>
  </si>
  <si>
    <t>24801140</t>
  </si>
  <si>
    <t>24301231</t>
  </si>
  <si>
    <t>24301264</t>
  </si>
  <si>
    <t>24401262</t>
  </si>
  <si>
    <t>24701078</t>
  </si>
  <si>
    <t>24601135</t>
  </si>
  <si>
    <t>24601161</t>
  </si>
  <si>
    <t>24601127</t>
  </si>
  <si>
    <t>24601144</t>
  </si>
  <si>
    <t>24401165</t>
  </si>
  <si>
    <t>24301255</t>
  </si>
  <si>
    <t>24124092</t>
  </si>
  <si>
    <t>24124212</t>
  </si>
  <si>
    <t>24124071</t>
  </si>
  <si>
    <t>24124223</t>
  </si>
  <si>
    <t>24124044</t>
  </si>
  <si>
    <t>24301285</t>
  </si>
  <si>
    <t>24301301</t>
  </si>
  <si>
    <t>24124004</t>
  </si>
  <si>
    <t>24801135</t>
  </si>
  <si>
    <t>24801141</t>
  </si>
  <si>
    <t>24301217</t>
  </si>
  <si>
    <t>24124030</t>
  </si>
  <si>
    <t>24124203</t>
  </si>
  <si>
    <t>24401271</t>
  </si>
  <si>
    <t>24801127</t>
  </si>
  <si>
    <t>24301230</t>
  </si>
  <si>
    <t>24124195</t>
  </si>
  <si>
    <t>24801133</t>
  </si>
  <si>
    <t>24601131</t>
  </si>
  <si>
    <t>24601136</t>
  </si>
  <si>
    <t>24601132</t>
  </si>
  <si>
    <t>24601166</t>
  </si>
  <si>
    <t>24401275</t>
  </si>
  <si>
    <t>24401231</t>
  </si>
  <si>
    <t>24401164</t>
  </si>
  <si>
    <t>24301254</t>
  </si>
  <si>
    <t>24124070</t>
  </si>
  <si>
    <t>24124094</t>
  </si>
  <si>
    <t>24123950</t>
  </si>
  <si>
    <t>24124170</t>
  </si>
  <si>
    <t>24124045</t>
  </si>
  <si>
    <t>24124003</t>
  </si>
  <si>
    <t>24301300</t>
  </si>
  <si>
    <t>24701082</t>
  </si>
  <si>
    <t>24124082</t>
  </si>
  <si>
    <t>24124219</t>
  </si>
  <si>
    <t>24401274</t>
  </si>
  <si>
    <t>24301216</t>
  </si>
  <si>
    <t>24801113</t>
  </si>
  <si>
    <t>24801123</t>
  </si>
  <si>
    <t>24301263</t>
  </si>
  <si>
    <t>24601130</t>
  </si>
  <si>
    <t>24601128</t>
  </si>
  <si>
    <t>24601171</t>
  </si>
  <si>
    <t>24401218</t>
  </si>
  <si>
    <t>24401270</t>
  </si>
  <si>
    <t>24401161</t>
  </si>
  <si>
    <t>24301253</t>
  </si>
  <si>
    <t>24301240</t>
  </si>
  <si>
    <t>24301245</t>
  </si>
  <si>
    <t>24301296</t>
  </si>
  <si>
    <t>24301265</t>
  </si>
  <si>
    <t>24301206</t>
  </si>
  <si>
    <t>24124028</t>
  </si>
  <si>
    <t>24123948</t>
  </si>
  <si>
    <t>24124211</t>
  </si>
  <si>
    <t>24124002</t>
  </si>
  <si>
    <t>24124059</t>
  </si>
  <si>
    <t>24601146</t>
  </si>
  <si>
    <t>24601167</t>
  </si>
  <si>
    <t>24601163</t>
  </si>
  <si>
    <t>24401159</t>
  </si>
  <si>
    <t>24124215</t>
  </si>
  <si>
    <t>24401273</t>
  </si>
  <si>
    <t>24301299</t>
  </si>
  <si>
    <t>24801125</t>
  </si>
  <si>
    <t>24801132</t>
  </si>
  <si>
    <t>24701076</t>
  </si>
  <si>
    <t>24701085</t>
  </si>
  <si>
    <t>24601152</t>
  </si>
  <si>
    <t>24601129</t>
  </si>
  <si>
    <t>24601160</t>
  </si>
  <si>
    <t>24601170</t>
  </si>
  <si>
    <t>24601134</t>
  </si>
  <si>
    <t>24401255</t>
  </si>
  <si>
    <t>24401227</t>
  </si>
  <si>
    <t>24301290</t>
  </si>
  <si>
    <t>24301205</t>
  </si>
  <si>
    <t>24301268</t>
  </si>
  <si>
    <t>24301193</t>
  </si>
  <si>
    <t>24124169</t>
  </si>
  <si>
    <t>24124115</t>
  </si>
  <si>
    <t>24124193</t>
  </si>
  <si>
    <t>24124029</t>
  </si>
  <si>
    <t>24123954</t>
  </si>
  <si>
    <t>24123949</t>
  </si>
  <si>
    <t>24124179</t>
  </si>
  <si>
    <t>24124190</t>
  </si>
  <si>
    <t>24124205</t>
  </si>
  <si>
    <t>24123936</t>
  </si>
  <si>
    <t>24801126</t>
  </si>
  <si>
    <t>24123937</t>
  </si>
  <si>
    <t>24801112</t>
  </si>
  <si>
    <t>24601168</t>
  </si>
  <si>
    <t>24401269</t>
  </si>
  <si>
    <t>24301260</t>
  </si>
  <si>
    <t>24124210</t>
  </si>
  <si>
    <t>24124086</t>
  </si>
  <si>
    <t>24123994</t>
  </si>
  <si>
    <t>24801118</t>
  </si>
  <si>
    <t>24801128</t>
  </si>
  <si>
    <t>24601145</t>
  </si>
  <si>
    <t>24301192</t>
  </si>
  <si>
    <t>24401278</t>
  </si>
  <si>
    <t>24301204</t>
  </si>
  <si>
    <t>24123973</t>
  </si>
  <si>
    <t>24123941</t>
  </si>
  <si>
    <t>24123976</t>
  </si>
  <si>
    <t>24123972</t>
  </si>
  <si>
    <t>24124015</t>
  </si>
  <si>
    <t>24123921</t>
  </si>
  <si>
    <t>24801148</t>
  </si>
  <si>
    <t>24124194</t>
  </si>
  <si>
    <t>24801101</t>
  </si>
  <si>
    <t>24301191</t>
  </si>
  <si>
    <t>24123993</t>
  </si>
  <si>
    <t>24801145</t>
  </si>
  <si>
    <t>24701070</t>
  </si>
  <si>
    <t>24601169</t>
  </si>
  <si>
    <t>24801114</t>
  </si>
  <si>
    <t>24701056</t>
  </si>
  <si>
    <t>24701063</t>
  </si>
  <si>
    <t>24601182</t>
  </si>
  <si>
    <t>24601143</t>
  </si>
  <si>
    <t>24601151</t>
  </si>
  <si>
    <t>24601117</t>
  </si>
  <si>
    <t>24401226</t>
  </si>
  <si>
    <t>24401268</t>
  </si>
  <si>
    <t>24401172</t>
  </si>
  <si>
    <t>24401208</t>
  </si>
  <si>
    <t>24401160</t>
  </si>
  <si>
    <t>24401187</t>
  </si>
  <si>
    <t>24401212</t>
  </si>
  <si>
    <t>24301289</t>
  </si>
  <si>
    <t>24301203</t>
  </si>
  <si>
    <t>24301226</t>
  </si>
  <si>
    <t>24301269</t>
  </si>
  <si>
    <t>24124089</t>
  </si>
  <si>
    <t>24124143</t>
  </si>
  <si>
    <t>24124064</t>
  </si>
  <si>
    <t>24124060</t>
  </si>
  <si>
    <t>24124192</t>
  </si>
  <si>
    <t>24124049</t>
  </si>
  <si>
    <t>24124098</t>
  </si>
  <si>
    <t>24124103</t>
  </si>
  <si>
    <t>24124108</t>
  </si>
  <si>
    <t>24124116</t>
  </si>
  <si>
    <t>24124117</t>
  </si>
  <si>
    <t>24124119</t>
  </si>
  <si>
    <t>24124138</t>
  </si>
  <si>
    <t>24123947</t>
  </si>
  <si>
    <t>24124160</t>
  </si>
  <si>
    <t>24124022</t>
  </si>
  <si>
    <t>24124025</t>
  </si>
  <si>
    <t>24124026</t>
  </si>
  <si>
    <t>24124053</t>
  </si>
  <si>
    <t>24123966</t>
  </si>
  <si>
    <t>24124050</t>
  </si>
  <si>
    <t>24124001</t>
  </si>
  <si>
    <t>24124036</t>
  </si>
  <si>
    <t>24123919</t>
  </si>
  <si>
    <t>24123922</t>
  </si>
  <si>
    <t>24123928</t>
  </si>
  <si>
    <t>24801131</t>
  </si>
  <si>
    <t>24801108</t>
  </si>
  <si>
    <t>24801150</t>
  </si>
  <si>
    <t>24801096</t>
  </si>
  <si>
    <t>24701081</t>
  </si>
  <si>
    <t>24701064</t>
  </si>
  <si>
    <t>24701060</t>
  </si>
  <si>
    <t>24601137</t>
  </si>
  <si>
    <t>24401219</t>
  </si>
  <si>
    <t>24401254</t>
  </si>
  <si>
    <t>24401216</t>
  </si>
  <si>
    <t>24401170</t>
  </si>
  <si>
    <t>24301228</t>
  </si>
  <si>
    <t>24301187</t>
  </si>
  <si>
    <t>24301258</t>
  </si>
  <si>
    <t>24301213</t>
  </si>
  <si>
    <t>24301274</t>
  </si>
  <si>
    <t>24301275</t>
  </si>
  <si>
    <t>24301238</t>
  </si>
  <si>
    <t>24301277</t>
  </si>
  <si>
    <t>24124113</t>
  </si>
  <si>
    <t>24124083</t>
  </si>
  <si>
    <t>24124088</t>
  </si>
  <si>
    <t>24124027</t>
  </si>
  <si>
    <t>24124090</t>
  </si>
  <si>
    <t>24124047</t>
  </si>
  <si>
    <t>24124154</t>
  </si>
  <si>
    <t>24124161</t>
  </si>
  <si>
    <t>24124167</t>
  </si>
  <si>
    <t>24124173</t>
  </si>
  <si>
    <t>24123940</t>
  </si>
  <si>
    <t>24124189</t>
  </si>
  <si>
    <t>24124052</t>
  </si>
  <si>
    <t>24123977</t>
  </si>
  <si>
    <t>24124011</t>
  </si>
  <si>
    <t>24124038</t>
  </si>
  <si>
    <t>24124014</t>
  </si>
  <si>
    <t>24123971</t>
  </si>
  <si>
    <t>24801119</t>
  </si>
  <si>
    <t>24124067</t>
  </si>
  <si>
    <t>24124058</t>
  </si>
  <si>
    <t>24701069</t>
  </si>
  <si>
    <t>24401277</t>
  </si>
  <si>
    <t>24401190</t>
  </si>
  <si>
    <t>24124077</t>
  </si>
  <si>
    <t>24124120</t>
  </si>
  <si>
    <t>24801104</t>
  </si>
  <si>
    <t>24601150</t>
  </si>
  <si>
    <t>24124031</t>
  </si>
  <si>
    <t>24124221</t>
  </si>
  <si>
    <t>24701072</t>
  </si>
  <si>
    <t>24301202</t>
  </si>
  <si>
    <t>24124054</t>
  </si>
  <si>
    <t>24124214</t>
  </si>
  <si>
    <t>24124034</t>
  </si>
  <si>
    <t>24124209</t>
  </si>
  <si>
    <t>24124012</t>
  </si>
  <si>
    <t>24301223</t>
  </si>
  <si>
    <t>24124159</t>
  </si>
  <si>
    <t>24601148</t>
  </si>
  <si>
    <t>24123917</t>
  </si>
  <si>
    <t>24301294</t>
  </si>
  <si>
    <t>24801120</t>
  </si>
  <si>
    <t>24701057</t>
  </si>
  <si>
    <t>24601157</t>
  </si>
  <si>
    <t>24401183</t>
  </si>
  <si>
    <t>24301194</t>
  </si>
  <si>
    <t>24301201</t>
  </si>
  <si>
    <t>24124097</t>
  </si>
  <si>
    <t>24124118</t>
  </si>
  <si>
    <t>24123946</t>
  </si>
  <si>
    <t>24124191</t>
  </si>
  <si>
    <t>24123989</t>
  </si>
  <si>
    <t>24123969</t>
  </si>
  <si>
    <t>24801143</t>
  </si>
  <si>
    <t>24124217</t>
  </si>
  <si>
    <t>24124019</t>
  </si>
  <si>
    <t>24123918</t>
  </si>
  <si>
    <t>24123945</t>
  </si>
  <si>
    <t>24124183</t>
  </si>
  <si>
    <t>24123983</t>
  </si>
  <si>
    <t>24124182</t>
  </si>
  <si>
    <t>24801099</t>
  </si>
  <si>
    <t>24124042</t>
  </si>
  <si>
    <t>24701084</t>
  </si>
  <si>
    <t>24701083</t>
  </si>
  <si>
    <t>24701080</t>
  </si>
  <si>
    <t>D/BIAT+MONASTIR-000741</t>
  </si>
  <si>
    <t>P/UIB+SOUSSE-1052574</t>
  </si>
  <si>
    <t>D/UIB+TEBOULBA-1540335</t>
  </si>
  <si>
    <t>D/UIB+TEBOULBA-1540332</t>
  </si>
  <si>
    <t>P/STB+KELIBIA-0010800</t>
  </si>
  <si>
    <t>P/STB+KELIBIA-0010799</t>
  </si>
  <si>
    <t>D/BNA+JEMMAL-0181979</t>
  </si>
  <si>
    <t>P/STB+KELIBIA-0010798</t>
  </si>
  <si>
    <t>D/BIAT+BIR ALI-0003950</t>
  </si>
  <si>
    <t>P/STB+KELIBIA-0010797</t>
  </si>
  <si>
    <t>P/STB+KELIBIA-0010796</t>
  </si>
  <si>
    <t>P/STB+KELIBIA-0010795</t>
  </si>
  <si>
    <t>P/UBCI+GABES-2708404</t>
  </si>
  <si>
    <t>D/BH+MOKNINE-6315924</t>
  </si>
  <si>
    <t>D/BIAT+BIR ALI-0003949</t>
  </si>
  <si>
    <t>D/BIAT+BIR ALI-0003948</t>
  </si>
  <si>
    <t>D/UIB+TEBOULBA-1540331</t>
  </si>
  <si>
    <t>D/AMEN+MOKNINE-5046208</t>
  </si>
  <si>
    <t>P/BIAT+H.SOUSSE-875151</t>
  </si>
  <si>
    <t>P/BH+SFAX-6825393</t>
  </si>
  <si>
    <t>P/ATB+SFAX-0000277</t>
  </si>
  <si>
    <t>P/BIAT+BEN AROUS-00023</t>
  </si>
  <si>
    <t>P/STB+FOUCHANA-0000655</t>
  </si>
  <si>
    <t>D/BH+MOKNINE-6315923</t>
  </si>
  <si>
    <t>D/BNA+MAHRES-1143921</t>
  </si>
  <si>
    <t>P/STB+GROMBALIA-000110</t>
  </si>
  <si>
    <t>P/UIB+SOUSSE-1052566</t>
  </si>
  <si>
    <t>P/BIAT+SFAX-0008804</t>
  </si>
  <si>
    <t>P/UBCI+GABES-2708405</t>
  </si>
  <si>
    <t>P/UBCI+GABES-2708474</t>
  </si>
  <si>
    <t>D/BNA+JEMMAL-0181978</t>
  </si>
  <si>
    <t>D/BIAT+BIR ALI-0003947</t>
  </si>
  <si>
    <t>P/STB+KELIBIA-0010793</t>
  </si>
  <si>
    <t>P/STB+GROMBALIA-000109</t>
  </si>
  <si>
    <t>P/STB+KELIBIA-0010792</t>
  </si>
  <si>
    <t>P/UBCI+GABES-2708475</t>
  </si>
  <si>
    <t>D/UIB+TEBOULBA-1540282</t>
  </si>
  <si>
    <t>P/STB+FOUCHANA-0000654</t>
  </si>
  <si>
    <t>P/STB+KELIBIA-0010791</t>
  </si>
  <si>
    <t>D/AMEN+MOKNINE-5046206</t>
  </si>
  <si>
    <t>P/STB+KELIBIA-0010790</t>
  </si>
  <si>
    <t>P/STB+KELIBIA-0010789</t>
  </si>
  <si>
    <t>P/TSB+TN-9768799</t>
  </si>
  <si>
    <t>D/BIAT+BIR ALI-0003946</t>
  </si>
  <si>
    <t>P/STB+KELIBIA-0010788</t>
  </si>
  <si>
    <t>P/BIAT+SFAX-0008803</t>
  </si>
  <si>
    <t>P/TSB+TN-9768798</t>
  </si>
  <si>
    <t>P/UBCI+GABES-2708402</t>
  </si>
  <si>
    <t>P/UIB+SOUSSE-9969881</t>
  </si>
  <si>
    <t>D/ALBARAKA+MSAKEN-9065</t>
  </si>
  <si>
    <t>D/ZITOUNA+MAHDIA-40012</t>
  </si>
  <si>
    <t>D/BNA+MAHRES-1143920</t>
  </si>
  <si>
    <t>D/BNA+BNA-1315679</t>
  </si>
  <si>
    <t>P/STB+SFAX-0008707</t>
  </si>
  <si>
    <t>P/STB+FOUCHANA-0000653</t>
  </si>
  <si>
    <t>D/UIB+TEBOULBA-1540281</t>
  </si>
  <si>
    <t>P/ZITOUNA+DJERBA-40036</t>
  </si>
  <si>
    <t>P/STB+MEDENINE-0000503</t>
  </si>
  <si>
    <t>P/UBCI+GABES-2708403</t>
  </si>
  <si>
    <t>P/UBCI+GABES-2708401</t>
  </si>
  <si>
    <t>P/ATB+SFAX-0000276</t>
  </si>
  <si>
    <t>P/BT+BEN AROUS-2425732</t>
  </si>
  <si>
    <t>P/STB+FOUCHANA-0000652</t>
  </si>
  <si>
    <t>P/TSB+TN-9768797</t>
  </si>
  <si>
    <t>P/ATB+BENI KHIAR-00004</t>
  </si>
  <si>
    <t>P/BIAT+TN-0004218</t>
  </si>
  <si>
    <t>P/ATB+GABES-0000807</t>
  </si>
  <si>
    <t>D/BIAT+BIR ALI-0003917</t>
  </si>
  <si>
    <t>P/STB+HAMMAMET-0002274</t>
  </si>
  <si>
    <t>D/BNA+CHEBBA-1315678</t>
  </si>
  <si>
    <t>P/TSB+TN-9768796</t>
  </si>
  <si>
    <t>P/BIAT+SFAX-0008802</t>
  </si>
  <si>
    <t>P/BIAT+KELIBIA-0006632</t>
  </si>
  <si>
    <t>D/UIB+TEBOULBA-1540280</t>
  </si>
  <si>
    <t>P/BIAT+TN-0004217</t>
  </si>
  <si>
    <t>P/UBCI+GABES-2553129</t>
  </si>
  <si>
    <t>D/AMEN+MOKNINE-5046207</t>
  </si>
  <si>
    <t>P/BIAT+SFAX-0002906</t>
  </si>
  <si>
    <t>P/ATB+HAMMAMET-0000279</t>
  </si>
  <si>
    <t>P/BQ ZAIT+TN-4000357</t>
  </si>
  <si>
    <t>D/BIAT+BIR ALI-0003916</t>
  </si>
  <si>
    <t>P/BIAT+SFAX-0008666</t>
  </si>
  <si>
    <t>P/TSB+TN-9768795</t>
  </si>
  <si>
    <t>P/BT+MENIHLA-2486872</t>
  </si>
  <si>
    <t>p/ATB+GABES-0000806</t>
  </si>
  <si>
    <t>P/BIAT+TN-0004216</t>
  </si>
  <si>
    <t>P/BIAT+SFAX-0008665</t>
  </si>
  <si>
    <t>P/TSB+TN-9768794</t>
  </si>
  <si>
    <t>P/BNA+TESTOUR-9834891</t>
  </si>
  <si>
    <t>P/BT+SILI-2429671</t>
  </si>
  <si>
    <t>P/BH+SILI-5865956</t>
  </si>
  <si>
    <t>P/UIB+BEN AOUN-2331148</t>
  </si>
  <si>
    <t>P/UIB+GABES-9807891</t>
  </si>
  <si>
    <t>P/UBCI+ZARZIS-2296289</t>
  </si>
  <si>
    <t>P/ATB+H.SOUSSE-0000566</t>
  </si>
  <si>
    <t>D/BT+KAIROUAN-2326203</t>
  </si>
  <si>
    <t>P/UIB+KALAA KEBIRA-992</t>
  </si>
  <si>
    <t>P/AB+SFAX-3979441</t>
  </si>
  <si>
    <t>P/BNA+SFAX-8218540</t>
  </si>
  <si>
    <t>D/BNA+MAHRES-1143919</t>
  </si>
  <si>
    <t>P/STB+SFAX-0009973</t>
  </si>
  <si>
    <t>P/BIAT+SFAX-0001905</t>
  </si>
  <si>
    <t>P/STB+SFAX-0009974</t>
  </si>
  <si>
    <t>P/UBCI+SFAX-2804428</t>
  </si>
  <si>
    <t>D/BNA+CHEBBA-1315677</t>
  </si>
  <si>
    <t>P/BIAT+SFAX-0002905</t>
  </si>
  <si>
    <t>P/STB+SFAX-0008706</t>
  </si>
  <si>
    <t>P/BTE+SFAX-7000014</t>
  </si>
  <si>
    <t>P/UBCI+MORNEG-1958644</t>
  </si>
  <si>
    <t>P/BTL+DENDEN-4000195</t>
  </si>
  <si>
    <t>P/BIAT+TN-0001277</t>
  </si>
  <si>
    <t>P/BNA+ARIANA-8011462</t>
  </si>
  <si>
    <t>P/UIB+TN-4706125</t>
  </si>
  <si>
    <t>P/STB+KELIBIA-0001292</t>
  </si>
  <si>
    <t>P/STB+TN-0005255</t>
  </si>
  <si>
    <t>P/BT+BEN AROUS-2425731</t>
  </si>
  <si>
    <t>P/BQ ZAIT+ENNASR-40017</t>
  </si>
  <si>
    <t>P/EL BARAK+H LIF-90183</t>
  </si>
  <si>
    <t>P/AL BARAK+H LIF-90402</t>
  </si>
  <si>
    <t>P/ATB+HAMMAMET-0000278</t>
  </si>
  <si>
    <t>P/BH+SIJOUMI-6429630</t>
  </si>
  <si>
    <t>P/BTL+DENDEN-4000182</t>
  </si>
  <si>
    <t>P/AMEN B+SIDI THABET-6</t>
  </si>
  <si>
    <t>P/BT+MENIHLA-2530469</t>
  </si>
  <si>
    <t>P/STB+EL FAHS-0004397</t>
  </si>
  <si>
    <t>P/STB+FOUCHANA-0004667</t>
  </si>
  <si>
    <t>P/UBCI+MENIHLA-2303925</t>
  </si>
  <si>
    <t>P/UBCI+KEF-2485199</t>
  </si>
  <si>
    <t>D/BIAT+BIR ALI-0003915</t>
  </si>
  <si>
    <t>P/BT+MENIHLA-2486870</t>
  </si>
  <si>
    <t>P/BTL+DENDEN-4000006</t>
  </si>
  <si>
    <t>P/STB+SFAX-0009972</t>
  </si>
  <si>
    <t>P/BT+BEN AROUS-2425730</t>
  </si>
  <si>
    <t>P/BAIT+TN-0004215</t>
  </si>
  <si>
    <t>P/BTK+BEJA-9109077</t>
  </si>
  <si>
    <t>P/STB+SFAX-0009971</t>
  </si>
  <si>
    <t>P/AB+SFAX-5837117</t>
  </si>
  <si>
    <t>D/BNA+JEMMAL-0732518</t>
  </si>
  <si>
    <t>P/UIB+NAFTA-9894937</t>
  </si>
  <si>
    <t>P/UBCI+GABES-2553120</t>
  </si>
  <si>
    <t>P/UBCI+ZARZIS-2296291</t>
  </si>
  <si>
    <t>P/UBCI+GABES-2553128</t>
  </si>
  <si>
    <t>P/BIAT+SFAX-0002904</t>
  </si>
  <si>
    <t>P/UBCI+MORNEG-1958643</t>
  </si>
  <si>
    <t>P/UIB+TN-4706124</t>
  </si>
  <si>
    <t>p/bna+tn-0201503</t>
  </si>
  <si>
    <t>P/STB+FOUCHANA-0004668</t>
  </si>
  <si>
    <t>P/BIAT+SFAX-0008801</t>
  </si>
  <si>
    <t>D/BNA+CHEBBA-1315676</t>
  </si>
  <si>
    <t>P/BIAT+TN-0004214</t>
  </si>
  <si>
    <t>P/STB+TABARKA-0000080</t>
  </si>
  <si>
    <t>P/BTK+BEJA-8921450</t>
  </si>
  <si>
    <t>D/BIAT+BIR ALI-0003914</t>
  </si>
  <si>
    <t>P/BT+MENIHLA-2486873</t>
  </si>
  <si>
    <t>P/STB+SFAX-0009970</t>
  </si>
  <si>
    <t>P/TSB+TN-9768793</t>
  </si>
  <si>
    <t>P/BNA+TESTOUR-9834890</t>
  </si>
  <si>
    <t>P/UBCI+GABES-2553123</t>
  </si>
  <si>
    <t>P/UBCI+GABES-2553127</t>
  </si>
  <si>
    <t>P/UBCI+GABES-2553122</t>
  </si>
  <si>
    <t>p/biat+zerzis-0003964</t>
  </si>
  <si>
    <t>P/ATB+H.SOUSSE-0000590</t>
  </si>
  <si>
    <t>D/UIB+NAFTA-1831035</t>
  </si>
  <si>
    <t>P/BIAT+SFAX-0002903</t>
  </si>
  <si>
    <t>P/UIB+TN-4706123</t>
  </si>
  <si>
    <t>P/UBCI+MORNEG-1958645</t>
  </si>
  <si>
    <t>P/BIAT+ARIANA-0002755</t>
  </si>
  <si>
    <t>P/STB+FOUCHANA-0004666</t>
  </si>
  <si>
    <t>P/BIAT+TN-0004213</t>
  </si>
  <si>
    <t>D/BNA+CHEBBA-1315675</t>
  </si>
  <si>
    <t>P/WIFAK+SAIDA REGUEB-0</t>
  </si>
  <si>
    <t>p/bna+tn-0201500</t>
  </si>
  <si>
    <t>P/ATB+H.SOUSSE-0000589</t>
  </si>
  <si>
    <t>D/BIAT+BIR ALI-0003913</t>
  </si>
  <si>
    <t>P/ATIJ BK+BOUSALM-0043</t>
  </si>
  <si>
    <t>P/UBCI+KEF-2485198</t>
  </si>
  <si>
    <t>P/AB+SFAX-5837116</t>
  </si>
  <si>
    <t>P/UBCI+GABES-2553124</t>
  </si>
  <si>
    <t>P/UBCI+GABES-2553126</t>
  </si>
  <si>
    <t>P/AMEN+GABES-5753908</t>
  </si>
  <si>
    <t>D/BT+KAIROUAN-2326202</t>
  </si>
  <si>
    <t>D/BTE+KAIROUAN-6982451</t>
  </si>
  <si>
    <t>P/BIAT+SFAX-0002902</t>
  </si>
  <si>
    <t>D/BNA+MAHRES-1143918</t>
  </si>
  <si>
    <t>P/BNA+SFAX-8218539</t>
  </si>
  <si>
    <t>P/ZITOUNA+SFAX-4001407</t>
  </si>
  <si>
    <t>D/BIAT+CHEBBA-0000357</t>
  </si>
  <si>
    <t>P/UIB+SFAX-9972591</t>
  </si>
  <si>
    <t>P/UIB+HAMMAMET-2088221</t>
  </si>
  <si>
    <t>P/BIAT+ARIANA-0002754</t>
  </si>
  <si>
    <t>P/BIAT+TN-0004212</t>
  </si>
  <si>
    <t>P/BNA+TN-9592291</t>
  </si>
  <si>
    <t>p/biat+zerzis-0003963</t>
  </si>
  <si>
    <t>P/UIB+SOUSSE-2487272</t>
  </si>
  <si>
    <t>P/BTK+TN-9302408</t>
  </si>
  <si>
    <t>P/ATB+H.SOUSSE-0000588</t>
  </si>
  <si>
    <t>D/BNA+CHEBBA-1315674</t>
  </si>
  <si>
    <t>P/STB+SEDJ-0000179</t>
  </si>
  <si>
    <t>P/BNA+TESTOUR-9834889</t>
  </si>
  <si>
    <t>P/UIB+NAFTA-9894938</t>
  </si>
  <si>
    <t>P/UIB+KASSERINE-937794</t>
  </si>
  <si>
    <t>p/bz+gabes-4000791</t>
  </si>
  <si>
    <t>P/UBCI+GABES-2553125</t>
  </si>
  <si>
    <t>P/UBCI+ZARZIS-2296290</t>
  </si>
  <si>
    <t>P/AMEN+GABES-5753906</t>
  </si>
  <si>
    <t>P/UBCI+GABES-2553121</t>
  </si>
  <si>
    <t>D/UBCI+TEBOULBA-247824</t>
  </si>
  <si>
    <t>P/STB+SOUSSE-0000336</t>
  </si>
  <si>
    <t>P/UIB+SFAX-3966658</t>
  </si>
  <si>
    <t>P/UIB+SFAX-9972590</t>
  </si>
  <si>
    <t>P/BZ+SFAX-4004410</t>
  </si>
  <si>
    <t>P/BIAT+SFAX-0008601</t>
  </si>
  <si>
    <t>P/BH+RADES-4533249</t>
  </si>
  <si>
    <t>P/BT+HAMMAM LIF-233632</t>
  </si>
  <si>
    <t>P/STB+HAMMAMET-0002272</t>
  </si>
  <si>
    <t>P/BIAT+ARIANA-0002753</t>
  </si>
  <si>
    <t>P/BH+MEL BOURGUIBA-706</t>
  </si>
  <si>
    <t>P/STB+JEBENIANA-000036</t>
  </si>
  <si>
    <t>P/BT+MENIHLA-2486871</t>
  </si>
  <si>
    <t>p/biat+zerzis-0003962</t>
  </si>
  <si>
    <t>P/UIB+SFAX-9777959</t>
  </si>
  <si>
    <t>P/BIAT+NABEUL-0003300</t>
  </si>
  <si>
    <t>P/AB+TN-4451699</t>
  </si>
  <si>
    <t>P/BH+JEND-6896398</t>
  </si>
  <si>
    <t>P/BIAT+TESTOUR-0000510</t>
  </si>
  <si>
    <t>P/BIAT+SFAX-0008600</t>
  </si>
  <si>
    <t>P/BNA+SAHLOUL-1050092</t>
  </si>
  <si>
    <t>P/UIB+SFAX-9972588</t>
  </si>
  <si>
    <t>P/STB+TN-0004243</t>
  </si>
  <si>
    <t>P/BIAT+TN-0001753</t>
  </si>
  <si>
    <t>P/BTL+BEN AROUS-400009</t>
  </si>
  <si>
    <t>P/BIAT+TN-0006531</t>
  </si>
  <si>
    <t>P/BT+MENIHLA-2151936</t>
  </si>
  <si>
    <t>P/BIAT+JEND-0000036</t>
  </si>
  <si>
    <t>P/TSB+TN-9768792</t>
  </si>
  <si>
    <t>P/BIAT+JEND-0003367</t>
  </si>
  <si>
    <t>P/BIAT+SFAX-0008599</t>
  </si>
  <si>
    <t>P/AB+TN-4451698</t>
  </si>
  <si>
    <t>P/ZIT+BOUSALEM-4000686</t>
  </si>
  <si>
    <t>P/BNA+KEBILI-0579914</t>
  </si>
  <si>
    <t>P/AMEN+GABES-5753907</t>
  </si>
  <si>
    <t>P/BNA+ERROUHIA-0266069</t>
  </si>
  <si>
    <t>P/UIB+BENAOUN-2331142</t>
  </si>
  <si>
    <t>P/ATTIJARI+GAFSA-02530</t>
  </si>
  <si>
    <t>p/amen+djerba-4654113</t>
  </si>
  <si>
    <t>P/AMEN+GABES-5577535</t>
  </si>
  <si>
    <t>p/bna+gabes-8747018</t>
  </si>
  <si>
    <t>p/uib+gabes-9807880</t>
  </si>
  <si>
    <t>P/STB+SOUSSE-0000335</t>
  </si>
  <si>
    <t>P/STB+SOUSSE-0006691</t>
  </si>
  <si>
    <t>D/UBCI+TEBOULBA-201890</t>
  </si>
  <si>
    <t>D/BTE+KAIROUAN-6887716</t>
  </si>
  <si>
    <t>D/BT+BOUHAJLA-2127285</t>
  </si>
  <si>
    <t>D/ATB+KAIROUAN-0000274</t>
  </si>
  <si>
    <t>P/UBCI+SFAX-2492766</t>
  </si>
  <si>
    <t>P/UIB+SFAX-9972587</t>
  </si>
  <si>
    <t>D/UIB+CHEBBA-9991741</t>
  </si>
  <si>
    <t>P/BZ+SFAX-4004409</t>
  </si>
  <si>
    <t>P/BIAT+DAR CHABENE-000</t>
  </si>
  <si>
    <t>P/BTL+DENDEN-4000005</t>
  </si>
  <si>
    <t>P/BZ+TN-4004795</t>
  </si>
  <si>
    <t>P/ATB+EZZAHRA-0000537</t>
  </si>
  <si>
    <t>P/STB+ENFIDHA-0000244</t>
  </si>
  <si>
    <t>P/ATB+CITE EL KHADRA-0</t>
  </si>
  <si>
    <t>P/BH+EL MHAMEDIA-66940</t>
  </si>
  <si>
    <t>P/AMEN B+EL MOUROUJ-45</t>
  </si>
  <si>
    <t>P/STB+SOLIMAN-0000449</t>
  </si>
  <si>
    <t>P/STB+TN-0006647</t>
  </si>
  <si>
    <t>P/BIAT+ARIANA-0002752</t>
  </si>
  <si>
    <t>P/UIB+BEN AROUS-988857</t>
  </si>
  <si>
    <t>P/BTL+DENDEN-2443720</t>
  </si>
  <si>
    <t>P/BQ ZAIT+EL MOUROUJ-4</t>
  </si>
  <si>
    <t>P/ATTJ+TN-0110123</t>
  </si>
  <si>
    <t>P/UBCI+MORNEG-1958630</t>
  </si>
  <si>
    <t>P/ATTJ  BQ+KORBA-00879</t>
  </si>
  <si>
    <t>P/AMEN B+KORBA-5691919</t>
  </si>
  <si>
    <t>P/BTE+SFAX-7000000</t>
  </si>
  <si>
    <t>P/BTL+DENDEN-4000208</t>
  </si>
  <si>
    <t>P/BT+SILI-2289689</t>
  </si>
  <si>
    <t>P/STB+TESTOUR-0000579</t>
  </si>
  <si>
    <t>P/STB+TESTEUR-0000585</t>
  </si>
  <si>
    <t>P/BNA+BOUSALEM-0257839</t>
  </si>
  <si>
    <t>P/WIFAK+REGUEB-0000354</t>
  </si>
  <si>
    <t>P/ATB+METLAOUI-0000368</t>
  </si>
  <si>
    <t>P/BNA+MEKNASY-0620349</t>
  </si>
  <si>
    <t>P/AMEN+GABES-3675339</t>
  </si>
  <si>
    <t>D/BT+KAIROUAN-2326201</t>
  </si>
  <si>
    <t>D/BTK+MONASTIR-9313372</t>
  </si>
  <si>
    <t>D/TSB+KAIROUAN-9699005</t>
  </si>
  <si>
    <t>P/ATB+H.SOUSSE-0000541</t>
  </si>
  <si>
    <t>P/UBCI+SFAX-2414040</t>
  </si>
  <si>
    <t>P/UIB+SFAX-3966647</t>
  </si>
  <si>
    <t>D/AB+ELJEM-6034067</t>
  </si>
  <si>
    <t>D/STB+ELJEM-0000254</t>
  </si>
  <si>
    <t>P/BIAT+SFAX-0000031</t>
  </si>
  <si>
    <t>P/BNA+SFAX-0703641</t>
  </si>
  <si>
    <t>D/STB+KERKENNAH-000241</t>
  </si>
  <si>
    <t>P/UBCI+SFAX-1425443</t>
  </si>
  <si>
    <t>P/BT+BAB MENARA-202195</t>
  </si>
  <si>
    <t>P/ATB+BIZERTE-8843354</t>
  </si>
  <si>
    <t>P/BNA+EL MIDA-8908700</t>
  </si>
  <si>
    <t>P/UIB+HAMMAMET-2088220</t>
  </si>
  <si>
    <t>P/BH+SIJOUMI-6429629</t>
  </si>
  <si>
    <t>P/ATB+EL MECHTEL-00001</t>
  </si>
  <si>
    <t>P/ATB+EZZAHRA-0000178</t>
  </si>
  <si>
    <t>P/STB+EL FAHS-0004396</t>
  </si>
  <si>
    <t>P/BT+GROMBALIA-2070149</t>
  </si>
  <si>
    <t>P/BNA+TN-0786303</t>
  </si>
  <si>
    <t>P/BIAT+TN-0006532</t>
  </si>
  <si>
    <t>P/STB+EL FAHS-0004377</t>
  </si>
  <si>
    <t>P/BIAT+TN-0006528</t>
  </si>
  <si>
    <t>P/BH+JEND-6896399</t>
  </si>
  <si>
    <t>P/ATB+BIZERTE-0000336</t>
  </si>
  <si>
    <t>p/bna+BENI KHALED-9592</t>
  </si>
  <si>
    <t>D/STB+KAIROUAN-0000098</t>
  </si>
  <si>
    <t>D/BIAT+TEBOULBA-000313</t>
  </si>
  <si>
    <t>P/BT+BEN AROUS-2425729</t>
  </si>
  <si>
    <t>P/BTK+GROMBALIA-943971</t>
  </si>
  <si>
    <t>p/atb+gabes-0000607</t>
  </si>
  <si>
    <t>p/bna+tn-0201502</t>
  </si>
  <si>
    <t>P/ATB+TOZEUR-8740322</t>
  </si>
  <si>
    <t>P/UIB+SFAX-9972586</t>
  </si>
  <si>
    <t>P/BTK+TN-9302407</t>
  </si>
  <si>
    <t>P/BIAT+TN-0006530</t>
  </si>
  <si>
    <t>P/BH+SFAX-4946762</t>
  </si>
  <si>
    <t>P/UIB+BEN AROUS-988856</t>
  </si>
  <si>
    <t>p/wifak+gabes-0000035</t>
  </si>
  <si>
    <t>P/AMEN B+KORBA-5691918</t>
  </si>
  <si>
    <t>D/UBCI+MAHRES-2341579</t>
  </si>
  <si>
    <t>P/BNA+SERS-7370814</t>
  </si>
  <si>
    <t>P/UIB+BEN AOUN-2331141</t>
  </si>
  <si>
    <t>P/BZ+DJERBA-4000373</t>
  </si>
  <si>
    <t>D/UIB+NAFTA-1831034</t>
  </si>
  <si>
    <t>P/UBCI+SFAX-2356497</t>
  </si>
  <si>
    <t>P/UIB+SFAX-9972589</t>
  </si>
  <si>
    <t>P/STB+ENFIDHA-0000245</t>
  </si>
  <si>
    <t>P/STB+NABEUL-0004949</t>
  </si>
  <si>
    <t>P/BIAT+ARIANA-0002751</t>
  </si>
  <si>
    <t>P/BH+TN-6690512</t>
  </si>
  <si>
    <t>P/BQ ZAIT+HRAIRIA-4000</t>
  </si>
  <si>
    <t>P/ZIT+BOUSALEM-4000687</t>
  </si>
  <si>
    <t>p/bna+tn-0201499</t>
  </si>
  <si>
    <t>P/AMEN B+KORBA-5691917</t>
  </si>
  <si>
    <t>P/BIAT+BEN AROUS-00018</t>
  </si>
  <si>
    <t>P/BIAT+BARDO-0000301</t>
  </si>
  <si>
    <t>P/BH+TN-5410261</t>
  </si>
  <si>
    <t>P/BIAT+BARDO-0000300</t>
  </si>
  <si>
    <t>P/BTK+BEJA-8921437</t>
  </si>
  <si>
    <t>P/BNA+TN-9008960</t>
  </si>
  <si>
    <t>P/BNA+FERIANA-9199340</t>
  </si>
  <si>
    <t>P/BIAT+REGUEB-0000249</t>
  </si>
  <si>
    <t>P/BNA+AIN DRAHEM-11293</t>
  </si>
  <si>
    <t>P/ATTJ BQ+SOLIMAN-0305</t>
  </si>
  <si>
    <t>P/BIAT+GAFSA-0000578</t>
  </si>
  <si>
    <t>W41_2024</t>
  </si>
  <si>
    <t>W42_2024</t>
  </si>
  <si>
    <t>W43_2024</t>
  </si>
  <si>
    <t>W44_2024</t>
  </si>
  <si>
    <t>CONTRAT N°0000931450</t>
  </si>
  <si>
    <t>KIA SPORTAGE</t>
  </si>
  <si>
    <t xml:space="preserve">ERICH MIXER  (mixer wall cladding) reparing </t>
  </si>
  <si>
    <t xml:space="preserve">SCROW POSITIVE OXYDE reparing </t>
  </si>
  <si>
    <t xml:space="preserve">Installation curing Chambers </t>
  </si>
  <si>
    <t>Installation Water Bath</t>
  </si>
  <si>
    <t xml:space="preserve">Repair charger-discharge rectifier </t>
  </si>
  <si>
    <t>Installation Charge- Discharge Rectifier</t>
  </si>
  <si>
    <t xml:space="preserve">Software formation </t>
  </si>
  <si>
    <t>Fire detection system SNA 1</t>
  </si>
  <si>
    <t>Trainning Room</t>
  </si>
  <si>
    <t xml:space="preserve">SNA2 / paste mixing </t>
  </si>
  <si>
    <t>SNA2 / plate production</t>
  </si>
  <si>
    <t>SNA1 / assembly line</t>
  </si>
  <si>
    <t>SNA1 / formation</t>
  </si>
  <si>
    <t>INFRASTRUCTURE</t>
  </si>
  <si>
    <t>W45_2024</t>
  </si>
  <si>
    <t>W46_2024</t>
  </si>
  <si>
    <t>W47_2024</t>
  </si>
  <si>
    <t>W48_2024</t>
  </si>
  <si>
    <t>W49_2024</t>
  </si>
  <si>
    <t>W50_2024</t>
  </si>
  <si>
    <t>W51_2024</t>
  </si>
  <si>
    <t>W52_2024</t>
  </si>
  <si>
    <t>NOUVEAU LOCAL</t>
  </si>
  <si>
    <t>W01_2025</t>
  </si>
  <si>
    <t>ENK</t>
  </si>
  <si>
    <t>LITTORAL BATTERIES</t>
  </si>
  <si>
    <t>FN240034</t>
  </si>
  <si>
    <t>DFN240042</t>
  </si>
  <si>
    <t>DFN240043</t>
  </si>
  <si>
    <t>DFN240044</t>
  </si>
  <si>
    <t>DFN240045</t>
  </si>
  <si>
    <t>FN240052</t>
  </si>
  <si>
    <t>FN240053</t>
  </si>
  <si>
    <t>FN240054</t>
  </si>
  <si>
    <t>ACCUMA 11</t>
  </si>
  <si>
    <t>ACCUMA 12</t>
  </si>
  <si>
    <t>MICROPOROUS 02</t>
  </si>
  <si>
    <t>AMER SIL 03</t>
  </si>
  <si>
    <t>STE PLASTIFILM</t>
  </si>
  <si>
    <t>SOGECOM</t>
  </si>
  <si>
    <t>SOCIETE THE SAFE WORKERS</t>
  </si>
  <si>
    <t>HAMIDA MOHSEN BEN HASSINE</t>
  </si>
  <si>
    <t>BEN ABDALLAH ABDALLAH.MOSBAH</t>
  </si>
  <si>
    <t>BELLIL MED FADHEL B.HAMMOUDA</t>
  </si>
  <si>
    <t>CHOKRI BREN MECHICHI</t>
  </si>
  <si>
    <t>STE BEN SALAH.TRAVAUX PUBLIC</t>
  </si>
  <si>
    <t>STE KAIED AUTO</t>
  </si>
  <si>
    <t>HAMZA BENHSSINE</t>
  </si>
  <si>
    <t>CHABBOUH YESSINE</t>
  </si>
  <si>
    <t>ADEL KARKOUDA</t>
  </si>
  <si>
    <t>STE MOEZ BEN HSOUNA FRIKHA</t>
  </si>
  <si>
    <t>ESPADON CONCEPT</t>
  </si>
  <si>
    <t>STE HAMMAMI BEST HARDWARE</t>
  </si>
  <si>
    <t>STE MONCEF ET SOFIYA PIECE A</t>
  </si>
  <si>
    <t>FETHI MAALOUL</t>
  </si>
  <si>
    <t>ROJDI BEN MOHAMED KRAOUII</t>
  </si>
  <si>
    <t>QODS AUTO SUARL</t>
  </si>
  <si>
    <t>24401322</t>
  </si>
  <si>
    <t>24124275</t>
  </si>
  <si>
    <t>24301381</t>
  </si>
  <si>
    <t>24401321</t>
  </si>
  <si>
    <t>24401332</t>
  </si>
  <si>
    <t>24301397</t>
  </si>
  <si>
    <t>24124315</t>
  </si>
  <si>
    <t>24301379</t>
  </si>
  <si>
    <t>24124274</t>
  </si>
  <si>
    <t>24401323</t>
  </si>
  <si>
    <t>24701104</t>
  </si>
  <si>
    <t>24401331</t>
  </si>
  <si>
    <t>24301396</t>
  </si>
  <si>
    <t>24301378</t>
  </si>
  <si>
    <t>24401330</t>
  </si>
  <si>
    <t>24401320</t>
  </si>
  <si>
    <t>24401318</t>
  </si>
  <si>
    <t>24124314</t>
  </si>
  <si>
    <t>24301399</t>
  </si>
  <si>
    <t>24701105</t>
  </si>
  <si>
    <t>24301380</t>
  </si>
  <si>
    <t>24301344</t>
  </si>
  <si>
    <t>24124313</t>
  </si>
  <si>
    <t>24124273</t>
  </si>
  <si>
    <t>24301395</t>
  </si>
  <si>
    <t>24401316</t>
  </si>
  <si>
    <t>24124312</t>
  </si>
  <si>
    <t>24124328</t>
  </si>
  <si>
    <t>24601186</t>
  </si>
  <si>
    <t>24301368</t>
  </si>
  <si>
    <t>24301343</t>
  </si>
  <si>
    <t>24124326</t>
  </si>
  <si>
    <t>24124320</t>
  </si>
  <si>
    <t>24124307</t>
  </si>
  <si>
    <t>24124296</t>
  </si>
  <si>
    <t>24124239</t>
  </si>
  <si>
    <t>24124323</t>
  </si>
  <si>
    <t>24124237</t>
  </si>
  <si>
    <t>24601190</t>
  </si>
  <si>
    <t>24124327</t>
  </si>
  <si>
    <t>24801168</t>
  </si>
  <si>
    <t>24801164</t>
  </si>
  <si>
    <t>24701103</t>
  </si>
  <si>
    <t>24701095</t>
  </si>
  <si>
    <t>24601214</t>
  </si>
  <si>
    <t>24601201</t>
  </si>
  <si>
    <t>24601196</t>
  </si>
  <si>
    <t>24601195</t>
  </si>
  <si>
    <t>24401315</t>
  </si>
  <si>
    <t>24401309</t>
  </si>
  <si>
    <t>24401296</t>
  </si>
  <si>
    <t>24301394</t>
  </si>
  <si>
    <t>24301382</t>
  </si>
  <si>
    <t>24301367</t>
  </si>
  <si>
    <t>24301362</t>
  </si>
  <si>
    <t>24301347</t>
  </si>
  <si>
    <t>24301313</t>
  </si>
  <si>
    <t>24301312</t>
  </si>
  <si>
    <t>24124340</t>
  </si>
  <si>
    <t>24124305</t>
  </si>
  <si>
    <t>24124300</t>
  </si>
  <si>
    <t>24124299</t>
  </si>
  <si>
    <t>24124298</t>
  </si>
  <si>
    <t>24124241</t>
  </si>
  <si>
    <t>24801188</t>
  </si>
  <si>
    <t>24601206</t>
  </si>
  <si>
    <t>24601189</t>
  </si>
  <si>
    <t>24124348</t>
  </si>
  <si>
    <t>24124345</t>
  </si>
  <si>
    <t>24124344</t>
  </si>
  <si>
    <t>24124332</t>
  </si>
  <si>
    <t>24124301</t>
  </si>
  <si>
    <t>24124272</t>
  </si>
  <si>
    <t>24124269</t>
  </si>
  <si>
    <t>24124231</t>
  </si>
  <si>
    <t>24801175</t>
  </si>
  <si>
    <t>24124360</t>
  </si>
  <si>
    <t>24124341</t>
  </si>
  <si>
    <t>24124233</t>
  </si>
  <si>
    <t>24801163</t>
  </si>
  <si>
    <t>24301311</t>
  </si>
  <si>
    <t>24701106</t>
  </si>
  <si>
    <t>24301366</t>
  </si>
  <si>
    <t>24301345</t>
  </si>
  <si>
    <t>24124357</t>
  </si>
  <si>
    <t>24124346</t>
  </si>
  <si>
    <t>24124342</t>
  </si>
  <si>
    <t>24124240</t>
  </si>
  <si>
    <t>24124235</t>
  </si>
  <si>
    <t>24801173</t>
  </si>
  <si>
    <t>24301310</t>
  </si>
  <si>
    <t>24124325</t>
  </si>
  <si>
    <t>24124234</t>
  </si>
  <si>
    <t>24601193</t>
  </si>
  <si>
    <t>24701098</t>
  </si>
  <si>
    <t>24401314</t>
  </si>
  <si>
    <t>24401305</t>
  </si>
  <si>
    <t>24401295</t>
  </si>
  <si>
    <t>24301365</t>
  </si>
  <si>
    <t>24124338</t>
  </si>
  <si>
    <t>24124268</t>
  </si>
  <si>
    <t>24301309</t>
  </si>
  <si>
    <t>24601194</t>
  </si>
  <si>
    <t>24124236</t>
  </si>
  <si>
    <t>24701096</t>
  </si>
  <si>
    <t>24701107</t>
  </si>
  <si>
    <t>24301308</t>
  </si>
  <si>
    <t>24801172</t>
  </si>
  <si>
    <t>24801166</t>
  </si>
  <si>
    <t>24601205</t>
  </si>
  <si>
    <t>24601187</t>
  </si>
  <si>
    <t>24401313</t>
  </si>
  <si>
    <t>24401294</t>
  </si>
  <si>
    <t>24301384</t>
  </si>
  <si>
    <t>24301364</t>
  </si>
  <si>
    <t>24301361</t>
  </si>
  <si>
    <t>24124356</t>
  </si>
  <si>
    <t>24124331</t>
  </si>
  <si>
    <t>24124232</t>
  </si>
  <si>
    <t>24124324</t>
  </si>
  <si>
    <t>24301307</t>
  </si>
  <si>
    <t>24801162</t>
  </si>
  <si>
    <t>24701115</t>
  </si>
  <si>
    <t>24701091</t>
  </si>
  <si>
    <t>24601203</t>
  </si>
  <si>
    <t>24601197</t>
  </si>
  <si>
    <t>24401293</t>
  </si>
  <si>
    <t>24301383</t>
  </si>
  <si>
    <t>24124267</t>
  </si>
  <si>
    <t>24801169</t>
  </si>
  <si>
    <t>24301327</t>
  </si>
  <si>
    <t>24124247</t>
  </si>
  <si>
    <t>24301306</t>
  </si>
  <si>
    <t>24801184</t>
  </si>
  <si>
    <t>24801177</t>
  </si>
  <si>
    <t>24701097</t>
  </si>
  <si>
    <t>24701093</t>
  </si>
  <si>
    <t>24301342</t>
  </si>
  <si>
    <t>24124295</t>
  </si>
  <si>
    <t>24124246</t>
  </si>
  <si>
    <t>24124244</t>
  </si>
  <si>
    <t>24124242</t>
  </si>
  <si>
    <t>24801178</t>
  </si>
  <si>
    <t>24401280</t>
  </si>
  <si>
    <t>24301305</t>
  </si>
  <si>
    <t>24801179</t>
  </si>
  <si>
    <t>24601204</t>
  </si>
  <si>
    <t>24301355</t>
  </si>
  <si>
    <t>24124337</t>
  </si>
  <si>
    <t>24124245</t>
  </si>
  <si>
    <t>24801153</t>
  </si>
  <si>
    <t>24701114</t>
  </si>
  <si>
    <t>24701102</t>
  </si>
  <si>
    <t>24701092</t>
  </si>
  <si>
    <t>24701090</t>
  </si>
  <si>
    <t>24701088</t>
  </si>
  <si>
    <t>24701087</t>
  </si>
  <si>
    <t>24601213</t>
  </si>
  <si>
    <t>24601212</t>
  </si>
  <si>
    <t>24601198</t>
  </si>
  <si>
    <t>24601192</t>
  </si>
  <si>
    <t>24401329</t>
  </si>
  <si>
    <t>24401303</t>
  </si>
  <si>
    <t>24401292</t>
  </si>
  <si>
    <t>24301398</t>
  </si>
  <si>
    <t>24301393</t>
  </si>
  <si>
    <t>24301391</t>
  </si>
  <si>
    <t>24301377</t>
  </si>
  <si>
    <t>24301370</t>
  </si>
  <si>
    <t>24301340</t>
  </si>
  <si>
    <t>24301326</t>
  </si>
  <si>
    <t>24124359</t>
  </si>
  <si>
    <t>24124352</t>
  </si>
  <si>
    <t>24124349</t>
  </si>
  <si>
    <t>24124347</t>
  </si>
  <si>
    <t>24124336</t>
  </si>
  <si>
    <t>24124318</t>
  </si>
  <si>
    <t>24124316</t>
  </si>
  <si>
    <t>24124311</t>
  </si>
  <si>
    <t>24124310</t>
  </si>
  <si>
    <t>24124309</t>
  </si>
  <si>
    <t>24124308</t>
  </si>
  <si>
    <t>24124304</t>
  </si>
  <si>
    <t>24124303</t>
  </si>
  <si>
    <t>24124302</t>
  </si>
  <si>
    <t>24124289</t>
  </si>
  <si>
    <t>24124286</t>
  </si>
  <si>
    <t>24124266</t>
  </si>
  <si>
    <t>24124265</t>
  </si>
  <si>
    <t>24124248</t>
  </si>
  <si>
    <t>24124243</t>
  </si>
  <si>
    <t>24124229</t>
  </si>
  <si>
    <t>24124226</t>
  </si>
  <si>
    <t>24124362</t>
  </si>
  <si>
    <t>24124228</t>
  </si>
  <si>
    <t>24124227</t>
  </si>
  <si>
    <t>24601211</t>
  </si>
  <si>
    <t>24301354</t>
  </si>
  <si>
    <t>24124353</t>
  </si>
  <si>
    <t>24801185</t>
  </si>
  <si>
    <t>24124358</t>
  </si>
  <si>
    <t>24301337</t>
  </si>
  <si>
    <t>24301324</t>
  </si>
  <si>
    <t>24124224</t>
  </si>
  <si>
    <t>24701101</t>
  </si>
  <si>
    <t>24701113</t>
  </si>
  <si>
    <t>24701086</t>
  </si>
  <si>
    <t>24601209</t>
  </si>
  <si>
    <t>24601207</t>
  </si>
  <si>
    <t>24601200</t>
  </si>
  <si>
    <t>24401301</t>
  </si>
  <si>
    <t>24401290</t>
  </si>
  <si>
    <t>24301353</t>
  </si>
  <si>
    <t>24124350</t>
  </si>
  <si>
    <t>24124329</t>
  </si>
  <si>
    <t>24124319</t>
  </si>
  <si>
    <t>24124294</t>
  </si>
  <si>
    <t>24301336</t>
  </si>
  <si>
    <t>24301323</t>
  </si>
  <si>
    <t>24401291</t>
  </si>
  <si>
    <t>24801176</t>
  </si>
  <si>
    <t>24701094</t>
  </si>
  <si>
    <t>24301392</t>
  </si>
  <si>
    <t>24301390</t>
  </si>
  <si>
    <t>24301389</t>
  </si>
  <si>
    <t>24301376</t>
  </si>
  <si>
    <t>24301374</t>
  </si>
  <si>
    <t>24301352</t>
  </si>
  <si>
    <t>24301339</t>
  </si>
  <si>
    <t>24124343</t>
  </si>
  <si>
    <t>24124335</t>
  </si>
  <si>
    <t>24124264</t>
  </si>
  <si>
    <t>24124230</t>
  </si>
  <si>
    <t>24601199</t>
  </si>
  <si>
    <t>24401298</t>
  </si>
  <si>
    <t>24124306</t>
  </si>
  <si>
    <t>24124260</t>
  </si>
  <si>
    <t>24701100</t>
  </si>
  <si>
    <t>24801167</t>
  </si>
  <si>
    <t>24801157</t>
  </si>
  <si>
    <t>24701110</t>
  </si>
  <si>
    <t>24301351</t>
  </si>
  <si>
    <t>24301335</t>
  </si>
  <si>
    <t>24301373</t>
  </si>
  <si>
    <t>24801187</t>
  </si>
  <si>
    <t>24801154</t>
  </si>
  <si>
    <t>24601208</t>
  </si>
  <si>
    <t>24124322</t>
  </si>
  <si>
    <t>24601210</t>
  </si>
  <si>
    <t>24301338</t>
  </si>
  <si>
    <t>24124259</t>
  </si>
  <si>
    <t>24301388</t>
  </si>
  <si>
    <t>24124253</t>
  </si>
  <si>
    <t>24301350</t>
  </si>
  <si>
    <t>24801161</t>
  </si>
  <si>
    <t>24301334</t>
  </si>
  <si>
    <t>24301385</t>
  </si>
  <si>
    <t>24301372</t>
  </si>
  <si>
    <t>24301346</t>
  </si>
  <si>
    <t>24124284</t>
  </si>
  <si>
    <t>24124258</t>
  </si>
  <si>
    <t>24401279</t>
  </si>
  <si>
    <t>24301375</t>
  </si>
  <si>
    <t>24301363</t>
  </si>
  <si>
    <t>24301358</t>
  </si>
  <si>
    <t>24301322</t>
  </si>
  <si>
    <t>24301319</t>
  </si>
  <si>
    <t>24801186</t>
  </si>
  <si>
    <t>24801152</t>
  </si>
  <si>
    <t>24401327</t>
  </si>
  <si>
    <t>24401297</t>
  </si>
  <si>
    <t>24301349</t>
  </si>
  <si>
    <t>24301317</t>
  </si>
  <si>
    <t>24124364</t>
  </si>
  <si>
    <t>24124351</t>
  </si>
  <si>
    <t>24124334</t>
  </si>
  <si>
    <t>24124321</t>
  </si>
  <si>
    <t>24124297</t>
  </si>
  <si>
    <t>24124287</t>
  </si>
  <si>
    <t>24124249</t>
  </si>
  <si>
    <t>24301371</t>
  </si>
  <si>
    <t>24301333</t>
  </si>
  <si>
    <t>24124271</t>
  </si>
  <si>
    <t>24124257</t>
  </si>
  <si>
    <t>24124238</t>
  </si>
  <si>
    <t>24801165</t>
  </si>
  <si>
    <t>24301387</t>
  </si>
  <si>
    <t>24301369</t>
  </si>
  <si>
    <t>24301360</t>
  </si>
  <si>
    <t>24301348</t>
  </si>
  <si>
    <t>24301328</t>
  </si>
  <si>
    <t>24301316</t>
  </si>
  <si>
    <t>24124330</t>
  </si>
  <si>
    <t>24124252</t>
  </si>
  <si>
    <t>24124256</t>
  </si>
  <si>
    <t>24401311</t>
  </si>
  <si>
    <t>24401306</t>
  </si>
  <si>
    <t>24124317</t>
  </si>
  <si>
    <t>24124251</t>
  </si>
  <si>
    <t>24801181</t>
  </si>
  <si>
    <t>24401302</t>
  </si>
  <si>
    <t>24301332</t>
  </si>
  <si>
    <t>24124255</t>
  </si>
  <si>
    <t>24401307</t>
  </si>
  <si>
    <t>24801151</t>
  </si>
  <si>
    <t>24701109</t>
  </si>
  <si>
    <t>24401317</t>
  </si>
  <si>
    <t>24401289</t>
  </si>
  <si>
    <t>24301331</t>
  </si>
  <si>
    <t>24401300</t>
  </si>
  <si>
    <t>24124254</t>
  </si>
  <si>
    <t>24601215</t>
  </si>
  <si>
    <t>24401308</t>
  </si>
  <si>
    <t>24401284</t>
  </si>
  <si>
    <t>24401283</t>
  </si>
  <si>
    <t>24301386</t>
  </si>
  <si>
    <t>24401281</t>
  </si>
  <si>
    <t>24401287</t>
  </si>
  <si>
    <t>24401312</t>
  </si>
  <si>
    <t>24401286</t>
  </si>
  <si>
    <t>24801171</t>
  </si>
  <si>
    <t>24801170</t>
  </si>
  <si>
    <t>24701108</t>
  </si>
  <si>
    <t>24701099</t>
  </si>
  <si>
    <t>24401319</t>
  </si>
  <si>
    <t>24401310</t>
  </si>
  <si>
    <t>24401304</t>
  </si>
  <si>
    <t>24401299</t>
  </si>
  <si>
    <t>24401285</t>
  </si>
  <si>
    <t>24801182</t>
  </si>
  <si>
    <t>24401326</t>
  </si>
  <si>
    <t>24401288</t>
  </si>
  <si>
    <t>24401324</t>
  </si>
  <si>
    <t>24401282</t>
  </si>
  <si>
    <t>D/BH+MOKNINE-6315941</t>
  </si>
  <si>
    <t>P/TSB+MANOUBA-9017064</t>
  </si>
  <si>
    <t>D/BIAT+BIR ALI-0003680</t>
  </si>
  <si>
    <t>D/BH+MOKNINE-6315940</t>
  </si>
  <si>
    <t>D/AMEN+MOKNINE-5046215</t>
  </si>
  <si>
    <t>D/BNA+CHEBBA-1506096</t>
  </si>
  <si>
    <t>P/STB+FOUCHANA-0000663</t>
  </si>
  <si>
    <t>D/BIAT+BIR ALI-0003678</t>
  </si>
  <si>
    <t>P/TSB+MANOUBA-9017063</t>
  </si>
  <si>
    <t>P/BH+KEBILI-6345034</t>
  </si>
  <si>
    <t>D/AMEN+MOKNINE-5046216</t>
  </si>
  <si>
    <t>D/BNA+CHEBBA-1506095</t>
  </si>
  <si>
    <t>D/BIAT+BIR ALI-0003677</t>
  </si>
  <si>
    <t>D/AMEN+MOKNINE-5046217</t>
  </si>
  <si>
    <t>D/BH+MOKNINE-6315939</t>
  </si>
  <si>
    <t>D/ALBARAKA+M'SAKEN-920</t>
  </si>
  <si>
    <t>P/STB+FOUCHANA-0000662</t>
  </si>
  <si>
    <t>P/UIB+SFAX-9778010</t>
  </si>
  <si>
    <t>P/BH+KEBILI-6345035</t>
  </si>
  <si>
    <t>D/BIAT+BIR ALI-0003679</t>
  </si>
  <si>
    <t>D/BNA+MAHRES-1388620</t>
  </si>
  <si>
    <t>P/STB+FOUCHANA-0000661</t>
  </si>
  <si>
    <t>P/TSB+MANOUBA-9017062</t>
  </si>
  <si>
    <t>D/BNA+CHEBBA-1506094</t>
  </si>
  <si>
    <t>D/UIB+K KEBIRA-9813211</t>
  </si>
  <si>
    <t>P/STB+FOUCHANA-0000660</t>
  </si>
  <si>
    <t>P/UIB+TN-2387712</t>
  </si>
  <si>
    <t>p/albaraka+gabes-92000</t>
  </si>
  <si>
    <t>P/BIAT+SFAX-0002959</t>
  </si>
  <si>
    <t>D/BNA+MAHRES-1388619</t>
  </si>
  <si>
    <t>P/UIB+TN-2387711</t>
  </si>
  <si>
    <t>P/BH+MEGRINE-6766337</t>
  </si>
  <si>
    <t>P/UIB+BARDO-9475064</t>
  </si>
  <si>
    <t>P/BIAT+ARIANA-0002816</t>
  </si>
  <si>
    <t>P/BIAT+KELIBIA-0006624</t>
  </si>
  <si>
    <t>P/BIAT+RAOUED-0004254</t>
  </si>
  <si>
    <t>P/UIB+TN-2387713</t>
  </si>
  <si>
    <t>P/BT+SILI-2517354</t>
  </si>
  <si>
    <t>P/ZIT BQ+TABARKA-40004</t>
  </si>
  <si>
    <t>P/UIB+BEN AOUN-2331222</t>
  </si>
  <si>
    <t>P/UIB+NAFTA-9895054</t>
  </si>
  <si>
    <t>P/ATB+DJERBA-0000713</t>
  </si>
  <si>
    <t>P/BZ+DJERBA-4003706</t>
  </si>
  <si>
    <t>P/UBCI+ZERZIS-2296298</t>
  </si>
  <si>
    <t>p/atb+gabes-0000902</t>
  </si>
  <si>
    <t>D/UIB+K KEBIRA-9813209</t>
  </si>
  <si>
    <t>P/BIAT+SOUSSE-0004024</t>
  </si>
  <si>
    <t>D/BNA+KAIROUAN-0252744</t>
  </si>
  <si>
    <t>D/BNA+CHEBBA-1506093</t>
  </si>
  <si>
    <t>P/BIAT+SFAX-0001927</t>
  </si>
  <si>
    <t>P/BIAT+SFAX-0002958</t>
  </si>
  <si>
    <t>P/BNA+SFAX-8218564</t>
  </si>
  <si>
    <t>P/BH+SFAX-6825417</t>
  </si>
  <si>
    <t>P/STB+SFAX-0009988</t>
  </si>
  <si>
    <t>P/STB+SFAX-0009987</t>
  </si>
  <si>
    <t>P/ATB+TN-0000294</t>
  </si>
  <si>
    <t>P/BTL+DENDEN-4000269</t>
  </si>
  <si>
    <t>P/UBCI+MENIHLA-2596447</t>
  </si>
  <si>
    <t>P/BTE+SFAX-7056422</t>
  </si>
  <si>
    <t>P/BNA+ARIANA-8011465</t>
  </si>
  <si>
    <t>P/BIAT+ARIANA-0002815</t>
  </si>
  <si>
    <t>P/BH+SILI-5865963</t>
  </si>
  <si>
    <t>P/UIB+GABES-9807916</t>
  </si>
  <si>
    <t>P/BIAT+TN-0000605</t>
  </si>
  <si>
    <t>P/BIAT+TN-0003439</t>
  </si>
  <si>
    <t>P/BTL+TN-4000221</t>
  </si>
  <si>
    <t>P/STB+TN-0000279</t>
  </si>
  <si>
    <t>P/BIAT+MANOUBA-0002326</t>
  </si>
  <si>
    <t>P/TSB+MANOUBA-9017065</t>
  </si>
  <si>
    <t>P/STB+FOUCHANA-0004683</t>
  </si>
  <si>
    <t>P/BTK+BEJA-9109081</t>
  </si>
  <si>
    <t>p/ab+tn-5962636</t>
  </si>
  <si>
    <t>P/BT+MNIHLA-2486886</t>
  </si>
  <si>
    <t>P/BIAT+RAOUED-0004250</t>
  </si>
  <si>
    <t>P/STB+TABARKA-0000086</t>
  </si>
  <si>
    <t>P/STB+SFA-0009986</t>
  </si>
  <si>
    <t>P/BH+KEBILI-6345036</t>
  </si>
  <si>
    <t>P/BIAT+SFAX-0002957</t>
  </si>
  <si>
    <t>D/BNA+MAHRES-1388618</t>
  </si>
  <si>
    <t>p/biat+tn-0002112</t>
  </si>
  <si>
    <t>P/ATTJ+TN-0251650</t>
  </si>
  <si>
    <t>P/BT+MNIHLA-2486899</t>
  </si>
  <si>
    <t>P/BIAT+ARIANA-0002814</t>
  </si>
  <si>
    <t>P/BIAT+RAOUED-0004252</t>
  </si>
  <si>
    <t>P/BTK+BEJA-9109080</t>
  </si>
  <si>
    <t>P/STB+SFAX-0009985</t>
  </si>
  <si>
    <t>P/BIAT+KELIBIA-0003332</t>
  </si>
  <si>
    <t>P/BIAT+RAOUED-0004251</t>
  </si>
  <si>
    <t>p/atb+gabes-0000903</t>
  </si>
  <si>
    <t>P/ATTIJARI+REDEYEF-004</t>
  </si>
  <si>
    <t>D/UIB+K KEBIRA-9813210</t>
  </si>
  <si>
    <t>D/BNA+KAIROUAN-0252743</t>
  </si>
  <si>
    <t>P/BIAT+SFAX-0002956</t>
  </si>
  <si>
    <t>P/ATB+TN-0000293</t>
  </si>
  <si>
    <t>P/STB+FOUCHANA-0004682</t>
  </si>
  <si>
    <t>P/STB+SFAX-0009984</t>
  </si>
  <si>
    <t>p/atb+gabes-0000901</t>
  </si>
  <si>
    <t>P/BIAT+RAOUED-0004253</t>
  </si>
  <si>
    <t>P/UIB+NAFTA-9895052</t>
  </si>
  <si>
    <t>P/BH+KEBILI-6345037</t>
  </si>
  <si>
    <t>P/STB+SFAX-0009983</t>
  </si>
  <si>
    <t>P/BTK+BEJA-9109079</t>
  </si>
  <si>
    <t>P/STB+NEFZA-0001330</t>
  </si>
  <si>
    <t>P/UIB+GABES-9807917</t>
  </si>
  <si>
    <t>D/UIB+K KEBIRA-9813208</t>
  </si>
  <si>
    <t>D/BNA+KAIROUAN-0252742</t>
  </si>
  <si>
    <t>P/UIB+SFAX-9972626</t>
  </si>
  <si>
    <t>P/BIAT+SFAX-0002955</t>
  </si>
  <si>
    <t>P/BNA+SFAX-8218563</t>
  </si>
  <si>
    <t>p/biat+tn-0002111</t>
  </si>
  <si>
    <t>P/STB+TN-0000727</t>
  </si>
  <si>
    <t>P/BIAT+RAOUED-0004249</t>
  </si>
  <si>
    <t>P/BIAT+KELIBIA-0003331</t>
  </si>
  <si>
    <t>P/STB+SFAX-0009982</t>
  </si>
  <si>
    <t>P/ATTIJ BK+JEND-004952</t>
  </si>
  <si>
    <t>P/WIFAK+SAIDA-0000368</t>
  </si>
  <si>
    <t>P/BNA+MEKNASY-0620363</t>
  </si>
  <si>
    <t>P/AMEN+GABES-5753922</t>
  </si>
  <si>
    <t>P/BZ+MARETH-4000822</t>
  </si>
  <si>
    <t>D/BNA+KAIROUAN-0252741</t>
  </si>
  <si>
    <t>P/UIB+SFAX-9972651</t>
  </si>
  <si>
    <t>P/STB+FOUCHANA-0004681</t>
  </si>
  <si>
    <t>P/BIAT+TESTOUR-0000525</t>
  </si>
  <si>
    <t>P/BH+SFAX-4033499</t>
  </si>
  <si>
    <t>P/AMEN B+JEDEIDA-51622</t>
  </si>
  <si>
    <t>P/STB+SFAX-0009981</t>
  </si>
  <si>
    <t>P/BH+JEND-7190607</t>
  </si>
  <si>
    <t>P/ATB+BOUSALEM-0000044</t>
  </si>
  <si>
    <t>P/UIB+NAFTA-9895051</t>
  </si>
  <si>
    <t>P/ATB+METLAOUI-0000296</t>
  </si>
  <si>
    <t>D/BNA+MAHRES-1388617</t>
  </si>
  <si>
    <t>P/UIB+BARDO-9475063</t>
  </si>
  <si>
    <t>P/BIAT+ARIANA-0002813</t>
  </si>
  <si>
    <t>P/BIAT+JEND-0000061</t>
  </si>
  <si>
    <t>P/BIAT+SIDI BOUALI-000</t>
  </si>
  <si>
    <t>P/STB+SFAX-0009975</t>
  </si>
  <si>
    <t>P/BIAT+JEND-0000060</t>
  </si>
  <si>
    <t>P/AMEN+GABES-5753921</t>
  </si>
  <si>
    <t>D/BZ+HENCHA-4000257</t>
  </si>
  <si>
    <t>P/BTK+TN-9492825</t>
  </si>
  <si>
    <t>P/BIAT+SILI-0001386</t>
  </si>
  <si>
    <t>P/WIFAK+SAIDA-0000367</t>
  </si>
  <si>
    <t>P/BNA+THALA-1425313</t>
  </si>
  <si>
    <t>P/ATB+METLAOUI-0000295</t>
  </si>
  <si>
    <t>P/BNA+MEKNASY-0620362</t>
  </si>
  <si>
    <t>P/BH+DJERBA-5818812</t>
  </si>
  <si>
    <t>P/AMEN+DJERBA-4654027</t>
  </si>
  <si>
    <t>P/BIAT+GABES-0001551</t>
  </si>
  <si>
    <t>p/stb+tatouine-0001006</t>
  </si>
  <si>
    <t>D/TSB+KAIROUAN-9699035</t>
  </si>
  <si>
    <t>D/UBCI+KAIROUAN-054941</t>
  </si>
  <si>
    <t>D/BNA+KAIROUAN-0252740</t>
  </si>
  <si>
    <t>P/BIAT+SFAX-0003197</t>
  </si>
  <si>
    <t>P/ATTB+SFAX-0000007</t>
  </si>
  <si>
    <t>P/BNA+SFAX-9638396</t>
  </si>
  <si>
    <t>P/BIAT+SFAX-0000175</t>
  </si>
  <si>
    <t>D/STB+KERKENNAH-000242</t>
  </si>
  <si>
    <t>D/AB+ELJEM-6034084</t>
  </si>
  <si>
    <t>P/BIAT+SFAX-0000767</t>
  </si>
  <si>
    <t>p/biat+tn-0001307</t>
  </si>
  <si>
    <t>P/BZ+TN-4000466</t>
  </si>
  <si>
    <t>P/AB+ETTAHRIR-6254557</t>
  </si>
  <si>
    <t>P/BH+TN-0000018</t>
  </si>
  <si>
    <t>P/BT+TN-2070160</t>
  </si>
  <si>
    <t>P/BIAT+DAR CHAAB EL FE</t>
  </si>
  <si>
    <t>P/STB+NABEUL-0004875</t>
  </si>
  <si>
    <t>P/BH+EL MHAMDIA-669405</t>
  </si>
  <si>
    <t>P/ATB+BIZERTE-0000569</t>
  </si>
  <si>
    <t>P/ATB+BIZERTE-8843365</t>
  </si>
  <si>
    <t>P/STB+ENFIDHA-0000257</t>
  </si>
  <si>
    <t>P/UIB+MENIHLA-9976075</t>
  </si>
  <si>
    <t>P/STB+EL HRAIRIA-00020</t>
  </si>
  <si>
    <t>P/AL BARAK+BARDO-89862</t>
  </si>
  <si>
    <t>P/ATB+ZAGHOUAN-0000180</t>
  </si>
  <si>
    <t>P/BNA+BENI KHALLED-042</t>
  </si>
  <si>
    <t>P/BQ ZAIT+MOUROUJ-4000</t>
  </si>
  <si>
    <t>P/BIAT+ARIANA-0002812</t>
  </si>
  <si>
    <t>p/uib+oued ellil-99023</t>
  </si>
  <si>
    <t>p/attj+tn-0087941</t>
  </si>
  <si>
    <t>P/BIAT+MEL JEMIL-00031</t>
  </si>
  <si>
    <t>p/bt+medjez el bab-239</t>
  </si>
  <si>
    <t>P/BTE+DJERBA-7066413</t>
  </si>
  <si>
    <t>D/BZ+HENCHA-4000256</t>
  </si>
  <si>
    <t>P/BT+TN-2530401</t>
  </si>
  <si>
    <t>P/BH+JEND-7190606</t>
  </si>
  <si>
    <t>p/biat+tn-0001308</t>
  </si>
  <si>
    <t>D/BNA+CHRARDA-1115704</t>
  </si>
  <si>
    <t>P/BH+SFAX-4033494</t>
  </si>
  <si>
    <t>P/AMEN B+BEN AROUS-605</t>
  </si>
  <si>
    <t>P/BNA+THALA-1425312</t>
  </si>
  <si>
    <t>P/WIFAK+SAIDA-0000366</t>
  </si>
  <si>
    <t>P/STB+REDEYEF-0000507</t>
  </si>
  <si>
    <t>P/BTE+DJERBA-7066412</t>
  </si>
  <si>
    <t>P/ATB+ZERZIS-0000198</t>
  </si>
  <si>
    <t>P/BZ+DJERBA-4000388</t>
  </si>
  <si>
    <t>D/ZITOUNA+KSAR HELLAL-</t>
  </si>
  <si>
    <t>D/BIAT+H SOUSSE-000139</t>
  </si>
  <si>
    <t>D/BZ+HENCHA-4000255</t>
  </si>
  <si>
    <t>P/BIAT+TN-0000748</t>
  </si>
  <si>
    <t>P/UIB+TN-1782398</t>
  </si>
  <si>
    <t>P/STB+TN-0006671</t>
  </si>
  <si>
    <t>D/BNA+CHRARDA-1115703</t>
  </si>
  <si>
    <t>P/BH+SFAX-4033493</t>
  </si>
  <si>
    <t>P/ATB+BOUSALEM-0000043</t>
  </si>
  <si>
    <t>P/ATB+TOZEUR-8740331</t>
  </si>
  <si>
    <t>P/BNA+SFAX-9638809</t>
  </si>
  <si>
    <t>P/BNA+SFAX-9638395</t>
  </si>
  <si>
    <t>P/BIAT+SFAX-0000003</t>
  </si>
  <si>
    <t>P/BIAT+SFAX-0000174</t>
  </si>
  <si>
    <t>D/UBCI+MAHRES-2341587</t>
  </si>
  <si>
    <t>D/BZ+HENCHA-4000254</t>
  </si>
  <si>
    <t>D/AB+ELJEM-6034083</t>
  </si>
  <si>
    <t>P/UBCI+TN-2230275</t>
  </si>
  <si>
    <t>P/BT+TN-2070161</t>
  </si>
  <si>
    <t>P/ATB+GABES-0000528</t>
  </si>
  <si>
    <t>P/BT+EL MANAR-1677274</t>
  </si>
  <si>
    <t>P/BH+SIJOUMI-6206842</t>
  </si>
  <si>
    <t>P/BNA+THALA-1425311</t>
  </si>
  <si>
    <t>P/BNA+MAKTHAR-1325639</t>
  </si>
  <si>
    <t>P/BNA+SERS-7370817</t>
  </si>
  <si>
    <t>P/BIAT+REGEUB-0000251</t>
  </si>
  <si>
    <t>D/BZ+HENCHA-4000253</t>
  </si>
  <si>
    <t>D/BNA+CHRARDA-1115702</t>
  </si>
  <si>
    <t>D/UBCI+MAHRES-2341586</t>
  </si>
  <si>
    <t>P/BNA+ERROU-1215689</t>
  </si>
  <si>
    <t>P/WIFAK+GABES-0000086</t>
  </si>
  <si>
    <t>P/UBCI+MEL BOUZELFA-28</t>
  </si>
  <si>
    <t>P/BTE+DJERBA-7066411</t>
  </si>
  <si>
    <t>P/ATTB+SFAX-0000312</t>
  </si>
  <si>
    <t>P/BH+SIJOUMI-6206841</t>
  </si>
  <si>
    <t>P/BIAT+SFAX-0000002</t>
  </si>
  <si>
    <t>P/BIAT+KORBA-0001281</t>
  </si>
  <si>
    <t>D/BZ+HENCHA-4000252</t>
  </si>
  <si>
    <t>P/BQ ZIT+KEF-4002211</t>
  </si>
  <si>
    <t>D/BNA+CHRARDA-1115701</t>
  </si>
  <si>
    <t>P/STB+SFAX-0000897</t>
  </si>
  <si>
    <t>D/UBCI+MAHRES-2341585</t>
  </si>
  <si>
    <t>P/ALB+SFAX-9200075</t>
  </si>
  <si>
    <t>P/BH+SIJOUMI-6206840</t>
  </si>
  <si>
    <t>P/BH+SOUSSE-7169208</t>
  </si>
  <si>
    <t>P/BIAT+SFAX-0000173</t>
  </si>
  <si>
    <t>D/STB+KERKENNAH-000027</t>
  </si>
  <si>
    <t>D/STB+JBENIANA-0004803</t>
  </si>
  <si>
    <t>P/BH+SFAX-4033492</t>
  </si>
  <si>
    <t>P/BNA+SFAX-9638792</t>
  </si>
  <si>
    <t>P/ATB+KEF-8442780</t>
  </si>
  <si>
    <t>P/STB+SILI-0008450</t>
  </si>
  <si>
    <t>D/BIAT+TEBOULBA-000323</t>
  </si>
  <si>
    <t>D/BNA+HAFFOUZ-1045634</t>
  </si>
  <si>
    <t>D/BZ+HENCHA-4000251</t>
  </si>
  <si>
    <t>D/STB+EL JEM-0000282</t>
  </si>
  <si>
    <t>p/bt+tn-2460436</t>
  </si>
  <si>
    <t>P/BNA+TN-2439717</t>
  </si>
  <si>
    <t>P/BNA+TN-0547468</t>
  </si>
  <si>
    <t>P/BIAT+TN-0005112</t>
  </si>
  <si>
    <t>P/BNA+BOUARGOUB-024617</t>
  </si>
  <si>
    <t>P/BIAT+KORBA-0001282</t>
  </si>
  <si>
    <t>D/UBCI+MAHRES-2341584</t>
  </si>
  <si>
    <t>D/BNA+CHRARDA-1115700</t>
  </si>
  <si>
    <t>P/STB+TN-0000627</t>
  </si>
  <si>
    <t>P/BH+SIJOUMI-6206839</t>
  </si>
  <si>
    <t>P/BIAT+ARIANA-0000732</t>
  </si>
  <si>
    <t>P/BIAT+SFAX-0000001</t>
  </si>
  <si>
    <t>D/ATB+CHORBEN-0000206</t>
  </si>
  <si>
    <t>D/BNA+TEBOULBA-9703577</t>
  </si>
  <si>
    <t>D/BZ+HENCHA-4000250</t>
  </si>
  <si>
    <t>P/AB+SFAX-6049838</t>
  </si>
  <si>
    <t>D/BH+EL JEM-0000013</t>
  </si>
  <si>
    <t>P/UIB+TN-1782397</t>
  </si>
  <si>
    <t>P/BIAT+KORBA-0001280</t>
  </si>
  <si>
    <t>P/BH+SIJOUMI-6206838</t>
  </si>
  <si>
    <t>D/BT+BENNANE-2500238</t>
  </si>
  <si>
    <t>D/BIAT+TEBOULBA-000100</t>
  </si>
  <si>
    <t>P/WIFAK B+NABEUL-00001</t>
  </si>
  <si>
    <t>P/BIAT+KORBA-0001279</t>
  </si>
  <si>
    <t>P/BIAT+JEND-0006084</t>
  </si>
  <si>
    <t>D/BNA+JEMMAL-3055544</t>
  </si>
  <si>
    <t>P/BNA+CHRARDA-1115699</t>
  </si>
  <si>
    <t>P/BH+SIJOUMI-6206837</t>
  </si>
  <si>
    <t>D/BT+BENNANE-2500237</t>
  </si>
  <si>
    <t>P/STB+KEF-0001012</t>
  </si>
  <si>
    <t>P/BH+KEBILI-7202714</t>
  </si>
  <si>
    <t>D/BIAT+M'SAKEN-0000041</t>
  </si>
  <si>
    <t>D/TSB+MAHDIA-9721967</t>
  </si>
  <si>
    <t>D/BNA+CHRARDA-1115698</t>
  </si>
  <si>
    <t>D/BIAT+MOKNINE-0000951</t>
  </si>
  <si>
    <t>P/BH+SIJOUMI-6206836</t>
  </si>
  <si>
    <t>P/AMEN+DJERBA-4495442</t>
  </si>
  <si>
    <t>D/STB+MAHDIA-0000836</t>
  </si>
  <si>
    <t>D/BNA+K HELAL-1118921</t>
  </si>
  <si>
    <t>D/WIFAK+K HELAL-000003</t>
  </si>
  <si>
    <t>D/BNA+HANCHA-8210933</t>
  </si>
  <si>
    <t>D/BH+KSOUR ESSEF-00000</t>
  </si>
  <si>
    <t>D/TSB+MAHDIA-9550700</t>
  </si>
  <si>
    <t>D/BTE+SIEGE-6878244</t>
  </si>
  <si>
    <t>P/BNA+SOUSSE-1411233</t>
  </si>
  <si>
    <t>P/BQ ZIT+SILI-4001291</t>
  </si>
  <si>
    <t>P/BNA+SILI-8265848</t>
  </si>
  <si>
    <t>P/TUNISIE+GAFSA-254804</t>
  </si>
  <si>
    <t>P/ATTIJARI+DOUZ-014341</t>
  </si>
  <si>
    <t>D/ATTIJARI+BOUMERDES-0</t>
  </si>
  <si>
    <t>D/ZITOUNA+JEMMAL-40001</t>
  </si>
  <si>
    <t>D/UIB+CHEBBA-1902362</t>
  </si>
  <si>
    <t>D/STB+NABEUL-0002701</t>
  </si>
  <si>
    <t>P/BNA+KEF-7661689</t>
  </si>
  <si>
    <t>D/BH+KSOUR ESSEF-68426</t>
  </si>
  <si>
    <t>D/UBCI+MOKNINE-2824852</t>
  </si>
  <si>
    <t>ALPHADEAL</t>
  </si>
  <si>
    <t>LC</t>
  </si>
  <si>
    <t>PREVISIONNEL</t>
  </si>
  <si>
    <t>DFN240054</t>
  </si>
  <si>
    <t>DFN240055</t>
  </si>
  <si>
    <t>DFN240056</t>
  </si>
  <si>
    <t>DFN240057</t>
  </si>
  <si>
    <t>DFN240063</t>
  </si>
  <si>
    <t>ACCUMA 13</t>
  </si>
  <si>
    <t>ACCUMA 14</t>
  </si>
  <si>
    <t>ACCUMA 15</t>
  </si>
  <si>
    <t>ACCUMA 16</t>
  </si>
  <si>
    <t>ACCUMA 17</t>
  </si>
  <si>
    <t>ACCUMA 18</t>
  </si>
  <si>
    <t>DIXONE</t>
  </si>
  <si>
    <t>PURCHASE OF LEAD</t>
  </si>
  <si>
    <t>V-Efficharge Power Systems Private Limited</t>
  </si>
  <si>
    <t>CHANGXING JIGUANG NEW ENERGY TECHNOLOGY CO.,LTD</t>
  </si>
  <si>
    <t>WUXI HUANFA SCIENCE AND TECHNOLOGY CO .,LTD</t>
  </si>
  <si>
    <t>J&amp;L TECH CO., LTD.</t>
  </si>
  <si>
    <t>MSC</t>
  </si>
  <si>
    <t>LAB EQUIPEMENT</t>
  </si>
  <si>
    <t>GENPACK</t>
  </si>
  <si>
    <t>FRIGOLUX</t>
  </si>
  <si>
    <t>STE CMG BAYOUDH</t>
  </si>
  <si>
    <t>Premi鑽e consulting          |</t>
  </si>
  <si>
    <t>Ets LAOUANI</t>
  </si>
  <si>
    <t>HOTEL EZZAHRA</t>
  </si>
  <si>
    <t>GLOBAL NET</t>
  </si>
  <si>
    <t>MFN AUTOMATION-SARL</t>
  </si>
  <si>
    <t>GROCOMA</t>
  </si>
  <si>
    <t>FELHI TAHAR B AHMED BOUCHIHA</t>
  </si>
  <si>
    <t>MOHAMED BEN SALAH BENHASSEN</t>
  </si>
  <si>
    <t>AUTO PARTS TRADING SERVICES</t>
  </si>
  <si>
    <t>SOCIETE MAI PIECES AUTO</t>
  </si>
  <si>
    <t>OTHMANI MONCEF BEN LAKHDAR</t>
  </si>
  <si>
    <t>KHROUF BAGHDADI B BOULBABA</t>
  </si>
  <si>
    <t>STE NASR CONTRACTORS</t>
  </si>
  <si>
    <t>GENERALE ELECT.AUTOMOBILE</t>
  </si>
  <si>
    <t>SOCIETE   T  A  T</t>
  </si>
  <si>
    <t>24401358</t>
  </si>
  <si>
    <t>24401357</t>
  </si>
  <si>
    <t>24401347</t>
  </si>
  <si>
    <t>24401348</t>
  </si>
  <si>
    <t>24401346</t>
  </si>
  <si>
    <t>24301425</t>
  </si>
  <si>
    <t>24401344</t>
  </si>
  <si>
    <t>24801190</t>
  </si>
  <si>
    <t>24401349</t>
  </si>
  <si>
    <t>24401333</t>
  </si>
  <si>
    <t>24301424</t>
  </si>
  <si>
    <t>24301423</t>
  </si>
  <si>
    <t>24124379</t>
  </si>
  <si>
    <t>24124378</t>
  </si>
  <si>
    <t>24124377</t>
  </si>
  <si>
    <t>24401350</t>
  </si>
  <si>
    <t>24124376</t>
  </si>
  <si>
    <t>24124418</t>
  </si>
  <si>
    <t>24124375</t>
  </si>
  <si>
    <t>24124407</t>
  </si>
  <si>
    <t>24124437</t>
  </si>
  <si>
    <t>24601239</t>
  </si>
  <si>
    <t>24801189</t>
  </si>
  <si>
    <t>24801203</t>
  </si>
  <si>
    <t>24301417</t>
  </si>
  <si>
    <t>24301421</t>
  </si>
  <si>
    <t>24301416</t>
  </si>
  <si>
    <t>24301405</t>
  </si>
  <si>
    <t>24301430</t>
  </si>
  <si>
    <t>24124380</t>
  </si>
  <si>
    <t>24601244</t>
  </si>
  <si>
    <t>24401343</t>
  </si>
  <si>
    <t>24701125</t>
  </si>
  <si>
    <t>24401339</t>
  </si>
  <si>
    <t>24301415</t>
  </si>
  <si>
    <t>24124374</t>
  </si>
  <si>
    <t>24601240</t>
  </si>
  <si>
    <t>24124373</t>
  </si>
  <si>
    <t>24124434</t>
  </si>
  <si>
    <t>24601233</t>
  </si>
  <si>
    <t>24601232</t>
  </si>
  <si>
    <t>24601222</t>
  </si>
  <si>
    <t>24124372</t>
  </si>
  <si>
    <t>24601225</t>
  </si>
  <si>
    <t>24124436</t>
  </si>
  <si>
    <t>24801198</t>
  </si>
  <si>
    <t>24124371</t>
  </si>
  <si>
    <t>24601241</t>
  </si>
  <si>
    <t>24401338</t>
  </si>
  <si>
    <t>24301420</t>
  </si>
  <si>
    <t>24301414</t>
  </si>
  <si>
    <t>24124370</t>
  </si>
  <si>
    <t>24801202</t>
  </si>
  <si>
    <t>24601238</t>
  </si>
  <si>
    <t>24601231</t>
  </si>
  <si>
    <t>24601229</t>
  </si>
  <si>
    <t>24601220</t>
  </si>
  <si>
    <t>24401351</t>
  </si>
  <si>
    <t>24401356</t>
  </si>
  <si>
    <t>24801194</t>
  </si>
  <si>
    <t>24124369</t>
  </si>
  <si>
    <t>24401337</t>
  </si>
  <si>
    <t>24301412</t>
  </si>
  <si>
    <t>24701124</t>
  </si>
  <si>
    <t>24601230</t>
  </si>
  <si>
    <t>24601228</t>
  </si>
  <si>
    <t>24601227</t>
  </si>
  <si>
    <t>24301422</t>
  </si>
  <si>
    <t>24124417</t>
  </si>
  <si>
    <t>24401355</t>
  </si>
  <si>
    <t>24301413</t>
  </si>
  <si>
    <t>24801201</t>
  </si>
  <si>
    <t>24601226</t>
  </si>
  <si>
    <t>24601223</t>
  </si>
  <si>
    <t>24601221</t>
  </si>
  <si>
    <t>24301404</t>
  </si>
  <si>
    <t>24124415</t>
  </si>
  <si>
    <t>24801195</t>
  </si>
  <si>
    <t>24301411</t>
  </si>
  <si>
    <t>24301419</t>
  </si>
  <si>
    <t>24301407</t>
  </si>
  <si>
    <t>24401336</t>
  </si>
  <si>
    <t>24301406</t>
  </si>
  <si>
    <t>24124422</t>
  </si>
  <si>
    <t>24124403</t>
  </si>
  <si>
    <t>24124416</t>
  </si>
  <si>
    <t>24401354</t>
  </si>
  <si>
    <t>24124460</t>
  </si>
  <si>
    <t>24701118</t>
  </si>
  <si>
    <t>24301402</t>
  </si>
  <si>
    <t>24301427</t>
  </si>
  <si>
    <t>24124450</t>
  </si>
  <si>
    <t>24124383</t>
  </si>
  <si>
    <t>24124395</t>
  </si>
  <si>
    <t>24124396</t>
  </si>
  <si>
    <t>24124390</t>
  </si>
  <si>
    <t>24124462</t>
  </si>
  <si>
    <t>24124459</t>
  </si>
  <si>
    <t>24124394</t>
  </si>
  <si>
    <t>24801200</t>
  </si>
  <si>
    <t>24701126</t>
  </si>
  <si>
    <t>24701121</t>
  </si>
  <si>
    <t>24701120</t>
  </si>
  <si>
    <t>24601237</t>
  </si>
  <si>
    <t>24401335</t>
  </si>
  <si>
    <t>24401342</t>
  </si>
  <si>
    <t>24301428</t>
  </si>
  <si>
    <t>24301433</t>
  </si>
  <si>
    <t>24124366</t>
  </si>
  <si>
    <t>24124402</t>
  </si>
  <si>
    <t>24124401</t>
  </si>
  <si>
    <t>24124445</t>
  </si>
  <si>
    <t>24124453</t>
  </si>
  <si>
    <t>24124405</t>
  </si>
  <si>
    <t>24124424</t>
  </si>
  <si>
    <t>24124392</t>
  </si>
  <si>
    <t>24124461</t>
  </si>
  <si>
    <t>24124458</t>
  </si>
  <si>
    <t>24124421</t>
  </si>
  <si>
    <t>24124429</t>
  </si>
  <si>
    <t>24301432</t>
  </si>
  <si>
    <t>24401353</t>
  </si>
  <si>
    <t>24301418</t>
  </si>
  <si>
    <t>24124388</t>
  </si>
  <si>
    <t>24124457</t>
  </si>
  <si>
    <t>24124456</t>
  </si>
  <si>
    <t>24701119</t>
  </si>
  <si>
    <t>24701122</t>
  </si>
  <si>
    <t>24601219</t>
  </si>
  <si>
    <t>24401352</t>
  </si>
  <si>
    <t>24124389</t>
  </si>
  <si>
    <t>24124419</t>
  </si>
  <si>
    <t>24124430</t>
  </si>
  <si>
    <t>24601245</t>
  </si>
  <si>
    <t>24801196</t>
  </si>
  <si>
    <t>24401334</t>
  </si>
  <si>
    <t>24124442</t>
  </si>
  <si>
    <t>24124382</t>
  </si>
  <si>
    <t>24124428</t>
  </si>
  <si>
    <t>24124441</t>
  </si>
  <si>
    <t>24124455</t>
  </si>
  <si>
    <t>24601217</t>
  </si>
  <si>
    <t>24301401</t>
  </si>
  <si>
    <t>24124398</t>
  </si>
  <si>
    <t>24124454</t>
  </si>
  <si>
    <t>24601218</t>
  </si>
  <si>
    <t>24301431</t>
  </si>
  <si>
    <t>24124423</t>
  </si>
  <si>
    <t>24124367</t>
  </si>
  <si>
    <t>24124427</t>
  </si>
  <si>
    <t>24124443</t>
  </si>
  <si>
    <t>24701123</t>
  </si>
  <si>
    <t>24801192</t>
  </si>
  <si>
    <t>24701117</t>
  </si>
  <si>
    <t>24601236</t>
  </si>
  <si>
    <t>24401341</t>
  </si>
  <si>
    <t>24401340</t>
  </si>
  <si>
    <t>24301435</t>
  </si>
  <si>
    <t>24301403</t>
  </si>
  <si>
    <t>24301426</t>
  </si>
  <si>
    <t>24124400</t>
  </si>
  <si>
    <t>24124397</t>
  </si>
  <si>
    <t>24124451</t>
  </si>
  <si>
    <t>24124452</t>
  </si>
  <si>
    <t>24124386</t>
  </si>
  <si>
    <t>24124432</t>
  </si>
  <si>
    <t>24124393</t>
  </si>
  <si>
    <t>24124384</t>
  </si>
  <si>
    <t>24124433</t>
  </si>
  <si>
    <t>24124406</t>
  </si>
  <si>
    <t>24124411</t>
  </si>
  <si>
    <t>24124410</t>
  </si>
  <si>
    <t>24124399</t>
  </si>
  <si>
    <t>24124404</t>
  </si>
  <si>
    <t>24124431</t>
  </si>
  <si>
    <t>24301410</t>
  </si>
  <si>
    <t>24301429</t>
  </si>
  <si>
    <t>24301434</t>
  </si>
  <si>
    <t>24124414</t>
  </si>
  <si>
    <t>24601235</t>
  </si>
  <si>
    <t>24124426</t>
  </si>
  <si>
    <t>24124381</t>
  </si>
  <si>
    <t>24124440</t>
  </si>
  <si>
    <t>24801197</t>
  </si>
  <si>
    <t>24601234</t>
  </si>
  <si>
    <t>24301409</t>
  </si>
  <si>
    <t>24124385</t>
  </si>
  <si>
    <t>24124447</t>
  </si>
  <si>
    <t>24124412</t>
  </si>
  <si>
    <t>24801191</t>
  </si>
  <si>
    <t>24601242</t>
  </si>
  <si>
    <t>24301400</t>
  </si>
  <si>
    <t>24124439</t>
  </si>
  <si>
    <t>24124420</t>
  </si>
  <si>
    <t>24801199</t>
  </si>
  <si>
    <t>24701116</t>
  </si>
  <si>
    <t>24124446</t>
  </si>
  <si>
    <t>24124438</t>
  </si>
  <si>
    <t>P/ATB+H.SOUSSE-0000057</t>
  </si>
  <si>
    <t>P/ATB+H.SOUSSE-0000058</t>
  </si>
  <si>
    <t>D/UIB+TEBOULBA-1540405</t>
  </si>
  <si>
    <t>D/UIB+TEBOULBA-1540404</t>
  </si>
  <si>
    <t>D/UIB+TEBOULBA-1540403</t>
  </si>
  <si>
    <t>D/BNA+MAHRES-1613916</t>
  </si>
  <si>
    <t>D/UIB+TEBOULBA-1540402</t>
  </si>
  <si>
    <t>P/BQ ZIT+TABAR-4000469</t>
  </si>
  <si>
    <t>D/BT+JEMMAL-2292135</t>
  </si>
  <si>
    <t>P/UIB+SOUSSE-9779062</t>
  </si>
  <si>
    <t>D/BNA+MAHRES-1613918</t>
  </si>
  <si>
    <t>D/BNA+MAHRES-1613915</t>
  </si>
  <si>
    <t>P/STB+KELIBIA-0011055</t>
  </si>
  <si>
    <t>P/STB+KELIBIA-0011054</t>
  </si>
  <si>
    <t>P/STB+KELIBIA-0011045</t>
  </si>
  <si>
    <t>D/BT+JEMMAL-2292136</t>
  </si>
  <si>
    <t>P/STB+KELIBIA-0011053</t>
  </si>
  <si>
    <t>P/BNA+TN-0201562</t>
  </si>
  <si>
    <t>P/STB+KELIBIA-0011044</t>
  </si>
  <si>
    <t>P/BIAT+BEN AROUS-00030</t>
  </si>
  <si>
    <t>p/uib+tn-2387724</t>
  </si>
  <si>
    <t>P/ALBARAKA+GABES-92000</t>
  </si>
  <si>
    <t>P/BQ ZIT+TABR-4000468</t>
  </si>
  <si>
    <t>P/BNA+TESTOUR-9834900</t>
  </si>
  <si>
    <t>P/STB+SFAX-0010013</t>
  </si>
  <si>
    <t>P/BIAT+SFAX-0008892</t>
  </si>
  <si>
    <t>P/STB+SFAX-0010012</t>
  </si>
  <si>
    <t>P/ATB+SFAX-0000363</t>
  </si>
  <si>
    <t>P/BIAT+SFAX-0002153</t>
  </si>
  <si>
    <t>P/BH+MEGRINE-6766350</t>
  </si>
  <si>
    <t>P/ATB+GABES-0000769</t>
  </si>
  <si>
    <t>D/BTK+MONASTIR-9313386</t>
  </si>
  <si>
    <t>P/UIB+NAFTA-9895059</t>
  </si>
  <si>
    <t>P/STB+SFAX-0010011</t>
  </si>
  <si>
    <t>P/STB+KELIBIA-0011051</t>
  </si>
  <si>
    <t>P/STB+KELIBIA-0011050</t>
  </si>
  <si>
    <t>p/uib+tn-2387723</t>
  </si>
  <si>
    <t>P/UBCI+GABES-2553184</t>
  </si>
  <si>
    <t>P/UBCI+GABES-2553183</t>
  </si>
  <si>
    <t>P/UBCI+GABES-2553173</t>
  </si>
  <si>
    <t>P/STB+KELIBIA-0011049</t>
  </si>
  <si>
    <t>P/UBCI+GABES-2553177</t>
  </si>
  <si>
    <t>p/uib+tn-2387722</t>
  </si>
  <si>
    <t>P/STB+TABARKA-0000102</t>
  </si>
  <si>
    <t>P/STB+KELIBIA-0011048</t>
  </si>
  <si>
    <t>P/ALBRAKA+GABES-920002</t>
  </si>
  <si>
    <t>P/BIAT+SFAX-0008891</t>
  </si>
  <si>
    <t>P/STB+SFAX-0010010</t>
  </si>
  <si>
    <t>P/STB+KELIBIA-0011047</t>
  </si>
  <si>
    <t>P/BNA+TESTOUR-9834899</t>
  </si>
  <si>
    <t>P/ALBARKA+GABES-920002</t>
  </si>
  <si>
    <t>P/UBCI+GABES-2553182</t>
  </si>
  <si>
    <t>P/UBCI+GABES-2553181</t>
  </si>
  <si>
    <t>P/UBCI+GABES-2553185</t>
  </si>
  <si>
    <t>D/BT+JEMMAL-2292137</t>
  </si>
  <si>
    <t>D/BNA+JEMMAL-1014225</t>
  </si>
  <si>
    <t>P/ATTIJ BK+JEND-004953</t>
  </si>
  <si>
    <t>P/STB+KELIBIA-0011046</t>
  </si>
  <si>
    <t>P/STB+SFAX-0010009</t>
  </si>
  <si>
    <t>P/UIB+NAFTA-9895060</t>
  </si>
  <si>
    <t>P/UBCI+GABES-2553179</t>
  </si>
  <si>
    <t>P/UBCI+GABES-2553180</t>
  </si>
  <si>
    <t>P/UBCI+GABES-2553178</t>
  </si>
  <si>
    <t>D/BNA+MAHRES-1613914</t>
  </si>
  <si>
    <t>P/BNA+TN-0201561</t>
  </si>
  <si>
    <t>D/BNA+JEMMAL-1014224</t>
  </si>
  <si>
    <t>P/STB+SFAX-0001008</t>
  </si>
  <si>
    <t>P/BNA+TESTOUR-9834898</t>
  </si>
  <si>
    <t>P/UBCI+GABES-2553176</t>
  </si>
  <si>
    <t>P/UBCI+GABES-2553175</t>
  </si>
  <si>
    <t>P/UBCI+GABES-2553174</t>
  </si>
  <si>
    <t>P/ATB+SFAX-0000362</t>
  </si>
  <si>
    <t>P/ATTIJ BK+JNED-004953</t>
  </si>
  <si>
    <t>P/STB+SFAX-0009989</t>
  </si>
  <si>
    <t>P/BIAT+SFAX-0008890</t>
  </si>
  <si>
    <t>P/BIAT+SFAX-0008736</t>
  </si>
  <si>
    <t>P/BIAT+SFAX-0008735</t>
  </si>
  <si>
    <t>P/BH+MEGRINE-0000004</t>
  </si>
  <si>
    <t>P/BQ ZAIT+TN-4000372</t>
  </si>
  <si>
    <t>P/STB+HAMMAMET-0002283</t>
  </si>
  <si>
    <t>D/BNA+JEMMAL-1014223</t>
  </si>
  <si>
    <t>P/UIB+TN-9899552</t>
  </si>
  <si>
    <t>P/BNA+MEKNASY-0620382</t>
  </si>
  <si>
    <t>P/UBCI+SFAX-2804448</t>
  </si>
  <si>
    <t>D/UIB+CHEBBA-9991777</t>
  </si>
  <si>
    <t>P/UBCI+AV DE CARTHAGE-</t>
  </si>
  <si>
    <t>P/BNA+MEL TEMIME-07676</t>
  </si>
  <si>
    <t>P/BH+RADES-4533256</t>
  </si>
  <si>
    <t>P/BQ ZAIT+ETTAHRIR-400</t>
  </si>
  <si>
    <t>P/STB+KELIBIA-0001307</t>
  </si>
  <si>
    <t>P/UIB+TN-9899546</t>
  </si>
  <si>
    <t>P/BT+BAB MENARA-202197</t>
  </si>
  <si>
    <t>P/BT+SILI-2289696</t>
  </si>
  <si>
    <t>P/BNA+MEKNASY-0620377</t>
  </si>
  <si>
    <t>P/BNA+MEKNASY-0620375</t>
  </si>
  <si>
    <t>p/stb+tatouine-0001013</t>
  </si>
  <si>
    <t>D/BT+KAIROUAN-2326223</t>
  </si>
  <si>
    <t>D/BTK+MONASTIR-9313384</t>
  </si>
  <si>
    <t>D/UIB+MAHRES-9991778</t>
  </si>
  <si>
    <t>D/STB+KERKENNA-0002446</t>
  </si>
  <si>
    <t>P/UIB+RAS JEBAL-943913</t>
  </si>
  <si>
    <t>P/STB+TN-0005345</t>
  </si>
  <si>
    <t>P/STB+EL FAHS-0004416</t>
  </si>
  <si>
    <t>P/BIAT+TN-0001291</t>
  </si>
  <si>
    <t>P/AL BARAK+BARDO-89863</t>
  </si>
  <si>
    <t>P/BT+MENIHLA-2685678</t>
  </si>
  <si>
    <t>P/UBCI+MORNEG-2656279</t>
  </si>
  <si>
    <t>P/AMEN B+BAB EL ALOUJ-</t>
  </si>
  <si>
    <t>P/UIB+TN-9899545</t>
  </si>
  <si>
    <t>P/BQ ZAIT+TN-4002719</t>
  </si>
  <si>
    <t>P/BNA+MENIHLA-1644058</t>
  </si>
  <si>
    <t>P/BIAT+SFAX-0002085</t>
  </si>
  <si>
    <t>D/BNA+JEMMAL-1014222</t>
  </si>
  <si>
    <t>P/BIAT+SFAX-0008889</t>
  </si>
  <si>
    <t>P/UIB+TN-9899544</t>
  </si>
  <si>
    <t>P/UIB+TN-9899543</t>
  </si>
  <si>
    <t>P/BNA+MEKNASY-0620376</t>
  </si>
  <si>
    <t>P/ATB+KAASERINE-839901</t>
  </si>
  <si>
    <t>P/BIAT+ZERZIS-0003775</t>
  </si>
  <si>
    <t>D/BNA+JEMMAL-1014221</t>
  </si>
  <si>
    <t>P/BNA+TN-0201504</t>
  </si>
  <si>
    <t>P/BIAT+MEL TEMIME-0003</t>
  </si>
  <si>
    <t>p/attijari+gabes-00857</t>
  </si>
  <si>
    <t>P/BNA+SERS-7370819</t>
  </si>
  <si>
    <t>D/BT+KAIROUAN-2326222</t>
  </si>
  <si>
    <t>P/BNA+MENIHLA-1644057</t>
  </si>
  <si>
    <t>P/UIB+TN-9899542</t>
  </si>
  <si>
    <t>P/BIAT+ZERZIS-0003774</t>
  </si>
  <si>
    <t>P/UBCI+SFAX-2804334</t>
  </si>
  <si>
    <t>P/BT+HAMMAM LIF-233634</t>
  </si>
  <si>
    <t>P/UIB+TN-9899541</t>
  </si>
  <si>
    <t>P/BIAT+ZERZIS-0003773</t>
  </si>
  <si>
    <t>P/BZ+SFAX-4001420</t>
  </si>
  <si>
    <t>P/BH+MEGRINE-0000002</t>
  </si>
  <si>
    <t>P/BTL+BEN AROUS-400010</t>
  </si>
  <si>
    <t>P/BNA+MENIHLA-1644056</t>
  </si>
  <si>
    <t>P/WIFAK B+NABEUL-00002</t>
  </si>
  <si>
    <t>P/STB+KEBILI-0000443</t>
  </si>
  <si>
    <t>P/STB+SILI-0008479</t>
  </si>
  <si>
    <t>P/BNA+FERIANA-9199358</t>
  </si>
  <si>
    <t>P/BNA+GABES-5511893</t>
  </si>
  <si>
    <t>D/BTK+MONASTIR-9313383</t>
  </si>
  <si>
    <t>D/ATB+CHORBANE-0000210</t>
  </si>
  <si>
    <t>P/BNA+SFAX-9583887</t>
  </si>
  <si>
    <t>D/UIB+CHEBBA-9991776</t>
  </si>
  <si>
    <t>P/STB+EL FAHS-0004415</t>
  </si>
  <si>
    <t>P/ATB+LE KRAM-0000184</t>
  </si>
  <si>
    <t>P/ATTJ BQ+EL MENZAH-00</t>
  </si>
  <si>
    <t>P/BTL+DENDEN-2443721</t>
  </si>
  <si>
    <t>P/BH+SIJOUMI-6062910</t>
  </si>
  <si>
    <t>P/BH+SIJOUMI-6062911</t>
  </si>
  <si>
    <t>P/BTK+TN-9251772</t>
  </si>
  <si>
    <t>P/ATTB+SFAX-0000146</t>
  </si>
  <si>
    <t>P/ATTB+SFAX-0000006</t>
  </si>
  <si>
    <t>D/ATB+CHORBANE-0000209</t>
  </si>
  <si>
    <t>P/BIAT+BARDO-0000305</t>
  </si>
  <si>
    <t>P/WIFAK+MEDNINE-000005</t>
  </si>
  <si>
    <t>P/TSB+MEGRINE-9534201</t>
  </si>
  <si>
    <t>P/BH+BOPUFICHA-6972975</t>
  </si>
  <si>
    <t>P/BIAT+KEF-0001704</t>
  </si>
  <si>
    <t>P/ATTB+SFAX-0000145</t>
  </si>
  <si>
    <t>P/UBCI+MORNEG-2656281</t>
  </si>
  <si>
    <t>P/BIAT+BARDO-0000304</t>
  </si>
  <si>
    <t>P/BT+BOUSALEM-2660807</t>
  </si>
  <si>
    <t>P/BIAT+GABES-0002163</t>
  </si>
  <si>
    <t>P/BIAT+SFAX-0000513</t>
  </si>
  <si>
    <t>P/BIAT+BAB BNET-000060</t>
  </si>
  <si>
    <t>P/ATB+TN-0000964</t>
  </si>
  <si>
    <t>P/BT+BOUSALEM-2154775</t>
  </si>
  <si>
    <t>P/BIAT+GAFSA-0000592</t>
  </si>
  <si>
    <t>P/UBCI+MORNEG-2656280</t>
  </si>
  <si>
    <t>P/BT+DENDEN-2669634</t>
  </si>
  <si>
    <t>FN240011</t>
  </si>
  <si>
    <t>FN240015</t>
  </si>
  <si>
    <t>FN240016</t>
  </si>
  <si>
    <t>FN240029</t>
  </si>
  <si>
    <t>FN240030</t>
  </si>
  <si>
    <t>FN240040</t>
  </si>
  <si>
    <t>FN240041</t>
  </si>
  <si>
    <t>FN240046</t>
  </si>
  <si>
    <t>FN240047</t>
  </si>
  <si>
    <t>FN240048</t>
  </si>
  <si>
    <t>FN240049</t>
  </si>
  <si>
    <t>FN240067</t>
  </si>
  <si>
    <t>MOHAMED ALI BEN AMMAR</t>
  </si>
  <si>
    <t>STE TBZ</t>
  </si>
  <si>
    <t>STE OUSSEMA METAL</t>
  </si>
  <si>
    <t>DIXON</t>
  </si>
  <si>
    <t>STE NTB</t>
  </si>
  <si>
    <t>MATADOR</t>
  </si>
  <si>
    <t>BARHOUMI WISSEM B MOHAMED</t>
  </si>
  <si>
    <t>CHLIHI NADER BEN MED LAMINE</t>
  </si>
  <si>
    <t>SABRINE ALAIFI</t>
  </si>
  <si>
    <t>LAJNEF SAMI BEN MOHAMED</t>
  </si>
  <si>
    <t>STE NIZAR HASNI</t>
  </si>
  <si>
    <t>GHAOUARI KHALIL B AHMED</t>
  </si>
  <si>
    <t>SOCIETE ABDERAZEK BEN AYECH</t>
  </si>
  <si>
    <t>CHOUIKHA ALAEDDINE B.MAHMOUD</t>
  </si>
  <si>
    <t>STE M&amp;M EQUIPEMENTS DE PECHE</t>
  </si>
  <si>
    <t>AZAEIZ KHALED B.MONGI</t>
  </si>
  <si>
    <t>RIDHA BN ABDALLALH BOUTALEB</t>
  </si>
  <si>
    <t>STE LE BETON DU SAHEL</t>
  </si>
  <si>
    <t>COMPTOIR MOHAMED MONCEF</t>
  </si>
  <si>
    <t>STE CHIBANI COMMERCE&amp;SERVICE</t>
  </si>
  <si>
    <t>ETS GUIBANE FRERES</t>
  </si>
  <si>
    <t>HAZEM HAMMOUDA</t>
  </si>
  <si>
    <t>HAMDA MALEK BEN JILANI</t>
  </si>
  <si>
    <t>24124510</t>
  </si>
  <si>
    <t>24301436</t>
  </si>
  <si>
    <t>24124509</t>
  </si>
  <si>
    <t>24401376</t>
  </si>
  <si>
    <t>24124508</t>
  </si>
  <si>
    <t>24124468</t>
  </si>
  <si>
    <t>24124495</t>
  </si>
  <si>
    <t>24124467</t>
  </si>
  <si>
    <t>24801207</t>
  </si>
  <si>
    <t>24601254</t>
  </si>
  <si>
    <t>24601251</t>
  </si>
  <si>
    <t>24601262</t>
  </si>
  <si>
    <t>24401368</t>
  </si>
  <si>
    <t>24301443</t>
  </si>
  <si>
    <t>24301446</t>
  </si>
  <si>
    <t>24301442</t>
  </si>
  <si>
    <t>24124494</t>
  </si>
  <si>
    <t>24124497</t>
  </si>
  <si>
    <t>24124486</t>
  </si>
  <si>
    <t>24124470</t>
  </si>
  <si>
    <t>24601273</t>
  </si>
  <si>
    <t>24401395</t>
  </si>
  <si>
    <t>24124513</t>
  </si>
  <si>
    <t>24801210</t>
  </si>
  <si>
    <t>24124493</t>
  </si>
  <si>
    <t>24601250</t>
  </si>
  <si>
    <t>24124466</t>
  </si>
  <si>
    <t>24124492</t>
  </si>
  <si>
    <t>24601257</t>
  </si>
  <si>
    <t>24301445</t>
  </si>
  <si>
    <t>24601249</t>
  </si>
  <si>
    <t>24124491</t>
  </si>
  <si>
    <t>24124463</t>
  </si>
  <si>
    <t>24801227</t>
  </si>
  <si>
    <t>24701139</t>
  </si>
  <si>
    <t>24701137</t>
  </si>
  <si>
    <t>24601255</t>
  </si>
  <si>
    <t>24401365</t>
  </si>
  <si>
    <t>24401381</t>
  </si>
  <si>
    <t>24301444</t>
  </si>
  <si>
    <t>24124512</t>
  </si>
  <si>
    <t>24801231</t>
  </si>
  <si>
    <t>24801206</t>
  </si>
  <si>
    <t>24801211</t>
  </si>
  <si>
    <t>24401392</t>
  </si>
  <si>
    <t>24401393</t>
  </si>
  <si>
    <t>24401366</t>
  </si>
  <si>
    <t>24301441</t>
  </si>
  <si>
    <t>24301454</t>
  </si>
  <si>
    <t>24124464</t>
  </si>
  <si>
    <t>24124490</t>
  </si>
  <si>
    <t>24601248</t>
  </si>
  <si>
    <t>24801212</t>
  </si>
  <si>
    <t>24801220</t>
  </si>
  <si>
    <t>24601256</t>
  </si>
  <si>
    <t>24401367</t>
  </si>
  <si>
    <t>24401362</t>
  </si>
  <si>
    <t>24401364</t>
  </si>
  <si>
    <t>24124511</t>
  </si>
  <si>
    <t>24601247</t>
  </si>
  <si>
    <t>24124489</t>
  </si>
  <si>
    <t>24124465</t>
  </si>
  <si>
    <t>24801221</t>
  </si>
  <si>
    <t>24701142</t>
  </si>
  <si>
    <t>24401379</t>
  </si>
  <si>
    <t>24401361</t>
  </si>
  <si>
    <t>24124504</t>
  </si>
  <si>
    <t>24401360</t>
  </si>
  <si>
    <t>24801229</t>
  </si>
  <si>
    <t>24601246</t>
  </si>
  <si>
    <t>24124488</t>
  </si>
  <si>
    <t>24301453</t>
  </si>
  <si>
    <t>24701138</t>
  </si>
  <si>
    <t>24601259</t>
  </si>
  <si>
    <t>24601269</t>
  </si>
  <si>
    <t>24301447</t>
  </si>
  <si>
    <t>24124478</t>
  </si>
  <si>
    <t>24124500</t>
  </si>
  <si>
    <t>24124506</t>
  </si>
  <si>
    <t>24124498</t>
  </si>
  <si>
    <t>24801228</t>
  </si>
  <si>
    <t>24601274</t>
  </si>
  <si>
    <t>24401382</t>
  </si>
  <si>
    <t>24401391</t>
  </si>
  <si>
    <t>24301449</t>
  </si>
  <si>
    <t>24124501</t>
  </si>
  <si>
    <t>24124476</t>
  </si>
  <si>
    <t>24124507</t>
  </si>
  <si>
    <t>24801222</t>
  </si>
  <si>
    <t>24124502</t>
  </si>
  <si>
    <t>24124474</t>
  </si>
  <si>
    <t>24401363</t>
  </si>
  <si>
    <t>24801213</t>
  </si>
  <si>
    <t>24801230</t>
  </si>
  <si>
    <t>24601260</t>
  </si>
  <si>
    <t>24801225</t>
  </si>
  <si>
    <t>24601258</t>
  </si>
  <si>
    <t>24601276</t>
  </si>
  <si>
    <t>24301450</t>
  </si>
  <si>
    <t>24601264</t>
  </si>
  <si>
    <t>24401359</t>
  </si>
  <si>
    <t>24301448</t>
  </si>
  <si>
    <t>24301452</t>
  </si>
  <si>
    <t>24124505</t>
  </si>
  <si>
    <t>24124496</t>
  </si>
  <si>
    <t>24701141</t>
  </si>
  <si>
    <t>24801226</t>
  </si>
  <si>
    <t>24701131</t>
  </si>
  <si>
    <t>24401378</t>
  </si>
  <si>
    <t>24301451</t>
  </si>
  <si>
    <t>24801209</t>
  </si>
  <si>
    <t>24401383</t>
  </si>
  <si>
    <t>24801216</t>
  </si>
  <si>
    <t>24801205</t>
  </si>
  <si>
    <t>24701140</t>
  </si>
  <si>
    <t>24601263</t>
  </si>
  <si>
    <t>24124475</t>
  </si>
  <si>
    <t>24124499</t>
  </si>
  <si>
    <t>24124472</t>
  </si>
  <si>
    <t>24124484</t>
  </si>
  <si>
    <t>24124481</t>
  </si>
  <si>
    <t>24801233</t>
  </si>
  <si>
    <t>24124503</t>
  </si>
  <si>
    <t>24701130</t>
  </si>
  <si>
    <t>24701127</t>
  </si>
  <si>
    <t>24601266</t>
  </si>
  <si>
    <t>24401388</t>
  </si>
  <si>
    <t>24401385</t>
  </si>
  <si>
    <t>24301440</t>
  </si>
  <si>
    <t>24301457</t>
  </si>
  <si>
    <t>24301455</t>
  </si>
  <si>
    <t>24124480</t>
  </si>
  <si>
    <t>24124479</t>
  </si>
  <si>
    <t>24401389</t>
  </si>
  <si>
    <t>24301439</t>
  </si>
  <si>
    <t>24601267</t>
  </si>
  <si>
    <t>24801219</t>
  </si>
  <si>
    <t>24801218</t>
  </si>
  <si>
    <t>24124469</t>
  </si>
  <si>
    <t>24401377</t>
  </si>
  <si>
    <t>24301438</t>
  </si>
  <si>
    <t>24124483</t>
  </si>
  <si>
    <t>24124471</t>
  </si>
  <si>
    <t>24601272</t>
  </si>
  <si>
    <t>24301456</t>
  </si>
  <si>
    <t>24801208</t>
  </si>
  <si>
    <t>24801232</t>
  </si>
  <si>
    <t>24801215</t>
  </si>
  <si>
    <t>24401390</t>
  </si>
  <si>
    <t>24124485</t>
  </si>
  <si>
    <t>24401371</t>
  </si>
  <si>
    <t>24401372</t>
  </si>
  <si>
    <t>24401380</t>
  </si>
  <si>
    <t>24401386</t>
  </si>
  <si>
    <t>24301437</t>
  </si>
  <si>
    <t>24124482</t>
  </si>
  <si>
    <t>24124487</t>
  </si>
  <si>
    <t>24701136</t>
  </si>
  <si>
    <t>24601261</t>
  </si>
  <si>
    <t>24601265</t>
  </si>
  <si>
    <t>24401387</t>
  </si>
  <si>
    <t>24401369</t>
  </si>
  <si>
    <t>24401370</t>
  </si>
  <si>
    <t>24401384</t>
  </si>
  <si>
    <t>24124473</t>
  </si>
  <si>
    <t>24701132</t>
  </si>
  <si>
    <t>P/AMEN B+MORNAGUIA-420</t>
  </si>
  <si>
    <t>P/BH+SFAX-7232985</t>
  </si>
  <si>
    <t>D/BNA+JEMMAL-0181995</t>
  </si>
  <si>
    <t>P/BIAT+RAOUED-0004291</t>
  </si>
  <si>
    <t>P/BH+MEGRINE-7081174</t>
  </si>
  <si>
    <t>P/BIAT+RAOUED-0004290</t>
  </si>
  <si>
    <t>P/BT+SILI-0110524</t>
  </si>
  <si>
    <t>P/UBCI+ZERZIS-2716010</t>
  </si>
  <si>
    <t>P/ATB+GABES-0000997</t>
  </si>
  <si>
    <t>p/atb+djerba-0000920</t>
  </si>
  <si>
    <t>D/BNA+KAIROUAN-1102016</t>
  </si>
  <si>
    <t>P/AMEN BAN+SFAX-397944</t>
  </si>
  <si>
    <t>P/BIAT+SFAX-0003006</t>
  </si>
  <si>
    <t>P/BNA+SFAX-8817109</t>
  </si>
  <si>
    <t>P/TSB+TN-9807077</t>
  </si>
  <si>
    <t>P/STB+KELIBIA-0001359</t>
  </si>
  <si>
    <t>P/BTE+SFAX-7056435</t>
  </si>
  <si>
    <t>P/BIAT+KELIBIA-0006656</t>
  </si>
  <si>
    <t>p/bz+djerba-4003736</t>
  </si>
  <si>
    <t>D/BT+KAIROUAN-2736189</t>
  </si>
  <si>
    <t>P/STB+FOUCHANA-0004696</t>
  </si>
  <si>
    <t>P/TSB+TN-9807076</t>
  </si>
  <si>
    <t>P/ATB+GABES-0000996</t>
  </si>
  <si>
    <t>P/BIAT+RAOUED-0004289</t>
  </si>
  <si>
    <t>P/TSB+TN-9807078</t>
  </si>
  <si>
    <t>p/amen+gabes-5916880</t>
  </si>
  <si>
    <t>P/BIAT+SFAX-0003005</t>
  </si>
  <si>
    <t>P/ATB+GABES-0000995</t>
  </si>
  <si>
    <t>P/TSB+TN-9807075</t>
  </si>
  <si>
    <t>P/BIAT+RAOUED-0004288</t>
  </si>
  <si>
    <t>P/BTK+BEJA-9109086</t>
  </si>
  <si>
    <t>P/STB+SBEITLA-0000150</t>
  </si>
  <si>
    <t>P/STB+REDEYEF-0000513</t>
  </si>
  <si>
    <t>P/UBCI+ZERZIS-2716009</t>
  </si>
  <si>
    <t>D/BNA+KAIROUAN-1102015</t>
  </si>
  <si>
    <t>P/BNA+SFAX-0003004</t>
  </si>
  <si>
    <t>P/STB+FOUCHANA-0004695</t>
  </si>
  <si>
    <t>P/STB+NEFZA-0001335</t>
  </si>
  <si>
    <t>D/BNA+HAFFOUZ-1736556</t>
  </si>
  <si>
    <t>D/BT+KAIROUAN-2736188</t>
  </si>
  <si>
    <t>D/BNA+KAIROUAN-0252749</t>
  </si>
  <si>
    <t>D/BIAT+EL HENCHA-00008</t>
  </si>
  <si>
    <t>D/BNA+CHEBBA-1459053</t>
  </si>
  <si>
    <t>P/BIAT+RAOUED-0004287</t>
  </si>
  <si>
    <t>P/TSB+TN-9807074</t>
  </si>
  <si>
    <t>P/ATB+GABES-0000994</t>
  </si>
  <si>
    <t>P/UBCI+KEF-3011817</t>
  </si>
  <si>
    <t>P/BZ+MARETH-4000850</t>
  </si>
  <si>
    <t>D/BNA+KAIROUAN-0252748</t>
  </si>
  <si>
    <t>D/BNA+KAIROUAN-1389164</t>
  </si>
  <si>
    <t>D/BT+KAIROUAN-2127295</t>
  </si>
  <si>
    <t>P/STB+FOUCHANA-0004694</t>
  </si>
  <si>
    <t>P/ATB+GABES-0000993</t>
  </si>
  <si>
    <t>P/TSB+TN-9807073</t>
  </si>
  <si>
    <t>P/BIAT+RAOUED-0004286</t>
  </si>
  <si>
    <t>P/UBCI+KEF-3011818</t>
  </si>
  <si>
    <t>P/BNA+MAKTHER-1504125</t>
  </si>
  <si>
    <t>D/BIAT+JEMMAL-0000010</t>
  </si>
  <si>
    <t>D/BIAT+KAIROUAN-000011</t>
  </si>
  <si>
    <t>P/BIAT+EL MOUROUJ-0000</t>
  </si>
  <si>
    <t>D/BIAT+SIDI BOUALI-000</t>
  </si>
  <si>
    <t>P/BH+JEND-7190617</t>
  </si>
  <si>
    <t>P/ATB+GABES-0000992</t>
  </si>
  <si>
    <t>P/TSB+TN-9807072</t>
  </si>
  <si>
    <t>D/BNA+CHEBBA-1459052</t>
  </si>
  <si>
    <t>P/STB+SBEITLA-0000149</t>
  </si>
  <si>
    <t>p/bh+tatouine-0050123</t>
  </si>
  <si>
    <t>p/bna+gabes-8747024</t>
  </si>
  <si>
    <t>D/BIAT+MAHRES-0001067</t>
  </si>
  <si>
    <t>P/BNA+TN-0786434</t>
  </si>
  <si>
    <t>P/BIAT+HAMMAM LIF-0004</t>
  </si>
  <si>
    <t>P/ATB+BIZERTE-0000595</t>
  </si>
  <si>
    <t>P/BH+JEND-7190616</t>
  </si>
  <si>
    <t>p/bh+djerba-5818831</t>
  </si>
  <si>
    <t>D/BH+EL JEM-6988573</t>
  </si>
  <si>
    <t>D/AMEN BAN+EL JEM-6034</t>
  </si>
  <si>
    <t>P/BQ ZAIT+EZZAHRA-4004</t>
  </si>
  <si>
    <t>P/ATB+EZZAHRA-0000194</t>
  </si>
  <si>
    <t>P/STB+NABEUL-0004890</t>
  </si>
  <si>
    <t>P/UBCI+KEF-3011819</t>
  </si>
  <si>
    <t>P/BT+BEN AROUS-2425766</t>
  </si>
  <si>
    <t>P/BT+MEDJEZ EL BAB-239</t>
  </si>
  <si>
    <t>D/BT+BOUHAJLA-2127294</t>
  </si>
  <si>
    <t>P/BH+JEND-7190615</t>
  </si>
  <si>
    <t>p/bh+tatouine-0050122</t>
  </si>
  <si>
    <t>p/amen+gabes-5916879</t>
  </si>
  <si>
    <t>p/bz+djerba-4000394</t>
  </si>
  <si>
    <t>D/STB+JELMA-0001640</t>
  </si>
  <si>
    <t>P/ATB+GABES-0000775</t>
  </si>
  <si>
    <t>D/STB+JEBENIANA-000485</t>
  </si>
  <si>
    <t>P/BIAT+KELIBIA-0003393</t>
  </si>
  <si>
    <t>P/BNA+FERIANA-9706459</t>
  </si>
  <si>
    <t>P/BIAT+KASSERINE-00006</t>
  </si>
  <si>
    <t>D/BIAT+JEMMAL-0000009</t>
  </si>
  <si>
    <t>D/STB+JEBENIANA-000484</t>
  </si>
  <si>
    <t>P/BQ ZIT+KEF-4002226</t>
  </si>
  <si>
    <t>P/BNA+MAKTHAR-1504120</t>
  </si>
  <si>
    <t>P/BH+NEFZA-6798852</t>
  </si>
  <si>
    <t>P/STB+SBEITLA-0000148</t>
  </si>
  <si>
    <t>P/AMEN+GABES-6475491</t>
  </si>
  <si>
    <t>P/ATB+EZZAHRA-0000193</t>
  </si>
  <si>
    <t>P/BQ ZAIRT+DENDEN-4001</t>
  </si>
  <si>
    <t>P/BQ ZAIT+MOUROUJ-4002</t>
  </si>
  <si>
    <t>P/BNA+TN-0786401</t>
  </si>
  <si>
    <t>P/BNA+DAHMANI-1600695</t>
  </si>
  <si>
    <t>P/UIB+MATEUR-1782409</t>
  </si>
  <si>
    <t>P/ATB+TOZEUR-8740347</t>
  </si>
  <si>
    <t>p/stb+ZERZIS-0000418</t>
  </si>
  <si>
    <t>D/ALBARAKA+MOKNINE-920</t>
  </si>
  <si>
    <t>D/BTE+MOKNINE-7057954</t>
  </si>
  <si>
    <t>P/AMEN BAN+SAKIET EDDA</t>
  </si>
  <si>
    <t>D/STB+JEBENIANA-000010</t>
  </si>
  <si>
    <t>P/BNA+TN-0786400</t>
  </si>
  <si>
    <t>P/BNA+TN-0786399</t>
  </si>
  <si>
    <t>D/ATTIJARI+H.SOUSSE-00</t>
  </si>
  <si>
    <t>p/uib+tatouine-2321328</t>
  </si>
  <si>
    <t>P/UBCI+KEF-2744599</t>
  </si>
  <si>
    <t>P/STB+KEF-0001030</t>
  </si>
  <si>
    <t>P/AMEN B+HAMMAM LIF-53</t>
  </si>
  <si>
    <t>D/BIAT+JEMMAL-0000008</t>
  </si>
  <si>
    <t>P/BT+ZAGHOUAN-2760657</t>
  </si>
  <si>
    <t>P/ATTJ+TN-0306330</t>
  </si>
  <si>
    <t>p/bz+gabes-4000364</t>
  </si>
  <si>
    <t>P/AL BARAK+SFAX-920010</t>
  </si>
  <si>
    <t>P/BQ ZIT+SILI-4001309</t>
  </si>
  <si>
    <t>P/BNA+SILI-8265855</t>
  </si>
  <si>
    <t>P/BNA+MAKTHAR-1504119</t>
  </si>
  <si>
    <t>D/UIB+SOUSSE-9996006</t>
  </si>
  <si>
    <t>P/BH+DJEBEL EL OUEST-7</t>
  </si>
  <si>
    <t>D/BH+MAHDIA-6222095</t>
  </si>
  <si>
    <t>P/UBCI+SOUSSE-2849057</t>
  </si>
  <si>
    <t>D/BH+EL JEM-6988571</t>
  </si>
  <si>
    <t>D/BH+MAHDIA-7800806</t>
  </si>
  <si>
    <t>P/BT+ZAGHOUAN-2760658</t>
  </si>
  <si>
    <t>P/ATTJ BQ+ETTADHAMEN-0</t>
  </si>
  <si>
    <t>p/attijari+djerba-0306</t>
  </si>
  <si>
    <t>P/BIAT+GABES-0003415</t>
  </si>
  <si>
    <t>D/STB+MOKNINE-0000289</t>
  </si>
  <si>
    <t>D/BIAT+TUNIS-0000640</t>
  </si>
  <si>
    <t>D/BIAT+TUNIS-0000639</t>
  </si>
  <si>
    <t>D/ATTIJARI+MONASTIR-02</t>
  </si>
  <si>
    <t>P/AMEN B+MORNAGUIA-563</t>
  </si>
  <si>
    <t>JAADI MONCEF</t>
  </si>
  <si>
    <t>STE SARRA AUTO</t>
  </si>
  <si>
    <t>STE CIPA</t>
  </si>
  <si>
    <t>STE CO P E M</t>
  </si>
  <si>
    <t>ETABLISSEMENT DABOUSSI</t>
  </si>
  <si>
    <t>CHAMAKHI YOUSSEF</t>
  </si>
  <si>
    <t>STE OUBAY DE PIECES</t>
  </si>
  <si>
    <t>009978507661</t>
  </si>
  <si>
    <t>010085541729</t>
  </si>
  <si>
    <t>010042849216</t>
  </si>
  <si>
    <t>009978508534</t>
  </si>
  <si>
    <t>010085541632</t>
  </si>
  <si>
    <t>009978508437</t>
  </si>
  <si>
    <t>010085541438</t>
  </si>
  <si>
    <t>009978508340</t>
  </si>
  <si>
    <t>010085541341</t>
  </si>
  <si>
    <t>009978508243</t>
  </si>
  <si>
    <t>010085541535</t>
  </si>
  <si>
    <t>010046182815</t>
  </si>
  <si>
    <t>009915198768</t>
  </si>
  <si>
    <t>009915197604</t>
  </si>
  <si>
    <t>010052534375</t>
  </si>
  <si>
    <t>SINDBAD GROUP</t>
  </si>
  <si>
    <t>SAMFI</t>
  </si>
  <si>
    <t>Electro Diesel Tunisie</t>
  </si>
  <si>
    <t>GSA</t>
  </si>
  <si>
    <t>MPE INDUSTRIAL</t>
  </si>
  <si>
    <t>PHARMACIE HAMMAMI</t>
  </si>
  <si>
    <t>OUEDRANI MOUNIR</t>
  </si>
  <si>
    <t>STE GENERALE PNEUS</t>
  </si>
  <si>
    <t>MULTIJOINT</t>
  </si>
  <si>
    <t>TUNISIAN IRON AND STEEL CO</t>
  </si>
  <si>
    <t>LES GRANDS ATELIERS DU NORD</t>
  </si>
  <si>
    <t>ETS NAJAR ABDESSALEM</t>
  </si>
  <si>
    <t>STE ACHREF SERVICES</t>
  </si>
  <si>
    <t>STE TOP ETANCHEITE</t>
  </si>
  <si>
    <t>LA COMPETANCE INDUSTRIELLE</t>
  </si>
  <si>
    <t>NORD INDUSTRIE</t>
  </si>
  <si>
    <t>STE EQUIPEMENT GENERAL ABID</t>
  </si>
  <si>
    <t>Ulysse Spare 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</si>
</sst>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-* #,##0.00_-;\-* #,##0.00_-;_-* &quot;-&quot;??_-;_-@_-"/>
    <numFmt numFmtId="164" formatCode="_-* #,##0.00\ _л_в_._-;\-* #,##0.00\ _л_в_._-;_-* &quot;-&quot;??\ _л_в_._-;_-@_-"/>
    <numFmt numFmtId="165" formatCode="_-* #,##0.00\ &quot;лв&quot;_-;\-* #,##0.00\ &quot;лв&quot;_-;_-* &quot;-&quot;??\ &quot;лв&quot;_-;_-@_-"/>
    <numFmt numFmtId="166" formatCode="_-* #,##0.00\ _л_в_-;\-* #,##0.00\ _л_в_-;_-* &quot;-&quot;??\ _л_в_-;_-@_-"/>
    <numFmt numFmtId="167" formatCode="_ * #,##0_ ;_ * \-#,##0_ ;_ * &quot;-&quot;??_ ;_ @_ "/>
    <numFmt numFmtId="168" formatCode="_-* #,##0\ _л_в_-;\-* #,##0\ _л_в_-;_-* &quot;-&quot;??\ _л_в_-;_-@_-"/>
    <numFmt numFmtId="169" formatCode="0.0000"/>
    <numFmt numFmtId="170" formatCode="#,##0.000"/>
    <numFmt numFmtId="171" formatCode="_-* #,##0_-;\-* #,##0_-;_-* &quot;-&quot;??_-;_-@_-"/>
    <numFmt numFmtId="172" formatCode="[$-C09]dd\-mmm\-yy;@"/>
    <numFmt numFmtId="173" formatCode="#,##0\ [$EUR]"/>
    <numFmt numFmtId="174" formatCode="_-* #,##0.00\ _€_-;\-* #,##0.00\ _€_-;_-* &quot;-&quot;??\ _€_-;_-@_-"/>
    <numFmt numFmtId="175" formatCode="_-* #,##0.0\ _л_в_-;\-* #,##0.0\ _л_в_-;_-* &quot;-&quot;??\ _л_в_-;_-@_-"/>
    <numFmt numFmtId="176" formatCode="_-* #,##0.000\ _л_в_-;\-* #,##0.000\ _л_в_-;_-* &quot;-&quot;??\ _л_в_-;_-@_-"/>
    <numFmt numFmtId="177" formatCode="[$$-409]#,##0.00"/>
    <numFmt numFmtId="178" formatCode="#,##0.00\ &quot;€&quot;"/>
    <numFmt numFmtId="179" formatCode="#,##0.00000"/>
    <numFmt numFmtId="180" formatCode="0.000%"/>
    <numFmt numFmtId="181" formatCode="#,##0.000\ _D_T"/>
  </numFmts>
  <fonts count="142" x14ac:knownFonts="1">
    <font>
      <sz val="10"/>
      <name val="Arial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2"/>
      <name val="Times New Roman"/>
      <family val="1"/>
    </font>
    <font>
      <b/>
      <sz val="10"/>
      <name val="Tahoma"/>
      <family val="2"/>
      <charset val="204"/>
    </font>
    <font>
      <sz val="10"/>
      <name val="Arial"/>
      <family val="2"/>
    </font>
    <font>
      <sz val="10"/>
      <name val="Tahoma"/>
      <family val="2"/>
      <charset val="204"/>
    </font>
    <font>
      <i/>
      <sz val="10"/>
      <name val="Tahoma"/>
      <family val="2"/>
      <charset val="204"/>
    </font>
    <font>
      <sz val="9"/>
      <name val="Tahoma"/>
      <family val="2"/>
      <charset val="204"/>
    </font>
    <font>
      <b/>
      <sz val="9"/>
      <name val="Tahoma"/>
      <family val="2"/>
      <charset val="204"/>
    </font>
    <font>
      <sz val="10"/>
      <color indexed="9"/>
      <name val="Tahoma"/>
      <family val="2"/>
      <charset val="204"/>
    </font>
    <font>
      <b/>
      <sz val="12"/>
      <color indexed="8"/>
      <name val="Tahoma"/>
      <family val="2"/>
      <charset val="204"/>
    </font>
    <font>
      <b/>
      <sz val="10"/>
      <color indexed="8"/>
      <name val="Tahoma"/>
      <family val="2"/>
      <charset val="204"/>
    </font>
    <font>
      <b/>
      <u/>
      <sz val="10"/>
      <name val="Arial"/>
      <family val="2"/>
      <charset val="204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sz val="10"/>
      <color rgb="FFFF0000"/>
      <name val="Arial"/>
      <family val="2"/>
    </font>
    <font>
      <b/>
      <sz val="9"/>
      <color rgb="FF000000"/>
      <name val="Tahoma"/>
      <family val="2"/>
      <charset val="204"/>
    </font>
    <font>
      <b/>
      <sz val="11"/>
      <color rgb="FF000000"/>
      <name val="Times New Roman"/>
      <family val="1"/>
    </font>
    <font>
      <sz val="9"/>
      <color theme="1"/>
      <name val="Tahoma"/>
      <family val="2"/>
    </font>
    <font>
      <sz val="8"/>
      <color theme="1"/>
      <name val="Tahoma"/>
      <family val="2"/>
    </font>
    <font>
      <b/>
      <sz val="9"/>
      <name val="Tahoma"/>
      <family val="2"/>
    </font>
    <font>
      <b/>
      <sz val="10"/>
      <color theme="0"/>
      <name val="Tahoma"/>
      <family val="2"/>
    </font>
    <font>
      <b/>
      <sz val="12"/>
      <color theme="0"/>
      <name val="Tahoma"/>
      <family val="2"/>
      <charset val="204"/>
    </font>
    <font>
      <sz val="8"/>
      <name val="Arial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9"/>
      <color rgb="FFFF0000"/>
      <name val="Tahoma"/>
      <family val="2"/>
      <charset val="204"/>
    </font>
    <font>
      <sz val="10"/>
      <color rgb="FFFF0000"/>
      <name val="Arial"/>
      <family val="2"/>
      <charset val="204"/>
    </font>
    <font>
      <b/>
      <sz val="10"/>
      <color rgb="FFFF0000"/>
      <name val="Tahoma"/>
      <family val="2"/>
      <charset val="204"/>
    </font>
    <font>
      <b/>
      <u/>
      <sz val="10"/>
      <color rgb="FFFF0000"/>
      <name val="Tahoma"/>
      <family val="2"/>
      <charset val="204"/>
    </font>
    <font>
      <b/>
      <u/>
      <sz val="10"/>
      <name val="Tahoma"/>
      <family val="2"/>
      <charset val="204"/>
    </font>
    <font>
      <sz val="10"/>
      <name val="Times New Roman"/>
      <family val="1"/>
    </font>
    <font>
      <sz val="8"/>
      <name val="Tahoma"/>
      <family val="2"/>
    </font>
    <font>
      <sz val="10"/>
      <name val="Tahoma"/>
      <family val="2"/>
    </font>
    <font>
      <b/>
      <u/>
      <sz val="12"/>
      <color indexed="48"/>
      <name val="Times New Roman"/>
      <family val="1"/>
    </font>
    <font>
      <sz val="12"/>
      <color indexed="57"/>
      <name val="Times New Roman"/>
      <family val="1"/>
    </font>
    <font>
      <b/>
      <sz val="12"/>
      <color indexed="9"/>
      <name val="Times New Roman"/>
      <family val="1"/>
    </font>
    <font>
      <b/>
      <sz val="12"/>
      <color theme="3" tint="-0.249977111117893"/>
      <name val="Times New Roman"/>
      <family val="1"/>
    </font>
    <font>
      <b/>
      <sz val="12"/>
      <color rgb="FF00B050"/>
      <name val="Times New Roman"/>
      <family val="1"/>
    </font>
    <font>
      <b/>
      <sz val="12"/>
      <color rgb="FFFF0000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0"/>
      <color theme="0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z val="10"/>
      <color rgb="FFFF0000"/>
      <name val="Tahoma"/>
      <family val="2"/>
      <charset val="204"/>
    </font>
    <font>
      <sz val="11"/>
      <color rgb="FF000000"/>
      <name val="Calibri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u/>
      <sz val="10"/>
      <color rgb="FFFF0000"/>
      <name val="Arial"/>
      <family val="2"/>
      <charset val="204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8"/>
      <name val="Arial"/>
      <family val="2"/>
    </font>
    <font>
      <b/>
      <sz val="10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indexed="57"/>
      <name val="Times New Roman"/>
      <family val="1"/>
    </font>
    <font>
      <b/>
      <sz val="10"/>
      <color rgb="FFFF0000"/>
      <name val="Tahoma"/>
      <family val="2"/>
    </font>
    <font>
      <sz val="1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u val="singleAccounting"/>
      <sz val="9"/>
      <name val="Arial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0"/>
      <color rgb="FFFFFF00"/>
      <name val="Arial"/>
      <family val="2"/>
    </font>
    <font>
      <b/>
      <sz val="10"/>
      <name val="Tahoma"/>
      <family val="2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8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98">
    <xf numFmtId="0" fontId="0" fillId="0" borderId="0"/>
    <xf numFmtId="0" fontId="41" fillId="2" borderId="0" applyNumberFormat="0" applyBorder="0" applyAlignment="0" applyProtection="0"/>
    <xf numFmtId="0" fontId="41" fillId="3" borderId="0" applyNumberFormat="0" applyBorder="0" applyAlignment="0" applyProtection="0"/>
    <xf numFmtId="0" fontId="62" fillId="4" borderId="0" applyNumberFormat="0" applyBorder="0" applyAlignment="0" applyProtection="0"/>
    <xf numFmtId="0" fontId="41" fillId="4" borderId="0" applyNumberFormat="0" applyBorder="0" applyAlignment="0" applyProtection="0"/>
    <xf numFmtId="0" fontId="62" fillId="4" borderId="0" applyNumberFormat="0" applyBorder="0" applyAlignment="0" applyProtection="0"/>
    <xf numFmtId="0" fontId="41" fillId="5" borderId="0" applyNumberFormat="0" applyBorder="0" applyAlignment="0" applyProtection="0"/>
    <xf numFmtId="0" fontId="41" fillId="6" borderId="0" applyNumberFormat="0" applyBorder="0" applyAlignment="0" applyProtection="0"/>
    <xf numFmtId="0" fontId="41" fillId="7" borderId="0" applyNumberFormat="0" applyBorder="0" applyAlignment="0" applyProtection="0"/>
    <xf numFmtId="0" fontId="41" fillId="8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5" borderId="0" applyNumberFormat="0" applyBorder="0" applyAlignment="0" applyProtection="0"/>
    <xf numFmtId="0" fontId="41" fillId="8" borderId="0" applyNumberFormat="0" applyBorder="0" applyAlignment="0" applyProtection="0"/>
    <xf numFmtId="0" fontId="41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9" borderId="0" applyNumberFormat="0" applyBorder="0" applyAlignment="0" applyProtection="0"/>
    <xf numFmtId="0" fontId="42" fillId="10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9" borderId="0" applyNumberFormat="0" applyBorder="0" applyAlignment="0" applyProtection="0"/>
    <xf numFmtId="0" fontId="43" fillId="3" borderId="0" applyNumberFormat="0" applyBorder="0" applyAlignment="0" applyProtection="0"/>
    <xf numFmtId="0" fontId="44" fillId="20" borderId="1" applyNumberFormat="0" applyAlignment="0" applyProtection="0"/>
    <xf numFmtId="0" fontId="45" fillId="21" borderId="2" applyNumberFormat="0" applyAlignment="0" applyProtection="0"/>
    <xf numFmtId="166" fontId="26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43" fontId="61" fillId="0" borderId="0" applyFont="0" applyFill="0" applyBorder="0" applyAlignment="0" applyProtection="0"/>
    <xf numFmtId="166" fontId="39" fillId="0" borderId="0" applyFont="0" applyFill="0" applyBorder="0" applyAlignment="0" applyProtection="0"/>
    <xf numFmtId="164" fontId="54" fillId="0" borderId="0" applyFont="0" applyFill="0" applyBorder="0" applyAlignment="0" applyProtection="0"/>
    <xf numFmtId="166" fontId="40" fillId="0" borderId="0" applyFont="0" applyFill="0" applyBorder="0" applyAlignment="0" applyProtection="0"/>
    <xf numFmtId="164" fontId="41" fillId="0" borderId="0" applyFont="0" applyFill="0" applyBorder="0" applyAlignment="0" applyProtection="0"/>
    <xf numFmtId="166" fontId="29" fillId="0" borderId="0" applyFont="0" applyFill="0" applyBorder="0" applyAlignment="0" applyProtection="0"/>
    <xf numFmtId="164" fontId="54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166" fontId="54" fillId="0" borderId="0" applyFont="0" applyFill="0" applyBorder="0" applyAlignment="0" applyProtection="0"/>
    <xf numFmtId="164" fontId="60" fillId="0" borderId="0" applyFont="0" applyFill="0" applyBorder="0" applyAlignment="0" applyProtection="0"/>
    <xf numFmtId="166" fontId="60" fillId="0" borderId="0" applyFont="0" applyFill="0" applyBorder="0" applyAlignment="0" applyProtection="0"/>
    <xf numFmtId="165" fontId="54" fillId="0" borderId="0" applyFont="0" applyFill="0" applyBorder="0" applyAlignment="0" applyProtection="0"/>
    <xf numFmtId="165" fontId="60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4" applyNumberFormat="0" applyFill="0" applyAlignment="0" applyProtection="0"/>
    <xf numFmtId="0" fontId="50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51" fillId="7" borderId="1" applyNumberFormat="0" applyAlignment="0" applyProtection="0"/>
    <xf numFmtId="0" fontId="52" fillId="0" borderId="6" applyNumberFormat="0" applyFill="0" applyAlignment="0" applyProtection="0"/>
    <xf numFmtId="0" fontId="53" fillId="22" borderId="0" applyNumberFormat="0" applyBorder="0" applyAlignment="0" applyProtection="0"/>
    <xf numFmtId="0" fontId="63" fillId="0" borderId="0"/>
    <xf numFmtId="0" fontId="29" fillId="0" borderId="0"/>
    <xf numFmtId="0" fontId="54" fillId="0" borderId="0"/>
    <xf numFmtId="0" fontId="61" fillId="0" borderId="0"/>
    <xf numFmtId="0" fontId="29" fillId="0" borderId="0"/>
    <xf numFmtId="0" fontId="54" fillId="0" borderId="0"/>
    <xf numFmtId="0" fontId="54" fillId="0" borderId="0"/>
    <xf numFmtId="0" fontId="54" fillId="0" borderId="0"/>
    <xf numFmtId="0" fontId="63" fillId="0" borderId="0"/>
    <xf numFmtId="0" fontId="62" fillId="0" borderId="0"/>
    <xf numFmtId="0" fontId="29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27" fillId="0" borderId="0"/>
    <xf numFmtId="0" fontId="54" fillId="23" borderId="7" applyNumberFormat="0" applyFont="0" applyAlignment="0" applyProtection="0"/>
    <xf numFmtId="0" fontId="55" fillId="20" borderId="8" applyNumberFormat="0" applyAlignment="0" applyProtection="0"/>
    <xf numFmtId="9" fontId="54" fillId="0" borderId="0" applyFont="0" applyFill="0" applyBorder="0" applyAlignment="0" applyProtection="0"/>
    <xf numFmtId="0" fontId="59" fillId="0" borderId="0"/>
    <xf numFmtId="0" fontId="56" fillId="0" borderId="0" applyNumberFormat="0" applyFill="0" applyBorder="0" applyAlignment="0" applyProtection="0"/>
    <xf numFmtId="0" fontId="57" fillId="0" borderId="9" applyNumberFormat="0" applyFill="0" applyAlignment="0" applyProtection="0"/>
    <xf numFmtId="0" fontId="58" fillId="0" borderId="0" applyNumberFormat="0" applyFill="0" applyBorder="0" applyAlignment="0" applyProtection="0"/>
    <xf numFmtId="0" fontId="26" fillId="0" borderId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5" fillId="0" borderId="0"/>
    <xf numFmtId="0" fontId="26" fillId="23" borderId="7" applyNumberFormat="0" applyFont="0" applyAlignment="0" applyProtection="0"/>
    <xf numFmtId="9" fontId="26" fillId="0" borderId="0" applyFon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5" fillId="0" borderId="0"/>
    <xf numFmtId="0" fontId="26" fillId="23" borderId="7" applyNumberFormat="0" applyFont="0" applyAlignment="0" applyProtection="0"/>
    <xf numFmtId="9" fontId="26" fillId="0" borderId="0" applyFon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165" fontId="26" fillId="0" borderId="0" applyFon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5" fillId="0" borderId="0"/>
    <xf numFmtId="0" fontId="26" fillId="23" borderId="7" applyNumberFormat="0" applyFont="0" applyAlignment="0" applyProtection="0"/>
    <xf numFmtId="9" fontId="26" fillId="0" borderId="0" applyFon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0" borderId="0"/>
    <xf numFmtId="164" fontId="26" fillId="0" borderId="0" applyFont="0" applyFill="0" applyBorder="0" applyAlignment="0" applyProtection="0"/>
    <xf numFmtId="0" fontId="63" fillId="0" borderId="0"/>
    <xf numFmtId="43" fontId="24" fillId="0" borderId="0" applyFont="0" applyFill="0" applyBorder="0" applyAlignment="0" applyProtection="0"/>
    <xf numFmtId="0" fontId="101" fillId="0" borderId="0"/>
    <xf numFmtId="0" fontId="102" fillId="0" borderId="62" applyNumberFormat="0" applyFill="0" applyAlignment="0" applyProtection="0"/>
    <xf numFmtId="0" fontId="103" fillId="0" borderId="63" applyNumberFormat="0" applyFill="0" applyAlignment="0" applyProtection="0"/>
    <xf numFmtId="0" fontId="104" fillId="0" borderId="64" applyNumberFormat="0" applyFill="0" applyAlignment="0" applyProtection="0"/>
    <xf numFmtId="0" fontId="104" fillId="0" borderId="0" applyNumberFormat="0" applyFill="0" applyBorder="0" applyAlignment="0" applyProtection="0"/>
    <xf numFmtId="0" fontId="105" fillId="45" borderId="0" applyNumberFormat="0" applyBorder="0" applyAlignment="0" applyProtection="0"/>
    <xf numFmtId="0" fontId="106" fillId="46" borderId="0" applyNumberFormat="0" applyBorder="0" applyAlignment="0" applyProtection="0"/>
    <xf numFmtId="0" fontId="107" fillId="48" borderId="65" applyNumberFormat="0" applyAlignment="0" applyProtection="0"/>
    <xf numFmtId="0" fontId="108" fillId="49" borderId="66" applyNumberFormat="0" applyAlignment="0" applyProtection="0"/>
    <xf numFmtId="0" fontId="109" fillId="49" borderId="65" applyNumberFormat="0" applyAlignment="0" applyProtection="0"/>
    <xf numFmtId="0" fontId="110" fillId="0" borderId="67" applyNumberFormat="0" applyFill="0" applyAlignment="0" applyProtection="0"/>
    <xf numFmtId="0" fontId="111" fillId="50" borderId="68" applyNumberFormat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70" applyNumberFormat="0" applyFill="0" applyAlignment="0" applyProtection="0"/>
    <xf numFmtId="0" fontId="115" fillId="52" borderId="0" applyNumberFormat="0" applyBorder="0" applyAlignment="0" applyProtection="0"/>
    <xf numFmtId="0" fontId="23" fillId="53" borderId="0" applyNumberFormat="0" applyBorder="0" applyAlignment="0" applyProtection="0"/>
    <xf numFmtId="0" fontId="23" fillId="54" borderId="0" applyNumberFormat="0" applyBorder="0" applyAlignment="0" applyProtection="0"/>
    <xf numFmtId="0" fontId="115" fillId="56" borderId="0" applyNumberFormat="0" applyBorder="0" applyAlignment="0" applyProtection="0"/>
    <xf numFmtId="0" fontId="23" fillId="57" borderId="0" applyNumberFormat="0" applyBorder="0" applyAlignment="0" applyProtection="0"/>
    <xf numFmtId="0" fontId="23" fillId="58" borderId="0" applyNumberFormat="0" applyBorder="0" applyAlignment="0" applyProtection="0"/>
    <xf numFmtId="0" fontId="115" fillId="60" borderId="0" applyNumberFormat="0" applyBorder="0" applyAlignment="0" applyProtection="0"/>
    <xf numFmtId="0" fontId="23" fillId="61" borderId="0" applyNumberFormat="0" applyBorder="0" applyAlignment="0" applyProtection="0"/>
    <xf numFmtId="0" fontId="115" fillId="63" borderId="0" applyNumberFormat="0" applyBorder="0" applyAlignment="0" applyProtection="0"/>
    <xf numFmtId="0" fontId="23" fillId="64" borderId="0" applyNumberFormat="0" applyBorder="0" applyAlignment="0" applyProtection="0"/>
    <xf numFmtId="0" fontId="23" fillId="65" borderId="0" applyNumberFormat="0" applyBorder="0" applyAlignment="0" applyProtection="0"/>
    <xf numFmtId="0" fontId="115" fillId="67" borderId="0" applyNumberFormat="0" applyBorder="0" applyAlignment="0" applyProtection="0"/>
    <xf numFmtId="0" fontId="23" fillId="68" borderId="0" applyNumberFormat="0" applyBorder="0" applyAlignment="0" applyProtection="0"/>
    <xf numFmtId="0" fontId="23" fillId="69" borderId="0" applyNumberFormat="0" applyBorder="0" applyAlignment="0" applyProtection="0"/>
    <xf numFmtId="0" fontId="115" fillId="71" borderId="0" applyNumberFormat="0" applyBorder="0" applyAlignment="0" applyProtection="0"/>
    <xf numFmtId="0" fontId="23" fillId="72" borderId="0" applyNumberFormat="0" applyBorder="0" applyAlignment="0" applyProtection="0"/>
    <xf numFmtId="0" fontId="23" fillId="73" borderId="0" applyNumberFormat="0" applyBorder="0" applyAlignment="0" applyProtection="0"/>
    <xf numFmtId="0" fontId="23" fillId="0" borderId="0"/>
    <xf numFmtId="174" fontId="23" fillId="0" borderId="0" applyFont="0" applyFill="0" applyBorder="0" applyAlignment="0" applyProtection="0"/>
    <xf numFmtId="174" fontId="116" fillId="0" borderId="0" applyFont="0" applyFill="0" applyBorder="0" applyAlignment="0" applyProtection="0"/>
    <xf numFmtId="0" fontId="29" fillId="0" borderId="0" applyNumberFormat="0" applyFont="0" applyFill="0" applyBorder="0" applyAlignment="0" applyProtection="0"/>
    <xf numFmtId="9" fontId="116" fillId="0" borderId="0" applyFont="0" applyFill="0" applyBorder="0" applyAlignment="0" applyProtection="0"/>
    <xf numFmtId="0" fontId="101" fillId="0" borderId="0"/>
    <xf numFmtId="0" fontId="117" fillId="0" borderId="0" applyNumberFormat="0" applyFill="0" applyBorder="0" applyAlignment="0" applyProtection="0"/>
    <xf numFmtId="0" fontId="118" fillId="47" borderId="0" applyNumberFormat="0" applyBorder="0" applyAlignment="0" applyProtection="0"/>
    <xf numFmtId="0" fontId="23" fillId="51" borderId="69" applyNumberFormat="0" applyFont="0" applyAlignment="0" applyProtection="0"/>
    <xf numFmtId="0" fontId="115" fillId="55" borderId="0" applyNumberFormat="0" applyBorder="0" applyAlignment="0" applyProtection="0"/>
    <xf numFmtId="0" fontId="115" fillId="59" borderId="0" applyNumberFormat="0" applyBorder="0" applyAlignment="0" applyProtection="0"/>
    <xf numFmtId="0" fontId="23" fillId="75" borderId="0" applyNumberFormat="0" applyBorder="0" applyAlignment="0" applyProtection="0"/>
    <xf numFmtId="0" fontId="115" fillId="62" borderId="0" applyNumberFormat="0" applyBorder="0" applyAlignment="0" applyProtection="0"/>
    <xf numFmtId="0" fontId="115" fillId="66" borderId="0" applyNumberFormat="0" applyBorder="0" applyAlignment="0" applyProtection="0"/>
    <xf numFmtId="0" fontId="115" fillId="70" borderId="0" applyNumberFormat="0" applyBorder="0" applyAlignment="0" applyProtection="0"/>
    <xf numFmtId="0" fontId="115" fillId="74" borderId="0" applyNumberFormat="0" applyBorder="0" applyAlignment="0" applyProtection="0"/>
    <xf numFmtId="0" fontId="29" fillId="0" borderId="0"/>
    <xf numFmtId="9" fontId="23" fillId="0" borderId="0" applyFont="0" applyFill="0" applyBorder="0" applyAlignment="0" applyProtection="0"/>
    <xf numFmtId="0" fontId="22" fillId="0" borderId="0"/>
    <xf numFmtId="174" fontId="22" fillId="0" borderId="0" applyFont="0" applyFill="0" applyBorder="0" applyAlignment="0" applyProtection="0"/>
    <xf numFmtId="0" fontId="22" fillId="51" borderId="69" applyNumberFormat="0" applyFont="0" applyAlignment="0" applyProtection="0"/>
    <xf numFmtId="0" fontId="22" fillId="53" borderId="0" applyNumberFormat="0" applyBorder="0" applyAlignment="0" applyProtection="0"/>
    <xf numFmtId="0" fontId="22" fillId="54" borderId="0" applyNumberFormat="0" applyBorder="0" applyAlignment="0" applyProtection="0"/>
    <xf numFmtId="0" fontId="22" fillId="57" borderId="0" applyNumberFormat="0" applyBorder="0" applyAlignment="0" applyProtection="0"/>
    <xf numFmtId="0" fontId="22" fillId="58" borderId="0" applyNumberFormat="0" applyBorder="0" applyAlignment="0" applyProtection="0"/>
    <xf numFmtId="0" fontId="22" fillId="75" borderId="0" applyNumberFormat="0" applyBorder="0" applyAlignment="0" applyProtection="0"/>
    <xf numFmtId="0" fontId="22" fillId="61" borderId="0" applyNumberFormat="0" applyBorder="0" applyAlignment="0" applyProtection="0"/>
    <xf numFmtId="0" fontId="22" fillId="64" borderId="0" applyNumberFormat="0" applyBorder="0" applyAlignment="0" applyProtection="0"/>
    <xf numFmtId="0" fontId="22" fillId="65" borderId="0" applyNumberFormat="0" applyBorder="0" applyAlignment="0" applyProtection="0"/>
    <xf numFmtId="0" fontId="22" fillId="68" borderId="0" applyNumberFormat="0" applyBorder="0" applyAlignment="0" applyProtection="0"/>
    <xf numFmtId="0" fontId="22" fillId="69" borderId="0" applyNumberFormat="0" applyBorder="0" applyAlignment="0" applyProtection="0"/>
    <xf numFmtId="0" fontId="22" fillId="72" borderId="0" applyNumberFormat="0" applyBorder="0" applyAlignment="0" applyProtection="0"/>
    <xf numFmtId="0" fontId="22" fillId="73" borderId="0" applyNumberFormat="0" applyBorder="0" applyAlignment="0" applyProtection="0"/>
    <xf numFmtId="0" fontId="21" fillId="0" borderId="0"/>
    <xf numFmtId="174" fontId="21" fillId="0" borderId="0" applyFont="0" applyFill="0" applyBorder="0" applyAlignment="0" applyProtection="0"/>
    <xf numFmtId="0" fontId="21" fillId="51" borderId="69" applyNumberFormat="0" applyFont="0" applyAlignment="0" applyProtection="0"/>
    <xf numFmtId="0" fontId="21" fillId="53" borderId="0" applyNumberFormat="0" applyBorder="0" applyAlignment="0" applyProtection="0"/>
    <xf numFmtId="0" fontId="21" fillId="54" borderId="0" applyNumberFormat="0" applyBorder="0" applyAlignment="0" applyProtection="0"/>
    <xf numFmtId="0" fontId="21" fillId="57" borderId="0" applyNumberFormat="0" applyBorder="0" applyAlignment="0" applyProtection="0"/>
    <xf numFmtId="0" fontId="21" fillId="58" borderId="0" applyNumberFormat="0" applyBorder="0" applyAlignment="0" applyProtection="0"/>
    <xf numFmtId="0" fontId="21" fillId="75" borderId="0" applyNumberFormat="0" applyBorder="0" applyAlignment="0" applyProtection="0"/>
    <xf numFmtId="0" fontId="21" fillId="61" borderId="0" applyNumberFormat="0" applyBorder="0" applyAlignment="0" applyProtection="0"/>
    <xf numFmtId="0" fontId="21" fillId="64" borderId="0" applyNumberFormat="0" applyBorder="0" applyAlignment="0" applyProtection="0"/>
    <xf numFmtId="0" fontId="21" fillId="65" borderId="0" applyNumberFormat="0" applyBorder="0" applyAlignment="0" applyProtection="0"/>
    <xf numFmtId="0" fontId="21" fillId="68" borderId="0" applyNumberFormat="0" applyBorder="0" applyAlignment="0" applyProtection="0"/>
    <xf numFmtId="0" fontId="21" fillId="69" borderId="0" applyNumberFormat="0" applyBorder="0" applyAlignment="0" applyProtection="0"/>
    <xf numFmtId="0" fontId="21" fillId="72" borderId="0" applyNumberFormat="0" applyBorder="0" applyAlignment="0" applyProtection="0"/>
    <xf numFmtId="0" fontId="21" fillId="73" borderId="0" applyNumberFormat="0" applyBorder="0" applyAlignment="0" applyProtection="0"/>
    <xf numFmtId="0" fontId="20" fillId="0" borderId="0"/>
    <xf numFmtId="0" fontId="20" fillId="51" borderId="69" applyNumberFormat="0" applyFont="0" applyAlignment="0" applyProtection="0"/>
    <xf numFmtId="0" fontId="20" fillId="53" borderId="0" applyNumberFormat="0" applyBorder="0" applyAlignment="0" applyProtection="0"/>
    <xf numFmtId="0" fontId="20" fillId="54" borderId="0" applyNumberFormat="0" applyBorder="0" applyAlignment="0" applyProtection="0"/>
    <xf numFmtId="0" fontId="20" fillId="57" borderId="0" applyNumberFormat="0" applyBorder="0" applyAlignment="0" applyProtection="0"/>
    <xf numFmtId="0" fontId="20" fillId="58" borderId="0" applyNumberFormat="0" applyBorder="0" applyAlignment="0" applyProtection="0"/>
    <xf numFmtId="0" fontId="20" fillId="75" borderId="0" applyNumberFormat="0" applyBorder="0" applyAlignment="0" applyProtection="0"/>
    <xf numFmtId="0" fontId="20" fillId="61" borderId="0" applyNumberFormat="0" applyBorder="0" applyAlignment="0" applyProtection="0"/>
    <xf numFmtId="0" fontId="20" fillId="64" borderId="0" applyNumberFormat="0" applyBorder="0" applyAlignment="0" applyProtection="0"/>
    <xf numFmtId="0" fontId="20" fillId="65" borderId="0" applyNumberFormat="0" applyBorder="0" applyAlignment="0" applyProtection="0"/>
    <xf numFmtId="0" fontId="20" fillId="68" borderId="0" applyNumberFormat="0" applyBorder="0" applyAlignment="0" applyProtection="0"/>
    <xf numFmtId="0" fontId="20" fillId="69" borderId="0" applyNumberFormat="0" applyBorder="0" applyAlignment="0" applyProtection="0"/>
    <xf numFmtId="0" fontId="20" fillId="72" borderId="0" applyNumberFormat="0" applyBorder="0" applyAlignment="0" applyProtection="0"/>
    <xf numFmtId="0" fontId="20" fillId="73" borderId="0" applyNumberFormat="0" applyBorder="0" applyAlignment="0" applyProtection="0"/>
    <xf numFmtId="0" fontId="19" fillId="0" borderId="0"/>
    <xf numFmtId="0" fontId="19" fillId="51" borderId="69" applyNumberFormat="0" applyFont="0" applyAlignment="0" applyProtection="0"/>
    <xf numFmtId="0" fontId="19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7" borderId="0" applyNumberFormat="0" applyBorder="0" applyAlignment="0" applyProtection="0"/>
    <xf numFmtId="0" fontId="19" fillId="58" borderId="0" applyNumberFormat="0" applyBorder="0" applyAlignment="0" applyProtection="0"/>
    <xf numFmtId="0" fontId="19" fillId="75" borderId="0" applyNumberFormat="0" applyBorder="0" applyAlignment="0" applyProtection="0"/>
    <xf numFmtId="0" fontId="19" fillId="61" borderId="0" applyNumberFormat="0" applyBorder="0" applyAlignment="0" applyProtection="0"/>
    <xf numFmtId="0" fontId="19" fillId="64" borderId="0" applyNumberFormat="0" applyBorder="0" applyAlignment="0" applyProtection="0"/>
    <xf numFmtId="0" fontId="19" fillId="65" borderId="0" applyNumberFormat="0" applyBorder="0" applyAlignment="0" applyProtection="0"/>
    <xf numFmtId="0" fontId="19" fillId="68" borderId="0" applyNumberFormat="0" applyBorder="0" applyAlignment="0" applyProtection="0"/>
    <xf numFmtId="0" fontId="19" fillId="69" borderId="0" applyNumberFormat="0" applyBorder="0" applyAlignment="0" applyProtection="0"/>
    <xf numFmtId="0" fontId="19" fillId="72" borderId="0" applyNumberFormat="0" applyBorder="0" applyAlignment="0" applyProtection="0"/>
    <xf numFmtId="0" fontId="19" fillId="73" borderId="0" applyNumberFormat="0" applyBorder="0" applyAlignment="0" applyProtection="0"/>
    <xf numFmtId="0" fontId="125" fillId="0" borderId="0"/>
    <xf numFmtId="0" fontId="18" fillId="0" borderId="0"/>
    <xf numFmtId="174" fontId="18" fillId="0" borderId="0" applyFont="0" applyFill="0" applyBorder="0" applyAlignment="0" applyProtection="0"/>
    <xf numFmtId="0" fontId="18" fillId="51" borderId="69" applyNumberFormat="0" applyFont="0" applyAlignment="0" applyProtection="0"/>
    <xf numFmtId="0" fontId="18" fillId="53" borderId="0" applyNumberFormat="0" applyBorder="0" applyAlignment="0" applyProtection="0"/>
    <xf numFmtId="0" fontId="18" fillId="54" borderId="0" applyNumberFormat="0" applyBorder="0" applyAlignment="0" applyProtection="0"/>
    <xf numFmtId="0" fontId="18" fillId="57" borderId="0" applyNumberFormat="0" applyBorder="0" applyAlignment="0" applyProtection="0"/>
    <xf numFmtId="0" fontId="18" fillId="58" borderId="0" applyNumberFormat="0" applyBorder="0" applyAlignment="0" applyProtection="0"/>
    <xf numFmtId="0" fontId="18" fillId="75" borderId="0" applyNumberFormat="0" applyBorder="0" applyAlignment="0" applyProtection="0"/>
    <xf numFmtId="0" fontId="18" fillId="61" borderId="0" applyNumberFormat="0" applyBorder="0" applyAlignment="0" applyProtection="0"/>
    <xf numFmtId="0" fontId="18" fillId="64" borderId="0" applyNumberFormat="0" applyBorder="0" applyAlignment="0" applyProtection="0"/>
    <xf numFmtId="0" fontId="18" fillId="65" borderId="0" applyNumberFormat="0" applyBorder="0" applyAlignment="0" applyProtection="0"/>
    <xf numFmtId="0" fontId="18" fillId="68" borderId="0" applyNumberFormat="0" applyBorder="0" applyAlignment="0" applyProtection="0"/>
    <xf numFmtId="0" fontId="18" fillId="69" borderId="0" applyNumberFormat="0" applyBorder="0" applyAlignment="0" applyProtection="0"/>
    <xf numFmtId="0" fontId="18" fillId="72" borderId="0" applyNumberFormat="0" applyBorder="0" applyAlignment="0" applyProtection="0"/>
    <xf numFmtId="0" fontId="18" fillId="73" borderId="0" applyNumberFormat="0" applyBorder="0" applyAlignment="0" applyProtection="0"/>
    <xf numFmtId="0" fontId="17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51" borderId="69" applyNumberFormat="0" applyFont="0" applyAlignment="0" applyProtection="0"/>
    <xf numFmtId="0" fontId="15" fillId="53" borderId="0" applyNumberFormat="0" applyBorder="0" applyAlignment="0" applyProtection="0"/>
    <xf numFmtId="0" fontId="15" fillId="54" borderId="0" applyNumberFormat="0" applyBorder="0" applyAlignment="0" applyProtection="0"/>
    <xf numFmtId="0" fontId="15" fillId="57" borderId="0" applyNumberFormat="0" applyBorder="0" applyAlignment="0" applyProtection="0"/>
    <xf numFmtId="0" fontId="15" fillId="58" borderId="0" applyNumberFormat="0" applyBorder="0" applyAlignment="0" applyProtection="0"/>
    <xf numFmtId="0" fontId="15" fillId="75" borderId="0" applyNumberFormat="0" applyBorder="0" applyAlignment="0" applyProtection="0"/>
    <xf numFmtId="0" fontId="15" fillId="61" borderId="0" applyNumberFormat="0" applyBorder="0" applyAlignment="0" applyProtection="0"/>
    <xf numFmtId="0" fontId="15" fillId="64" borderId="0" applyNumberFormat="0" applyBorder="0" applyAlignment="0" applyProtection="0"/>
    <xf numFmtId="0" fontId="15" fillId="65" borderId="0" applyNumberFormat="0" applyBorder="0" applyAlignment="0" applyProtection="0"/>
    <xf numFmtId="0" fontId="15" fillId="0" borderId="0"/>
    <xf numFmtId="0" fontId="15" fillId="68" borderId="0" applyNumberFormat="0" applyBorder="0" applyAlignment="0" applyProtection="0"/>
    <xf numFmtId="0" fontId="15" fillId="69" borderId="0" applyNumberFormat="0" applyBorder="0" applyAlignment="0" applyProtection="0"/>
    <xf numFmtId="0" fontId="15" fillId="72" borderId="0" applyNumberFormat="0" applyBorder="0" applyAlignment="0" applyProtection="0"/>
    <xf numFmtId="0" fontId="15" fillId="73" borderId="0" applyNumberFormat="0" applyBorder="0" applyAlignment="0" applyProtection="0"/>
    <xf numFmtId="0" fontId="14" fillId="0" borderId="0"/>
    <xf numFmtId="174" fontId="14" fillId="0" borderId="0" applyFont="0" applyFill="0" applyBorder="0" applyAlignment="0" applyProtection="0"/>
    <xf numFmtId="0" fontId="14" fillId="0" borderId="0"/>
    <xf numFmtId="0" fontId="14" fillId="51" borderId="69" applyNumberFormat="0" applyFont="0" applyAlignment="0" applyProtection="0"/>
    <xf numFmtId="0" fontId="14" fillId="53" borderId="0" applyNumberFormat="0" applyBorder="0" applyAlignment="0" applyProtection="0"/>
    <xf numFmtId="0" fontId="14" fillId="54" borderId="0" applyNumberFormat="0" applyBorder="0" applyAlignment="0" applyProtection="0"/>
    <xf numFmtId="0" fontId="14" fillId="0" borderId="0"/>
    <xf numFmtId="0" fontId="14" fillId="57" borderId="0" applyNumberFormat="0" applyBorder="0" applyAlignment="0" applyProtection="0"/>
    <xf numFmtId="0" fontId="14" fillId="58" borderId="0" applyNumberFormat="0" applyBorder="0" applyAlignment="0" applyProtection="0"/>
    <xf numFmtId="0" fontId="14" fillId="0" borderId="0"/>
    <xf numFmtId="0" fontId="14" fillId="75" borderId="0" applyNumberFormat="0" applyBorder="0" applyAlignment="0" applyProtection="0"/>
    <xf numFmtId="0" fontId="14" fillId="61" borderId="0" applyNumberFormat="0" applyBorder="0" applyAlignment="0" applyProtection="0"/>
    <xf numFmtId="0" fontId="14" fillId="64" borderId="0" applyNumberFormat="0" applyBorder="0" applyAlignment="0" applyProtection="0"/>
    <xf numFmtId="0" fontId="14" fillId="65" borderId="0" applyNumberFormat="0" applyBorder="0" applyAlignment="0" applyProtection="0"/>
    <xf numFmtId="0" fontId="14" fillId="68" borderId="0" applyNumberFormat="0" applyBorder="0" applyAlignment="0" applyProtection="0"/>
    <xf numFmtId="0" fontId="14" fillId="69" borderId="0" applyNumberFormat="0" applyBorder="0" applyAlignment="0" applyProtection="0"/>
    <xf numFmtId="0" fontId="14" fillId="72" borderId="0" applyNumberFormat="0" applyBorder="0" applyAlignment="0" applyProtection="0"/>
    <xf numFmtId="0" fontId="14" fillId="73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174" fontId="13" fillId="0" borderId="0" applyFont="0" applyFill="0" applyBorder="0" applyAlignment="0" applyProtection="0"/>
    <xf numFmtId="0" fontId="13" fillId="0" borderId="0"/>
    <xf numFmtId="0" fontId="13" fillId="51" borderId="69" applyNumberFormat="0" applyFont="0" applyAlignment="0" applyProtection="0"/>
    <xf numFmtId="0" fontId="13" fillId="53" borderId="0" applyNumberFormat="0" applyBorder="0" applyAlignment="0" applyProtection="0"/>
    <xf numFmtId="0" fontId="13" fillId="54" borderId="0" applyNumberFormat="0" applyBorder="0" applyAlignment="0" applyProtection="0"/>
    <xf numFmtId="0" fontId="13" fillId="57" borderId="0" applyNumberFormat="0" applyBorder="0" applyAlignment="0" applyProtection="0"/>
    <xf numFmtId="0" fontId="13" fillId="58" borderId="0" applyNumberFormat="0" applyBorder="0" applyAlignment="0" applyProtection="0"/>
    <xf numFmtId="0" fontId="13" fillId="0" borderId="0"/>
    <xf numFmtId="0" fontId="13" fillId="75" borderId="0" applyNumberFormat="0" applyBorder="0" applyAlignment="0" applyProtection="0"/>
    <xf numFmtId="0" fontId="13" fillId="61" borderId="0" applyNumberFormat="0" applyBorder="0" applyAlignment="0" applyProtection="0"/>
    <xf numFmtId="0" fontId="13" fillId="64" borderId="0" applyNumberFormat="0" applyBorder="0" applyAlignment="0" applyProtection="0"/>
    <xf numFmtId="0" fontId="13" fillId="65" borderId="0" applyNumberFormat="0" applyBorder="0" applyAlignment="0" applyProtection="0"/>
    <xf numFmtId="0" fontId="13" fillId="68" borderId="0" applyNumberFormat="0" applyBorder="0" applyAlignment="0" applyProtection="0"/>
    <xf numFmtId="0" fontId="13" fillId="69" borderId="0" applyNumberFormat="0" applyBorder="0" applyAlignment="0" applyProtection="0"/>
    <xf numFmtId="0" fontId="13" fillId="0" borderId="0"/>
    <xf numFmtId="0" fontId="13" fillId="72" borderId="0" applyNumberFormat="0" applyBorder="0" applyAlignment="0" applyProtection="0"/>
    <xf numFmtId="0" fontId="13" fillId="7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51" borderId="69" applyNumberFormat="0" applyFont="0" applyAlignment="0" applyProtection="0"/>
    <xf numFmtId="0" fontId="12" fillId="53" borderId="0" applyNumberFormat="0" applyBorder="0" applyAlignment="0" applyProtection="0"/>
    <xf numFmtId="0" fontId="12" fillId="54" borderId="0" applyNumberFormat="0" applyBorder="0" applyAlignment="0" applyProtection="0"/>
    <xf numFmtId="0" fontId="12" fillId="57" borderId="0" applyNumberFormat="0" applyBorder="0" applyAlignment="0" applyProtection="0"/>
    <xf numFmtId="0" fontId="12" fillId="58" borderId="0" applyNumberFormat="0" applyBorder="0" applyAlignment="0" applyProtection="0"/>
    <xf numFmtId="0" fontId="12" fillId="75" borderId="0" applyNumberFormat="0" applyBorder="0" applyAlignment="0" applyProtection="0"/>
    <xf numFmtId="0" fontId="12" fillId="61" borderId="0" applyNumberFormat="0" applyBorder="0" applyAlignment="0" applyProtection="0"/>
    <xf numFmtId="0" fontId="12" fillId="64" borderId="0" applyNumberFormat="0" applyBorder="0" applyAlignment="0" applyProtection="0"/>
    <xf numFmtId="0" fontId="12" fillId="65" borderId="0" applyNumberFormat="0" applyBorder="0" applyAlignment="0" applyProtection="0"/>
    <xf numFmtId="0" fontId="12" fillId="68" borderId="0" applyNumberFormat="0" applyBorder="0" applyAlignment="0" applyProtection="0"/>
    <xf numFmtId="0" fontId="12" fillId="69" borderId="0" applyNumberFormat="0" applyBorder="0" applyAlignment="0" applyProtection="0"/>
    <xf numFmtId="0" fontId="12" fillId="72" borderId="0" applyNumberFormat="0" applyBorder="0" applyAlignment="0" applyProtection="0"/>
    <xf numFmtId="0" fontId="12" fillId="73" borderId="0" applyNumberFormat="0" applyBorder="0" applyAlignment="0" applyProtection="0"/>
    <xf numFmtId="0" fontId="12" fillId="0" borderId="0"/>
    <xf numFmtId="17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51" borderId="69" applyNumberFormat="0" applyFont="0" applyAlignment="0" applyProtection="0"/>
    <xf numFmtId="0" fontId="11" fillId="0" borderId="0"/>
    <xf numFmtId="0" fontId="11" fillId="53" borderId="0" applyNumberFormat="0" applyBorder="0" applyAlignment="0" applyProtection="0"/>
    <xf numFmtId="0" fontId="11" fillId="54" borderId="0" applyNumberFormat="0" applyBorder="0" applyAlignment="0" applyProtection="0"/>
    <xf numFmtId="0" fontId="11" fillId="57" borderId="0" applyNumberFormat="0" applyBorder="0" applyAlignment="0" applyProtection="0"/>
    <xf numFmtId="0" fontId="11" fillId="58" borderId="0" applyNumberFormat="0" applyBorder="0" applyAlignment="0" applyProtection="0"/>
    <xf numFmtId="0" fontId="11" fillId="75" borderId="0" applyNumberFormat="0" applyBorder="0" applyAlignment="0" applyProtection="0"/>
    <xf numFmtId="0" fontId="11" fillId="61" borderId="0" applyNumberFormat="0" applyBorder="0" applyAlignment="0" applyProtection="0"/>
    <xf numFmtId="0" fontId="11" fillId="64" borderId="0" applyNumberFormat="0" applyBorder="0" applyAlignment="0" applyProtection="0"/>
    <xf numFmtId="0" fontId="11" fillId="65" borderId="0" applyNumberFormat="0" applyBorder="0" applyAlignment="0" applyProtection="0"/>
    <xf numFmtId="0" fontId="11" fillId="68" borderId="0" applyNumberFormat="0" applyBorder="0" applyAlignment="0" applyProtection="0"/>
    <xf numFmtId="0" fontId="11" fillId="69" borderId="0" applyNumberFormat="0" applyBorder="0" applyAlignment="0" applyProtection="0"/>
    <xf numFmtId="0" fontId="11" fillId="72" borderId="0" applyNumberFormat="0" applyBorder="0" applyAlignment="0" applyProtection="0"/>
    <xf numFmtId="0" fontId="11" fillId="73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51" borderId="69" applyNumberFormat="0" applyFont="0" applyAlignment="0" applyProtection="0"/>
    <xf numFmtId="0" fontId="9" fillId="0" borderId="0"/>
    <xf numFmtId="174" fontId="9" fillId="0" borderId="0" applyFont="0" applyFill="0" applyBorder="0" applyAlignment="0" applyProtection="0"/>
    <xf numFmtId="0" fontId="9" fillId="53" borderId="0" applyNumberFormat="0" applyBorder="0" applyAlignment="0" applyProtection="0"/>
    <xf numFmtId="0" fontId="9" fillId="54" borderId="0" applyNumberFormat="0" applyBorder="0" applyAlignment="0" applyProtection="0"/>
    <xf numFmtId="0" fontId="9" fillId="57" borderId="0" applyNumberFormat="0" applyBorder="0" applyAlignment="0" applyProtection="0"/>
    <xf numFmtId="0" fontId="9" fillId="58" borderId="0" applyNumberFormat="0" applyBorder="0" applyAlignment="0" applyProtection="0"/>
    <xf numFmtId="0" fontId="9" fillId="75" borderId="0" applyNumberFormat="0" applyBorder="0" applyAlignment="0" applyProtection="0"/>
    <xf numFmtId="0" fontId="9" fillId="61" borderId="0" applyNumberFormat="0" applyBorder="0" applyAlignment="0" applyProtection="0"/>
    <xf numFmtId="0" fontId="9" fillId="64" borderId="0" applyNumberFormat="0" applyBorder="0" applyAlignment="0" applyProtection="0"/>
    <xf numFmtId="0" fontId="9" fillId="65" borderId="0" applyNumberFormat="0" applyBorder="0" applyAlignment="0" applyProtection="0"/>
    <xf numFmtId="0" fontId="9" fillId="68" borderId="0" applyNumberFormat="0" applyBorder="0" applyAlignment="0" applyProtection="0"/>
    <xf numFmtId="0" fontId="9" fillId="69" borderId="0" applyNumberFormat="0" applyBorder="0" applyAlignment="0" applyProtection="0"/>
    <xf numFmtId="0" fontId="9" fillId="0" borderId="0"/>
    <xf numFmtId="0" fontId="9" fillId="72" borderId="0" applyNumberFormat="0" applyBorder="0" applyAlignment="0" applyProtection="0"/>
    <xf numFmtId="0" fontId="9" fillId="73" borderId="0" applyNumberFormat="0" applyBorder="0" applyAlignment="0" applyProtection="0"/>
    <xf numFmtId="0" fontId="8" fillId="0" borderId="0"/>
    <xf numFmtId="0" fontId="8" fillId="51" borderId="69" applyNumberFormat="0" applyFont="0" applyAlignment="0" applyProtection="0"/>
    <xf numFmtId="0" fontId="8" fillId="53" borderId="0" applyNumberFormat="0" applyBorder="0" applyAlignment="0" applyProtection="0"/>
    <xf numFmtId="0" fontId="8" fillId="54" borderId="0" applyNumberFormat="0" applyBorder="0" applyAlignment="0" applyProtection="0"/>
    <xf numFmtId="174" fontId="8" fillId="0" borderId="0" applyFont="0" applyFill="0" applyBorder="0" applyAlignment="0" applyProtection="0"/>
    <xf numFmtId="0" fontId="8" fillId="57" borderId="0" applyNumberFormat="0" applyBorder="0" applyAlignment="0" applyProtection="0"/>
    <xf numFmtId="0" fontId="8" fillId="58" borderId="0" applyNumberFormat="0" applyBorder="0" applyAlignment="0" applyProtection="0"/>
    <xf numFmtId="0" fontId="8" fillId="75" borderId="0" applyNumberFormat="0" applyBorder="0" applyAlignment="0" applyProtection="0"/>
    <xf numFmtId="0" fontId="8" fillId="61" borderId="0" applyNumberFormat="0" applyBorder="0" applyAlignment="0" applyProtection="0"/>
    <xf numFmtId="0" fontId="8" fillId="64" borderId="0" applyNumberFormat="0" applyBorder="0" applyAlignment="0" applyProtection="0"/>
    <xf numFmtId="0" fontId="8" fillId="65" borderId="0" applyNumberFormat="0" applyBorder="0" applyAlignment="0" applyProtection="0"/>
    <xf numFmtId="0" fontId="8" fillId="68" borderId="0" applyNumberFormat="0" applyBorder="0" applyAlignment="0" applyProtection="0"/>
    <xf numFmtId="0" fontId="8" fillId="69" borderId="0" applyNumberFormat="0" applyBorder="0" applyAlignment="0" applyProtection="0"/>
    <xf numFmtId="0" fontId="8" fillId="72" borderId="0" applyNumberFormat="0" applyBorder="0" applyAlignment="0" applyProtection="0"/>
    <xf numFmtId="0" fontId="8" fillId="73" borderId="0" applyNumberFormat="0" applyBorder="0" applyAlignment="0" applyProtection="0"/>
    <xf numFmtId="0" fontId="7" fillId="0" borderId="0"/>
    <xf numFmtId="174" fontId="7" fillId="0" borderId="0" applyFont="0" applyFill="0" applyBorder="0" applyAlignment="0" applyProtection="0"/>
    <xf numFmtId="0" fontId="7" fillId="51" borderId="69" applyNumberFormat="0" applyFont="0" applyAlignment="0" applyProtection="0"/>
    <xf numFmtId="0" fontId="7" fillId="53" borderId="0" applyNumberFormat="0" applyBorder="0" applyAlignment="0" applyProtection="0"/>
    <xf numFmtId="0" fontId="7" fillId="54" borderId="0" applyNumberFormat="0" applyBorder="0" applyAlignment="0" applyProtection="0"/>
    <xf numFmtId="0" fontId="7" fillId="57" borderId="0" applyNumberFormat="0" applyBorder="0" applyAlignment="0" applyProtection="0"/>
    <xf numFmtId="0" fontId="7" fillId="58" borderId="0" applyNumberFormat="0" applyBorder="0" applyAlignment="0" applyProtection="0"/>
    <xf numFmtId="0" fontId="7" fillId="75" borderId="0" applyNumberFormat="0" applyBorder="0" applyAlignment="0" applyProtection="0"/>
    <xf numFmtId="0" fontId="7" fillId="61" borderId="0" applyNumberFormat="0" applyBorder="0" applyAlignment="0" applyProtection="0"/>
    <xf numFmtId="0" fontId="7" fillId="64" borderId="0" applyNumberFormat="0" applyBorder="0" applyAlignment="0" applyProtection="0"/>
    <xf numFmtId="0" fontId="7" fillId="65" borderId="0" applyNumberFormat="0" applyBorder="0" applyAlignment="0" applyProtection="0"/>
    <xf numFmtId="0" fontId="7" fillId="68" borderId="0" applyNumberFormat="0" applyBorder="0" applyAlignment="0" applyProtection="0"/>
    <xf numFmtId="0" fontId="7" fillId="69" borderId="0" applyNumberFormat="0" applyBorder="0" applyAlignment="0" applyProtection="0"/>
    <xf numFmtId="0" fontId="7" fillId="72" borderId="0" applyNumberFormat="0" applyBorder="0" applyAlignment="0" applyProtection="0"/>
    <xf numFmtId="0" fontId="7" fillId="73" borderId="0" applyNumberFormat="0" applyBorder="0" applyAlignment="0" applyProtection="0"/>
    <xf numFmtId="0" fontId="6" fillId="0" borderId="0"/>
    <xf numFmtId="174" fontId="6" fillId="0" borderId="0" applyFont="0" applyFill="0" applyBorder="0" applyAlignment="0" applyProtection="0"/>
    <xf numFmtId="0" fontId="6" fillId="51" borderId="69" applyNumberFormat="0" applyFont="0" applyAlignment="0" applyProtection="0"/>
    <xf numFmtId="0" fontId="6" fillId="53" borderId="0" applyNumberFormat="0" applyBorder="0" applyAlignment="0" applyProtection="0"/>
    <xf numFmtId="0" fontId="6" fillId="54" borderId="0" applyNumberFormat="0" applyBorder="0" applyAlignment="0" applyProtection="0"/>
    <xf numFmtId="0" fontId="6" fillId="57" borderId="0" applyNumberFormat="0" applyBorder="0" applyAlignment="0" applyProtection="0"/>
    <xf numFmtId="0" fontId="6" fillId="58" borderId="0" applyNumberFormat="0" applyBorder="0" applyAlignment="0" applyProtection="0"/>
    <xf numFmtId="0" fontId="6" fillId="75" borderId="0" applyNumberFormat="0" applyBorder="0" applyAlignment="0" applyProtection="0"/>
    <xf numFmtId="0" fontId="6" fillId="61" borderId="0" applyNumberFormat="0" applyBorder="0" applyAlignment="0" applyProtection="0"/>
    <xf numFmtId="0" fontId="6" fillId="64" borderId="0" applyNumberFormat="0" applyBorder="0" applyAlignment="0" applyProtection="0"/>
    <xf numFmtId="0" fontId="6" fillId="65" borderId="0" applyNumberFormat="0" applyBorder="0" applyAlignment="0" applyProtection="0"/>
    <xf numFmtId="0" fontId="6" fillId="68" borderId="0" applyNumberFormat="0" applyBorder="0" applyAlignment="0" applyProtection="0"/>
    <xf numFmtId="0" fontId="6" fillId="69" borderId="0" applyNumberFormat="0" applyBorder="0" applyAlignment="0" applyProtection="0"/>
    <xf numFmtId="0" fontId="6" fillId="72" borderId="0" applyNumberFormat="0" applyBorder="0" applyAlignment="0" applyProtection="0"/>
    <xf numFmtId="0" fontId="6" fillId="73" borderId="0" applyNumberFormat="0" applyBorder="0" applyAlignment="0" applyProtection="0"/>
    <xf numFmtId="0" fontId="5" fillId="0" borderId="0"/>
    <xf numFmtId="174" fontId="5" fillId="0" borderId="0" applyFont="0" applyFill="0" applyBorder="0" applyAlignment="0" applyProtection="0"/>
    <xf numFmtId="0" fontId="5" fillId="51" borderId="69" applyNumberFormat="0" applyFont="0" applyAlignment="0" applyProtection="0"/>
    <xf numFmtId="0" fontId="5" fillId="53" borderId="0" applyNumberFormat="0" applyBorder="0" applyAlignment="0" applyProtection="0"/>
    <xf numFmtId="0" fontId="5" fillId="54" borderId="0" applyNumberFormat="0" applyBorder="0" applyAlignment="0" applyProtection="0"/>
    <xf numFmtId="0" fontId="5" fillId="57" borderId="0" applyNumberFormat="0" applyBorder="0" applyAlignment="0" applyProtection="0"/>
    <xf numFmtId="0" fontId="5" fillId="58" borderId="0" applyNumberFormat="0" applyBorder="0" applyAlignment="0" applyProtection="0"/>
    <xf numFmtId="0" fontId="5" fillId="75" borderId="0" applyNumberFormat="0" applyBorder="0" applyAlignment="0" applyProtection="0"/>
    <xf numFmtId="0" fontId="5" fillId="61" borderId="0" applyNumberFormat="0" applyBorder="0" applyAlignment="0" applyProtection="0"/>
    <xf numFmtId="0" fontId="5" fillId="64" borderId="0" applyNumberFormat="0" applyBorder="0" applyAlignment="0" applyProtection="0"/>
    <xf numFmtId="0" fontId="5" fillId="65" borderId="0" applyNumberFormat="0" applyBorder="0" applyAlignment="0" applyProtection="0"/>
    <xf numFmtId="0" fontId="5" fillId="68" borderId="0" applyNumberFormat="0" applyBorder="0" applyAlignment="0" applyProtection="0"/>
    <xf numFmtId="0" fontId="5" fillId="69" borderId="0" applyNumberFormat="0" applyBorder="0" applyAlignment="0" applyProtection="0"/>
    <xf numFmtId="0" fontId="5" fillId="72" borderId="0" applyNumberFormat="0" applyBorder="0" applyAlignment="0" applyProtection="0"/>
    <xf numFmtId="0" fontId="5" fillId="73" borderId="0" applyNumberFormat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4" fillId="51" borderId="69" applyNumberFormat="0" applyFont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  <xf numFmtId="0" fontId="4" fillId="57" borderId="0" applyNumberFormat="0" applyBorder="0" applyAlignment="0" applyProtection="0"/>
    <xf numFmtId="0" fontId="4" fillId="58" borderId="0" applyNumberFormat="0" applyBorder="0" applyAlignment="0" applyProtection="0"/>
    <xf numFmtId="0" fontId="4" fillId="75" borderId="0" applyNumberFormat="0" applyBorder="0" applyAlignment="0" applyProtection="0"/>
    <xf numFmtId="0" fontId="4" fillId="61" borderId="0" applyNumberFormat="0" applyBorder="0" applyAlignment="0" applyProtection="0"/>
    <xf numFmtId="0" fontId="4" fillId="64" borderId="0" applyNumberFormat="0" applyBorder="0" applyAlignment="0" applyProtection="0"/>
    <xf numFmtId="0" fontId="4" fillId="65" borderId="0" applyNumberFormat="0" applyBorder="0" applyAlignment="0" applyProtection="0"/>
    <xf numFmtId="0" fontId="4" fillId="68" borderId="0" applyNumberFormat="0" applyBorder="0" applyAlignment="0" applyProtection="0"/>
    <xf numFmtId="0" fontId="4" fillId="69" borderId="0" applyNumberFormat="0" applyBorder="0" applyAlignment="0" applyProtection="0"/>
    <xf numFmtId="0" fontId="4" fillId="72" borderId="0" applyNumberFormat="0" applyBorder="0" applyAlignment="0" applyProtection="0"/>
    <xf numFmtId="0" fontId="4" fillId="73" borderId="0" applyNumberFormat="0" applyBorder="0" applyAlignment="0" applyProtection="0"/>
    <xf numFmtId="9" fontId="129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759">
    <xf numFmtId="0" fontId="0" fillId="0" borderId="0" xfId="0"/>
    <xf numFmtId="0" fontId="30" fillId="0" borderId="0" xfId="0" applyFont="1"/>
    <xf numFmtId="0" fontId="33" fillId="25" borderId="13" xfId="0" applyFont="1" applyFill="1" applyBorder="1" applyAlignment="1">
      <alignment wrapText="1"/>
    </xf>
    <xf numFmtId="0" fontId="64" fillId="0" borderId="0" xfId="0" applyFont="1"/>
    <xf numFmtId="168" fontId="0" fillId="0" borderId="0" xfId="30" applyNumberFormat="1" applyFont="1"/>
    <xf numFmtId="0" fontId="65" fillId="0" borderId="0" xfId="0" applyFont="1"/>
    <xf numFmtId="0" fontId="0" fillId="0" borderId="0" xfId="0" applyAlignment="1">
      <alignment wrapText="1"/>
    </xf>
    <xf numFmtId="0" fontId="35" fillId="24" borderId="13" xfId="3" applyFont="1" applyFill="1" applyBorder="1" applyAlignment="1" applyProtection="1">
      <alignment wrapText="1"/>
    </xf>
    <xf numFmtId="168" fontId="37" fillId="0" borderId="13" xfId="30" applyNumberFormat="1" applyFont="1" applyBorder="1" applyAlignment="1" applyProtection="1">
      <alignment horizontal="center"/>
    </xf>
    <xf numFmtId="168" fontId="37" fillId="0" borderId="14" xfId="30" applyNumberFormat="1" applyFont="1" applyBorder="1" applyAlignment="1" applyProtection="1">
      <alignment horizontal="center"/>
    </xf>
    <xf numFmtId="168" fontId="37" fillId="0" borderId="15" xfId="30" applyNumberFormat="1" applyFont="1" applyBorder="1" applyAlignment="1" applyProtection="1">
      <alignment horizontal="center"/>
    </xf>
    <xf numFmtId="168" fontId="37" fillId="0" borderId="0" xfId="30" applyNumberFormat="1" applyFont="1" applyBorder="1" applyAlignment="1" applyProtection="1">
      <alignment horizontal="center"/>
    </xf>
    <xf numFmtId="168" fontId="0" fillId="0" borderId="13" xfId="30" applyNumberFormat="1" applyFont="1" applyBorder="1"/>
    <xf numFmtId="168" fontId="0" fillId="0" borderId="14" xfId="30" applyNumberFormat="1" applyFont="1" applyBorder="1"/>
    <xf numFmtId="168" fontId="0" fillId="0" borderId="15" xfId="30" applyNumberFormat="1" applyFont="1" applyBorder="1"/>
    <xf numFmtId="168" fontId="0" fillId="0" borderId="10" xfId="30" applyNumberFormat="1" applyFont="1" applyBorder="1"/>
    <xf numFmtId="168" fontId="0" fillId="0" borderId="0" xfId="30" applyNumberFormat="1" applyFont="1" applyBorder="1"/>
    <xf numFmtId="168" fontId="0" fillId="0" borderId="20" xfId="30" applyNumberFormat="1" applyFont="1" applyBorder="1"/>
    <xf numFmtId="168" fontId="66" fillId="0" borderId="13" xfId="30" applyNumberFormat="1" applyFont="1" applyBorder="1"/>
    <xf numFmtId="168" fontId="66" fillId="0" borderId="14" xfId="30" applyNumberFormat="1" applyFont="1" applyBorder="1"/>
    <xf numFmtId="168" fontId="67" fillId="0" borderId="15" xfId="30" applyNumberFormat="1" applyFont="1" applyBorder="1"/>
    <xf numFmtId="168" fontId="0" fillId="0" borderId="0" xfId="0" applyNumberFormat="1"/>
    <xf numFmtId="0" fontId="67" fillId="31" borderId="0" xfId="0" applyFont="1" applyFill="1" applyAlignment="1">
      <alignment wrapText="1"/>
    </xf>
    <xf numFmtId="0" fontId="0" fillId="0" borderId="0" xfId="0" pivotButton="1"/>
    <xf numFmtId="168" fontId="0" fillId="0" borderId="0" xfId="30" applyNumberFormat="1" applyFont="1" applyFill="1"/>
    <xf numFmtId="168" fontId="30" fillId="0" borderId="0" xfId="30" applyNumberFormat="1" applyFont="1" applyFill="1" applyBorder="1" applyProtection="1"/>
    <xf numFmtId="168" fontId="33" fillId="25" borderId="14" xfId="30" applyNumberFormat="1" applyFont="1" applyFill="1" applyBorder="1" applyProtection="1"/>
    <xf numFmtId="168" fontId="30" fillId="25" borderId="16" xfId="30" applyNumberFormat="1" applyFont="1" applyFill="1" applyBorder="1" applyProtection="1"/>
    <xf numFmtId="168" fontId="30" fillId="0" borderId="0" xfId="30" applyNumberFormat="1" applyFont="1" applyBorder="1" applyProtection="1"/>
    <xf numFmtId="168" fontId="28" fillId="25" borderId="16" xfId="30" applyNumberFormat="1" applyFont="1" applyFill="1" applyBorder="1" applyProtection="1"/>
    <xf numFmtId="168" fontId="34" fillId="25" borderId="16" xfId="30" applyNumberFormat="1" applyFont="1" applyFill="1" applyBorder="1" applyProtection="1"/>
    <xf numFmtId="168" fontId="28" fillId="0" borderId="0" xfId="30" applyNumberFormat="1" applyFont="1" applyFill="1" applyBorder="1" applyProtection="1"/>
    <xf numFmtId="168" fontId="30" fillId="26" borderId="0" xfId="30" applyNumberFormat="1" applyFont="1" applyFill="1" applyBorder="1" applyProtection="1"/>
    <xf numFmtId="0" fontId="29" fillId="0" borderId="0" xfId="0" applyFont="1"/>
    <xf numFmtId="0" fontId="68" fillId="0" borderId="0" xfId="0" applyFont="1"/>
    <xf numFmtId="168" fontId="30" fillId="26" borderId="28" xfId="30" applyNumberFormat="1" applyFont="1" applyFill="1" applyBorder="1" applyProtection="1"/>
    <xf numFmtId="168" fontId="30" fillId="26" borderId="23" xfId="30" applyNumberFormat="1" applyFont="1" applyFill="1" applyBorder="1" applyProtection="1"/>
    <xf numFmtId="168" fontId="33" fillId="0" borderId="16" xfId="30" applyNumberFormat="1" applyFont="1" applyFill="1" applyBorder="1" applyProtection="1"/>
    <xf numFmtId="0" fontId="26" fillId="0" borderId="0" xfId="0" applyFont="1"/>
    <xf numFmtId="14" fontId="0" fillId="0" borderId="0" xfId="0" applyNumberFormat="1"/>
    <xf numFmtId="168" fontId="33" fillId="0" borderId="25" xfId="30" applyNumberFormat="1" applyFont="1" applyFill="1" applyBorder="1" applyProtection="1"/>
    <xf numFmtId="168" fontId="33" fillId="0" borderId="29" xfId="30" applyNumberFormat="1" applyFont="1" applyFill="1" applyBorder="1" applyProtection="1"/>
    <xf numFmtId="168" fontId="33" fillId="0" borderId="22" xfId="30" applyNumberFormat="1" applyFont="1" applyFill="1" applyBorder="1" applyProtection="1"/>
    <xf numFmtId="3" fontId="70" fillId="0" borderId="22" xfId="0" applyNumberFormat="1" applyFont="1" applyBorder="1" applyAlignment="1">
      <alignment horizontal="center"/>
    </xf>
    <xf numFmtId="3" fontId="70" fillId="0" borderId="30" xfId="0" applyNumberFormat="1" applyFont="1" applyBorder="1" applyAlignment="1">
      <alignment horizontal="center"/>
    </xf>
    <xf numFmtId="168" fontId="30" fillId="0" borderId="22" xfId="30" applyNumberFormat="1" applyFont="1" applyFill="1" applyBorder="1" applyProtection="1"/>
    <xf numFmtId="168" fontId="33" fillId="25" borderId="24" xfId="30" applyNumberFormat="1" applyFont="1" applyFill="1" applyBorder="1" applyProtection="1"/>
    <xf numFmtId="168" fontId="30" fillId="25" borderId="25" xfId="30" applyNumberFormat="1" applyFont="1" applyFill="1" applyBorder="1" applyProtection="1"/>
    <xf numFmtId="168" fontId="30" fillId="26" borderId="22" xfId="30" applyNumberFormat="1" applyFont="1" applyFill="1" applyBorder="1" applyProtection="1"/>
    <xf numFmtId="168" fontId="32" fillId="25" borderId="22" xfId="30" applyNumberFormat="1" applyFont="1" applyFill="1" applyBorder="1" applyProtection="1"/>
    <xf numFmtId="168" fontId="28" fillId="25" borderId="26" xfId="30" applyNumberFormat="1" applyFont="1" applyFill="1" applyBorder="1" applyProtection="1"/>
    <xf numFmtId="168" fontId="30" fillId="0" borderId="22" xfId="30" applyNumberFormat="1" applyFont="1" applyBorder="1" applyProtection="1"/>
    <xf numFmtId="168" fontId="28" fillId="25" borderId="25" xfId="30" applyNumberFormat="1" applyFont="1" applyFill="1" applyBorder="1" applyProtection="1"/>
    <xf numFmtId="168" fontId="34" fillId="25" borderId="25" xfId="30" applyNumberFormat="1" applyFont="1" applyFill="1" applyBorder="1" applyProtection="1"/>
    <xf numFmtId="168" fontId="28" fillId="0" borderId="22" xfId="30" applyNumberFormat="1" applyFont="1" applyFill="1" applyBorder="1" applyProtection="1"/>
    <xf numFmtId="168" fontId="30" fillId="26" borderId="30" xfId="30" applyNumberFormat="1" applyFont="1" applyFill="1" applyBorder="1" applyProtection="1"/>
    <xf numFmtId="168" fontId="28" fillId="26" borderId="0" xfId="30" applyNumberFormat="1" applyFont="1" applyFill="1" applyBorder="1" applyProtection="1"/>
    <xf numFmtId="168" fontId="28" fillId="26" borderId="22" xfId="30" applyNumberFormat="1" applyFont="1" applyFill="1" applyBorder="1" applyProtection="1"/>
    <xf numFmtId="168" fontId="0" fillId="0" borderId="0" xfId="0" pivotButton="1" applyNumberFormat="1"/>
    <xf numFmtId="168" fontId="28" fillId="25" borderId="17" xfId="30" applyNumberFormat="1" applyFont="1" applyFill="1" applyBorder="1" applyProtection="1"/>
    <xf numFmtId="0" fontId="72" fillId="0" borderId="22" xfId="0" applyFont="1" applyBorder="1" applyAlignment="1">
      <alignment horizontal="left" indent="1"/>
    </xf>
    <xf numFmtId="168" fontId="32" fillId="25" borderId="0" xfId="30" applyNumberFormat="1" applyFont="1" applyFill="1" applyBorder="1" applyProtection="1"/>
    <xf numFmtId="0" fontId="72" fillId="0" borderId="0" xfId="0" applyFont="1" applyAlignment="1">
      <alignment horizontal="left" indent="1"/>
    </xf>
    <xf numFmtId="168" fontId="0" fillId="0" borderId="22" xfId="0" applyNumberFormat="1" applyBorder="1"/>
    <xf numFmtId="168" fontId="33" fillId="0" borderId="25" xfId="30" applyNumberFormat="1" applyFont="1" applyFill="1" applyBorder="1" applyAlignment="1" applyProtection="1">
      <alignment horizontal="left"/>
    </xf>
    <xf numFmtId="168" fontId="33" fillId="0" borderId="0" xfId="30" applyNumberFormat="1" applyFont="1" applyFill="1" applyBorder="1" applyProtection="1"/>
    <xf numFmtId="168" fontId="30" fillId="0" borderId="22" xfId="30" applyNumberFormat="1" applyFont="1" applyFill="1" applyBorder="1" applyAlignment="1" applyProtection="1">
      <alignment horizontal="center"/>
    </xf>
    <xf numFmtId="168" fontId="33" fillId="0" borderId="22" xfId="30" applyNumberFormat="1" applyFont="1" applyFill="1" applyBorder="1" applyAlignment="1" applyProtection="1">
      <alignment horizontal="left"/>
    </xf>
    <xf numFmtId="168" fontId="33" fillId="28" borderId="25" xfId="30" applyNumberFormat="1" applyFont="1" applyFill="1" applyBorder="1" applyAlignment="1" applyProtection="1">
      <alignment horizontal="left"/>
    </xf>
    <xf numFmtId="168" fontId="33" fillId="28" borderId="16" xfId="30" applyNumberFormat="1" applyFont="1" applyFill="1" applyBorder="1" applyProtection="1"/>
    <xf numFmtId="0" fontId="0" fillId="0" borderId="0" xfId="0" applyAlignment="1">
      <alignment vertical="center"/>
    </xf>
    <xf numFmtId="3" fontId="70" fillId="0" borderId="34" xfId="0" applyNumberFormat="1" applyFont="1" applyBorder="1" applyAlignment="1">
      <alignment horizontal="center"/>
    </xf>
    <xf numFmtId="168" fontId="33" fillId="28" borderId="29" xfId="30" applyNumberFormat="1" applyFont="1" applyFill="1" applyBorder="1" applyAlignment="1" applyProtection="1">
      <alignment horizontal="left"/>
    </xf>
    <xf numFmtId="168" fontId="33" fillId="28" borderId="27" xfId="30" applyNumberFormat="1" applyFont="1" applyFill="1" applyBorder="1" applyProtection="1"/>
    <xf numFmtId="168" fontId="33" fillId="28" borderId="22" xfId="30" applyNumberFormat="1" applyFont="1" applyFill="1" applyBorder="1" applyAlignment="1" applyProtection="1">
      <alignment horizontal="left"/>
    </xf>
    <xf numFmtId="168" fontId="33" fillId="28" borderId="0" xfId="30" applyNumberFormat="1" applyFont="1" applyFill="1" applyBorder="1" applyAlignment="1" applyProtection="1"/>
    <xf numFmtId="168" fontId="33" fillId="28" borderId="0" xfId="30" applyNumberFormat="1" applyFont="1" applyFill="1" applyBorder="1" applyProtection="1"/>
    <xf numFmtId="168" fontId="33" fillId="28" borderId="34" xfId="30" applyNumberFormat="1" applyFont="1" applyFill="1" applyBorder="1" applyAlignment="1" applyProtection="1">
      <alignment horizontal="left"/>
    </xf>
    <xf numFmtId="168" fontId="33" fillId="28" borderId="35" xfId="30" applyNumberFormat="1" applyFont="1" applyFill="1" applyBorder="1" applyProtection="1"/>
    <xf numFmtId="2" fontId="28" fillId="0" borderId="22" xfId="0" applyNumberFormat="1" applyFont="1" applyBorder="1"/>
    <xf numFmtId="2" fontId="28" fillId="0" borderId="0" xfId="0" applyNumberFormat="1" applyFont="1"/>
    <xf numFmtId="3" fontId="33" fillId="28" borderId="22" xfId="0" applyNumberFormat="1" applyFont="1" applyFill="1" applyBorder="1" applyAlignment="1">
      <alignment horizontal="center"/>
    </xf>
    <xf numFmtId="3" fontId="33" fillId="28" borderId="30" xfId="0" applyNumberFormat="1" applyFont="1" applyFill="1" applyBorder="1" applyAlignment="1">
      <alignment horizontal="center"/>
    </xf>
    <xf numFmtId="3" fontId="33" fillId="28" borderId="23" xfId="0" applyNumberFormat="1" applyFont="1" applyFill="1" applyBorder="1" applyAlignment="1">
      <alignment horizontal="center"/>
    </xf>
    <xf numFmtId="3" fontId="33" fillId="28" borderId="34" xfId="0" applyNumberFormat="1" applyFont="1" applyFill="1" applyBorder="1" applyAlignment="1">
      <alignment horizontal="center"/>
    </xf>
    <xf numFmtId="3" fontId="33" fillId="28" borderId="35" xfId="0" applyNumberFormat="1" applyFont="1" applyFill="1" applyBorder="1" applyAlignment="1">
      <alignment horizontal="center"/>
    </xf>
    <xf numFmtId="0" fontId="32" fillId="28" borderId="23" xfId="0" applyFont="1" applyFill="1" applyBorder="1"/>
    <xf numFmtId="3" fontId="33" fillId="0" borderId="22" xfId="0" applyNumberFormat="1" applyFont="1" applyBorder="1" applyAlignment="1">
      <alignment horizontal="center"/>
    </xf>
    <xf numFmtId="0" fontId="37" fillId="0" borderId="0" xfId="0" applyFont="1"/>
    <xf numFmtId="0" fontId="33" fillId="0" borderId="25" xfId="0" applyFont="1" applyBorder="1" applyAlignment="1">
      <alignment wrapText="1"/>
    </xf>
    <xf numFmtId="0" fontId="28" fillId="0" borderId="0" xfId="0" applyFont="1" applyAlignment="1">
      <alignment wrapText="1"/>
    </xf>
    <xf numFmtId="169" fontId="30" fillId="28" borderId="0" xfId="0" applyNumberFormat="1" applyFont="1" applyFill="1" applyAlignment="1">
      <alignment wrapText="1"/>
    </xf>
    <xf numFmtId="0" fontId="28" fillId="28" borderId="0" xfId="0" applyFont="1" applyFill="1" applyAlignment="1">
      <alignment wrapText="1"/>
    </xf>
    <xf numFmtId="0" fontId="30" fillId="0" borderId="0" xfId="0" applyFont="1" applyAlignment="1">
      <alignment wrapText="1"/>
    </xf>
    <xf numFmtId="0" fontId="32" fillId="0" borderId="22" xfId="0" applyFont="1" applyBorder="1" applyAlignment="1">
      <alignment wrapText="1"/>
    </xf>
    <xf numFmtId="0" fontId="33" fillId="25" borderId="25" xfId="0" applyFont="1" applyFill="1" applyBorder="1" applyAlignment="1">
      <alignment wrapText="1"/>
    </xf>
    <xf numFmtId="0" fontId="32" fillId="0" borderId="22" xfId="0" applyFont="1" applyBorder="1" applyAlignment="1">
      <alignment horizontal="left" wrapText="1"/>
    </xf>
    <xf numFmtId="0" fontId="33" fillId="25" borderId="22" xfId="0" applyFont="1" applyFill="1" applyBorder="1" applyAlignment="1">
      <alignment wrapText="1"/>
    </xf>
    <xf numFmtId="0" fontId="71" fillId="0" borderId="22" xfId="0" applyFont="1" applyBorder="1" applyAlignment="1">
      <alignment horizontal="left" wrapText="1"/>
    </xf>
    <xf numFmtId="0" fontId="30" fillId="0" borderId="22" xfId="0" applyFont="1" applyBorder="1" applyAlignment="1">
      <alignment wrapText="1"/>
    </xf>
    <xf numFmtId="0" fontId="32" fillId="0" borderId="26" xfId="0" applyFont="1" applyBorder="1" applyAlignment="1">
      <alignment wrapText="1"/>
    </xf>
    <xf numFmtId="0" fontId="33" fillId="0" borderId="22" xfId="0" applyFont="1" applyBorder="1" applyAlignment="1">
      <alignment horizontal="left" wrapText="1"/>
    </xf>
    <xf numFmtId="0" fontId="32" fillId="0" borderId="30" xfId="0" applyFont="1" applyBorder="1" applyAlignment="1">
      <alignment horizontal="left" wrapText="1"/>
    </xf>
    <xf numFmtId="49" fontId="33" fillId="0" borderId="22" xfId="0" applyNumberFormat="1" applyFont="1" applyBorder="1" applyAlignment="1">
      <alignment horizontal="left" wrapText="1"/>
    </xf>
    <xf numFmtId="169" fontId="28" fillId="28" borderId="0" xfId="0" applyNumberFormat="1" applyFont="1" applyFill="1" applyAlignment="1">
      <alignment wrapText="1"/>
    </xf>
    <xf numFmtId="14" fontId="81" fillId="0" borderId="25" xfId="30" applyNumberFormat="1" applyFont="1" applyFill="1" applyBorder="1" applyAlignment="1" applyProtection="1">
      <alignment horizontal="center" vertical="center"/>
    </xf>
    <xf numFmtId="14" fontId="81" fillId="0" borderId="0" xfId="30" applyNumberFormat="1" applyFont="1" applyFill="1" applyBorder="1" applyAlignment="1" applyProtection="1">
      <alignment horizontal="center" vertical="center"/>
    </xf>
    <xf numFmtId="168" fontId="82" fillId="32" borderId="22" xfId="30" applyNumberFormat="1" applyFont="1" applyFill="1" applyBorder="1" applyAlignment="1" applyProtection="1">
      <alignment horizontal="center"/>
    </xf>
    <xf numFmtId="168" fontId="82" fillId="32" borderId="0" xfId="30" applyNumberFormat="1" applyFont="1" applyFill="1" applyBorder="1" applyAlignment="1" applyProtection="1">
      <alignment horizontal="center"/>
    </xf>
    <xf numFmtId="14" fontId="28" fillId="0" borderId="25" xfId="30" applyNumberFormat="1" applyFont="1" applyFill="1" applyBorder="1" applyAlignment="1" applyProtection="1">
      <alignment horizontal="center" vertical="center"/>
    </xf>
    <xf numFmtId="168" fontId="83" fillId="32" borderId="22" xfId="30" applyNumberFormat="1" applyFont="1" applyFill="1" applyBorder="1" applyAlignment="1" applyProtection="1">
      <alignment horizontal="center"/>
    </xf>
    <xf numFmtId="168" fontId="33" fillId="0" borderId="29" xfId="30" applyNumberFormat="1" applyFont="1" applyFill="1" applyBorder="1" applyAlignment="1" applyProtection="1">
      <alignment horizontal="left"/>
    </xf>
    <xf numFmtId="168" fontId="33" fillId="0" borderId="27" xfId="30" applyNumberFormat="1" applyFont="1" applyFill="1" applyBorder="1" applyProtection="1"/>
    <xf numFmtId="168" fontId="33" fillId="0" borderId="0" xfId="30" applyNumberFormat="1" applyFont="1" applyFill="1" applyBorder="1" applyAlignment="1" applyProtection="1"/>
    <xf numFmtId="3" fontId="33" fillId="0" borderId="30" xfId="0" applyNumberFormat="1" applyFont="1" applyBorder="1" applyAlignment="1">
      <alignment horizontal="center"/>
    </xf>
    <xf numFmtId="3" fontId="33" fillId="0" borderId="23" xfId="0" applyNumberFormat="1" applyFont="1" applyBorder="1" applyAlignment="1">
      <alignment horizontal="center"/>
    </xf>
    <xf numFmtId="3" fontId="33" fillId="0" borderId="34" xfId="0" applyNumberFormat="1" applyFont="1" applyBorder="1" applyAlignment="1">
      <alignment horizontal="center"/>
    </xf>
    <xf numFmtId="3" fontId="33" fillId="0" borderId="35" xfId="0" applyNumberFormat="1" applyFont="1" applyBorder="1" applyAlignment="1">
      <alignment horizontal="center"/>
    </xf>
    <xf numFmtId="0" fontId="32" fillId="0" borderId="23" xfId="0" applyFont="1" applyBorder="1"/>
    <xf numFmtId="168" fontId="33" fillId="0" borderId="34" xfId="30" applyNumberFormat="1" applyFont="1" applyFill="1" applyBorder="1" applyAlignment="1" applyProtection="1">
      <alignment horizontal="left"/>
    </xf>
    <xf numFmtId="3" fontId="33" fillId="0" borderId="0" xfId="0" applyNumberFormat="1" applyFont="1" applyAlignment="1">
      <alignment horizontal="center"/>
    </xf>
    <xf numFmtId="0" fontId="75" fillId="35" borderId="24" xfId="3" applyFont="1" applyFill="1" applyBorder="1" applyAlignment="1" applyProtection="1">
      <alignment vertical="center" wrapText="1"/>
    </xf>
    <xf numFmtId="168" fontId="36" fillId="24" borderId="24" xfId="30" applyNumberFormat="1" applyFont="1" applyFill="1" applyBorder="1" applyAlignment="1" applyProtection="1">
      <alignment vertical="center"/>
    </xf>
    <xf numFmtId="168" fontId="36" fillId="24" borderId="14" xfId="30" applyNumberFormat="1" applyFont="1" applyFill="1" applyBorder="1" applyAlignment="1" applyProtection="1">
      <alignment vertical="center"/>
    </xf>
    <xf numFmtId="168" fontId="36" fillId="24" borderId="13" xfId="30" applyNumberFormat="1" applyFont="1" applyFill="1" applyBorder="1" applyAlignment="1" applyProtection="1">
      <alignment vertical="center"/>
    </xf>
    <xf numFmtId="168" fontId="86" fillId="26" borderId="22" xfId="30" applyNumberFormat="1" applyFont="1" applyFill="1" applyBorder="1" applyProtection="1"/>
    <xf numFmtId="0" fontId="28" fillId="26" borderId="12" xfId="0" applyFont="1" applyFill="1" applyBorder="1" applyAlignment="1">
      <alignment wrapText="1"/>
    </xf>
    <xf numFmtId="0" fontId="28" fillId="0" borderId="10" xfId="0" applyFont="1" applyBorder="1" applyAlignment="1">
      <alignment wrapText="1"/>
    </xf>
    <xf numFmtId="0" fontId="31" fillId="0" borderId="10" xfId="0" applyFont="1" applyBorder="1" applyAlignment="1">
      <alignment wrapText="1"/>
    </xf>
    <xf numFmtId="0" fontId="30" fillId="0" borderId="10" xfId="0" applyFont="1" applyBorder="1" applyAlignment="1">
      <alignment wrapText="1"/>
    </xf>
    <xf numFmtId="14" fontId="28" fillId="26" borderId="10" xfId="0" applyNumberFormat="1" applyFont="1" applyFill="1" applyBorder="1" applyAlignment="1">
      <alignment horizontal="left" wrapText="1"/>
    </xf>
    <xf numFmtId="3" fontId="33" fillId="28" borderId="0" xfId="0" applyNumberFormat="1" applyFont="1" applyFill="1" applyAlignment="1">
      <alignment horizontal="center"/>
    </xf>
    <xf numFmtId="0" fontId="28" fillId="25" borderId="24" xfId="0" applyFont="1" applyFill="1" applyBorder="1" applyAlignment="1">
      <alignment vertical="center" wrapText="1"/>
    </xf>
    <xf numFmtId="168" fontId="28" fillId="25" borderId="24" xfId="30" applyNumberFormat="1" applyFont="1" applyFill="1" applyBorder="1" applyAlignment="1" applyProtection="1">
      <alignment vertical="center"/>
    </xf>
    <xf numFmtId="168" fontId="28" fillId="25" borderId="13" xfId="30" applyNumberFormat="1" applyFont="1" applyFill="1" applyBorder="1" applyAlignment="1" applyProtection="1">
      <alignment vertical="center"/>
    </xf>
    <xf numFmtId="168" fontId="28" fillId="25" borderId="14" xfId="30" applyNumberFormat="1" applyFont="1" applyFill="1" applyBorder="1" applyAlignment="1" applyProtection="1">
      <alignment vertical="center"/>
    </xf>
    <xf numFmtId="0" fontId="28" fillId="24" borderId="24" xfId="0" applyFont="1" applyFill="1" applyBorder="1" applyAlignment="1">
      <alignment vertical="center" wrapText="1"/>
    </xf>
    <xf numFmtId="168" fontId="28" fillId="24" borderId="24" xfId="30" applyNumberFormat="1" applyFont="1" applyFill="1" applyBorder="1" applyAlignment="1" applyProtection="1">
      <alignment vertical="center"/>
    </xf>
    <xf numFmtId="168" fontId="28" fillId="24" borderId="14" xfId="30" applyNumberFormat="1" applyFont="1" applyFill="1" applyBorder="1" applyAlignment="1" applyProtection="1">
      <alignment vertical="center"/>
    </xf>
    <xf numFmtId="0" fontId="28" fillId="25" borderId="25" xfId="0" applyFont="1" applyFill="1" applyBorder="1" applyAlignment="1">
      <alignment wrapText="1"/>
    </xf>
    <xf numFmtId="0" fontId="89" fillId="37" borderId="0" xfId="59" applyFont="1" applyFill="1" applyAlignment="1">
      <alignment horizontal="left"/>
    </xf>
    <xf numFmtId="170" fontId="89" fillId="37" borderId="0" xfId="59" applyNumberFormat="1" applyFont="1" applyFill="1" applyAlignment="1">
      <alignment horizontal="right" vertical="center"/>
    </xf>
    <xf numFmtId="0" fontId="27" fillId="30" borderId="0" xfId="59" applyFont="1" applyFill="1" applyAlignment="1">
      <alignment horizontal="left"/>
    </xf>
    <xf numFmtId="14" fontId="27" fillId="30" borderId="0" xfId="59" applyNumberFormat="1" applyFont="1" applyFill="1" applyAlignment="1">
      <alignment horizontal="left"/>
    </xf>
    <xf numFmtId="3" fontId="27" fillId="30" borderId="0" xfId="59" applyNumberFormat="1" applyFont="1" applyFill="1" applyAlignment="1">
      <alignment horizontal="right" vertical="center"/>
    </xf>
    <xf numFmtId="0" fontId="27" fillId="0" borderId="0" xfId="59" applyFont="1" applyAlignment="1">
      <alignment horizontal="left"/>
    </xf>
    <xf numFmtId="14" fontId="27" fillId="0" borderId="0" xfId="59" applyNumberFormat="1" applyFont="1" applyAlignment="1">
      <alignment horizontal="left"/>
    </xf>
    <xf numFmtId="3" fontId="27" fillId="0" borderId="0" xfId="59" applyNumberFormat="1" applyFont="1" applyAlignment="1">
      <alignment horizontal="right" vertical="center"/>
    </xf>
    <xf numFmtId="3" fontId="90" fillId="0" borderId="0" xfId="59" applyNumberFormat="1" applyFont="1" applyAlignment="1">
      <alignment horizontal="right" vertical="center"/>
    </xf>
    <xf numFmtId="3" fontId="91" fillId="0" borderId="0" xfId="59" applyNumberFormat="1" applyFont="1" applyAlignment="1">
      <alignment horizontal="right" vertical="center"/>
    </xf>
    <xf numFmtId="3" fontId="92" fillId="0" borderId="0" xfId="59" applyNumberFormat="1" applyFont="1" applyAlignment="1">
      <alignment horizontal="right" vertical="center"/>
    </xf>
    <xf numFmtId="0" fontId="27" fillId="0" borderId="0" xfId="59" applyFont="1"/>
    <xf numFmtId="170" fontId="27" fillId="0" borderId="0" xfId="59" applyNumberFormat="1" applyFont="1" applyAlignment="1">
      <alignment horizontal="right" vertical="center"/>
    </xf>
    <xf numFmtId="0" fontId="0" fillId="38" borderId="0" xfId="0" applyFill="1"/>
    <xf numFmtId="0" fontId="93" fillId="0" borderId="0" xfId="0" applyFont="1" applyAlignment="1">
      <alignment horizontal="right"/>
    </xf>
    <xf numFmtId="3" fontId="93" fillId="0" borderId="0" xfId="0" applyNumberFormat="1" applyFont="1" applyAlignment="1">
      <alignment horizontal="right"/>
    </xf>
    <xf numFmtId="14" fontId="93" fillId="0" borderId="0" xfId="0" applyNumberFormat="1" applyFont="1" applyAlignment="1">
      <alignment horizontal="right"/>
    </xf>
    <xf numFmtId="0" fontId="95" fillId="39" borderId="39" xfId="0" applyFont="1" applyFill="1" applyBorder="1" applyAlignment="1">
      <alignment horizontal="right"/>
    </xf>
    <xf numFmtId="3" fontId="95" fillId="39" borderId="39" xfId="0" applyNumberFormat="1" applyFont="1" applyFill="1" applyBorder="1" applyAlignment="1">
      <alignment horizontal="center"/>
    </xf>
    <xf numFmtId="14" fontId="95" fillId="39" borderId="39" xfId="0" applyNumberFormat="1" applyFont="1" applyFill="1" applyBorder="1" applyAlignment="1">
      <alignment horizontal="center"/>
    </xf>
    <xf numFmtId="14" fontId="95" fillId="39" borderId="40" xfId="0" applyNumberFormat="1" applyFont="1" applyFill="1" applyBorder="1" applyAlignment="1">
      <alignment horizontal="center"/>
    </xf>
    <xf numFmtId="3" fontId="97" fillId="40" borderId="38" xfId="0" applyNumberFormat="1" applyFont="1" applyFill="1" applyBorder="1" applyAlignment="1">
      <alignment horizontal="right"/>
    </xf>
    <xf numFmtId="3" fontId="97" fillId="40" borderId="40" xfId="0" applyNumberFormat="1" applyFont="1" applyFill="1" applyBorder="1" applyAlignment="1">
      <alignment horizontal="right"/>
    </xf>
    <xf numFmtId="14" fontId="93" fillId="40" borderId="51" xfId="0" applyNumberFormat="1" applyFont="1" applyFill="1" applyBorder="1" applyAlignment="1">
      <alignment horizontal="right"/>
    </xf>
    <xf numFmtId="14" fontId="93" fillId="40" borderId="40" xfId="0" applyNumberFormat="1" applyFont="1" applyFill="1" applyBorder="1" applyAlignment="1">
      <alignment horizontal="right"/>
    </xf>
    <xf numFmtId="14" fontId="93" fillId="40" borderId="38" xfId="0" applyNumberFormat="1" applyFont="1" applyFill="1" applyBorder="1" applyAlignment="1">
      <alignment horizontal="right"/>
    </xf>
    <xf numFmtId="0" fontId="93" fillId="0" borderId="46" xfId="0" applyFont="1" applyBorder="1"/>
    <xf numFmtId="3" fontId="93" fillId="0" borderId="47" xfId="0" applyNumberFormat="1" applyFont="1" applyBorder="1"/>
    <xf numFmtId="0" fontId="93" fillId="0" borderId="0" xfId="0" applyFont="1"/>
    <xf numFmtId="3" fontId="93" fillId="0" borderId="0" xfId="0" applyNumberFormat="1" applyFont="1"/>
    <xf numFmtId="3" fontId="96" fillId="0" borderId="51" xfId="0" applyNumberFormat="1" applyFont="1" applyBorder="1" applyAlignment="1">
      <alignment horizontal="right"/>
    </xf>
    <xf numFmtId="168" fontId="33" fillId="0" borderId="10" xfId="30" applyNumberFormat="1" applyFont="1" applyFill="1" applyBorder="1" applyAlignment="1" applyProtection="1">
      <alignment vertical="center"/>
    </xf>
    <xf numFmtId="168" fontId="33" fillId="0" borderId="28" xfId="30" applyNumberFormat="1" applyFont="1" applyFill="1" applyBorder="1" applyAlignment="1" applyProtection="1">
      <alignment vertical="center"/>
    </xf>
    <xf numFmtId="0" fontId="79" fillId="0" borderId="22" xfId="0" applyFont="1" applyBorder="1" applyAlignment="1">
      <alignment wrapText="1"/>
    </xf>
    <xf numFmtId="168" fontId="81" fillId="0" borderId="22" xfId="30" applyNumberFormat="1" applyFont="1" applyFill="1" applyBorder="1" applyProtection="1"/>
    <xf numFmtId="168" fontId="81" fillId="0" borderId="0" xfId="30" applyNumberFormat="1" applyFont="1" applyFill="1" applyBorder="1" applyProtection="1"/>
    <xf numFmtId="171" fontId="98" fillId="32" borderId="0" xfId="131" applyNumberFormat="1" applyFont="1" applyFill="1"/>
    <xf numFmtId="171" fontId="98" fillId="0" borderId="0" xfId="131" applyNumberFormat="1" applyFont="1" applyAlignment="1">
      <alignment horizontal="left" vertical="top"/>
    </xf>
    <xf numFmtId="171" fontId="98" fillId="29" borderId="0" xfId="131" applyNumberFormat="1" applyFont="1" applyFill="1"/>
    <xf numFmtId="171" fontId="99" fillId="29" borderId="0" xfId="131" applyNumberFormat="1" applyFont="1" applyFill="1"/>
    <xf numFmtId="0" fontId="64" fillId="0" borderId="0" xfId="0" applyFont="1" applyAlignment="1">
      <alignment horizontal="center" vertical="center" wrapText="1"/>
    </xf>
    <xf numFmtId="0" fontId="32" fillId="0" borderId="20" xfId="0" applyFont="1" applyBorder="1" applyAlignment="1">
      <alignment wrapText="1"/>
    </xf>
    <xf numFmtId="0" fontId="73" fillId="0" borderId="20" xfId="0" applyFont="1" applyBorder="1" applyAlignment="1">
      <alignment wrapText="1"/>
    </xf>
    <xf numFmtId="0" fontId="72" fillId="0" borderId="20" xfId="0" applyFont="1" applyBorder="1" applyAlignment="1">
      <alignment horizontal="left" wrapText="1"/>
    </xf>
    <xf numFmtId="0" fontId="32" fillId="0" borderId="20" xfId="0" applyFont="1" applyBorder="1" applyAlignment="1">
      <alignment horizontal="left" wrapText="1"/>
    </xf>
    <xf numFmtId="0" fontId="85" fillId="0" borderId="20" xfId="0" applyFont="1" applyBorder="1" applyAlignment="1">
      <alignment horizontal="left" wrapText="1"/>
    </xf>
    <xf numFmtId="4" fontId="32" fillId="0" borderId="20" xfId="72" applyNumberFormat="1" applyFont="1" applyBorder="1" applyAlignment="1">
      <alignment horizontal="left" wrapText="1"/>
    </xf>
    <xf numFmtId="4" fontId="73" fillId="0" borderId="20" xfId="72" applyNumberFormat="1" applyFont="1" applyBorder="1" applyAlignment="1">
      <alignment wrapText="1"/>
    </xf>
    <xf numFmtId="4" fontId="32" fillId="0" borderId="20" xfId="72" applyNumberFormat="1" applyFont="1" applyBorder="1" applyAlignment="1">
      <alignment wrapText="1"/>
    </xf>
    <xf numFmtId="0" fontId="71" fillId="0" borderId="20" xfId="0" applyFont="1" applyBorder="1" applyAlignment="1">
      <alignment horizontal="left" wrapText="1"/>
    </xf>
    <xf numFmtId="0" fontId="30" fillId="0" borderId="20" xfId="0" applyFont="1" applyBorder="1" applyAlignment="1">
      <alignment wrapText="1"/>
    </xf>
    <xf numFmtId="0" fontId="33" fillId="33" borderId="19" xfId="0" applyFont="1" applyFill="1" applyBorder="1" applyAlignment="1">
      <alignment wrapText="1"/>
    </xf>
    <xf numFmtId="0" fontId="33" fillId="33" borderId="15" xfId="0" applyFont="1" applyFill="1" applyBorder="1" applyAlignment="1">
      <alignment wrapText="1"/>
    </xf>
    <xf numFmtId="0" fontId="33" fillId="31" borderId="19" xfId="0" applyFont="1" applyFill="1" applyBorder="1" applyAlignment="1">
      <alignment wrapText="1"/>
    </xf>
    <xf numFmtId="0" fontId="33" fillId="0" borderId="20" xfId="0" applyFont="1" applyBorder="1" applyAlignment="1">
      <alignment horizontal="left" wrapText="1"/>
    </xf>
    <xf numFmtId="168" fontId="30" fillId="29" borderId="22" xfId="30" applyNumberFormat="1" applyFont="1" applyFill="1" applyBorder="1" applyProtection="1"/>
    <xf numFmtId="168" fontId="28" fillId="29" borderId="22" xfId="30" applyNumberFormat="1" applyFont="1" applyFill="1" applyBorder="1" applyProtection="1"/>
    <xf numFmtId="167" fontId="28" fillId="26" borderId="10" xfId="0" applyNumberFormat="1" applyFont="1" applyFill="1" applyBorder="1" applyAlignment="1">
      <alignment horizontal="left" vertical="center"/>
    </xf>
    <xf numFmtId="167" fontId="28" fillId="29" borderId="10" xfId="0" applyNumberFormat="1" applyFont="1" applyFill="1" applyBorder="1" applyAlignment="1">
      <alignment horizontal="left" vertical="center"/>
    </xf>
    <xf numFmtId="168" fontId="28" fillId="32" borderId="24" xfId="30" applyNumberFormat="1" applyFont="1" applyFill="1" applyBorder="1" applyAlignment="1" applyProtection="1">
      <alignment vertical="center"/>
    </xf>
    <xf numFmtId="168" fontId="30" fillId="43" borderId="22" xfId="30" applyNumberFormat="1" applyFont="1" applyFill="1" applyBorder="1" applyProtection="1"/>
    <xf numFmtId="168" fontId="28" fillId="43" borderId="22" xfId="30" applyNumberFormat="1" applyFont="1" applyFill="1" applyBorder="1" applyProtection="1"/>
    <xf numFmtId="168" fontId="28" fillId="32" borderId="26" xfId="30" applyNumberFormat="1" applyFont="1" applyFill="1" applyBorder="1" applyProtection="1"/>
    <xf numFmtId="168" fontId="30" fillId="43" borderId="30" xfId="30" applyNumberFormat="1" applyFont="1" applyFill="1" applyBorder="1" applyProtection="1"/>
    <xf numFmtId="0" fontId="0" fillId="44" borderId="0" xfId="0" applyFill="1"/>
    <xf numFmtId="0" fontId="32" fillId="44" borderId="30" xfId="0" applyFont="1" applyFill="1" applyBorder="1" applyAlignment="1">
      <alignment horizontal="left" wrapText="1"/>
    </xf>
    <xf numFmtId="168" fontId="30" fillId="44" borderId="30" xfId="30" applyNumberFormat="1" applyFont="1" applyFill="1" applyBorder="1" applyProtection="1"/>
    <xf numFmtId="168" fontId="30" fillId="44" borderId="23" xfId="30" applyNumberFormat="1" applyFont="1" applyFill="1" applyBorder="1" applyProtection="1"/>
    <xf numFmtId="0" fontId="32" fillId="44" borderId="22" xfId="0" applyFont="1" applyFill="1" applyBorder="1" applyAlignment="1">
      <alignment horizontal="left" wrapText="1"/>
    </xf>
    <xf numFmtId="168" fontId="30" fillId="44" borderId="22" xfId="30" applyNumberFormat="1" applyFont="1" applyFill="1" applyBorder="1" applyProtection="1"/>
    <xf numFmtId="168" fontId="30" fillId="44" borderId="0" xfId="30" applyNumberFormat="1" applyFont="1" applyFill="1" applyBorder="1" applyProtection="1"/>
    <xf numFmtId="168" fontId="30" fillId="44" borderId="25" xfId="30" applyNumberFormat="1" applyFont="1" applyFill="1" applyBorder="1" applyProtection="1"/>
    <xf numFmtId="168" fontId="30" fillId="44" borderId="12" xfId="30" applyNumberFormat="1" applyFont="1" applyFill="1" applyBorder="1" applyProtection="1"/>
    <xf numFmtId="168" fontId="30" fillId="44" borderId="19" xfId="30" applyNumberFormat="1" applyFont="1" applyFill="1" applyBorder="1" applyProtection="1"/>
    <xf numFmtId="168" fontId="30" fillId="44" borderId="10" xfId="30" applyNumberFormat="1" applyFont="1" applyFill="1" applyBorder="1" applyProtection="1"/>
    <xf numFmtId="168" fontId="30" fillId="44" borderId="20" xfId="30" applyNumberFormat="1" applyFont="1" applyFill="1" applyBorder="1" applyProtection="1"/>
    <xf numFmtId="168" fontId="30" fillId="28" borderId="22" xfId="30" applyNumberFormat="1" applyFont="1" applyFill="1" applyBorder="1" applyProtection="1"/>
    <xf numFmtId="168" fontId="30" fillId="28" borderId="0" xfId="30" applyNumberFormat="1" applyFont="1" applyFill="1" applyBorder="1" applyProtection="1"/>
    <xf numFmtId="0" fontId="30" fillId="0" borderId="26" xfId="0" applyFont="1" applyBorder="1" applyAlignment="1">
      <alignment wrapText="1"/>
    </xf>
    <xf numFmtId="0" fontId="0" fillId="0" borderId="26" xfId="0" applyBorder="1"/>
    <xf numFmtId="0" fontId="0" fillId="0" borderId="17" xfId="0" applyBorder="1"/>
    <xf numFmtId="168" fontId="30" fillId="44" borderId="16" xfId="30" applyNumberFormat="1" applyFont="1" applyFill="1" applyBorder="1" applyProtection="1"/>
    <xf numFmtId="168" fontId="30" fillId="44" borderId="26" xfId="30" applyNumberFormat="1" applyFont="1" applyFill="1" applyBorder="1" applyProtection="1"/>
    <xf numFmtId="168" fontId="30" fillId="44" borderId="17" xfId="30" applyNumberFormat="1" applyFont="1" applyFill="1" applyBorder="1" applyProtection="1"/>
    <xf numFmtId="49" fontId="33" fillId="0" borderId="19" xfId="0" applyNumberFormat="1" applyFont="1" applyBorder="1" applyAlignment="1">
      <alignment horizontal="left" wrapText="1"/>
    </xf>
    <xf numFmtId="49" fontId="32" fillId="0" borderId="20" xfId="0" applyNumberFormat="1" applyFont="1" applyBorder="1" applyAlignment="1">
      <alignment horizontal="left" wrapText="1"/>
    </xf>
    <xf numFmtId="49" fontId="33" fillId="44" borderId="18" xfId="0" applyNumberFormat="1" applyFont="1" applyFill="1" applyBorder="1" applyAlignment="1">
      <alignment horizontal="left" wrapText="1"/>
    </xf>
    <xf numFmtId="49" fontId="33" fillId="0" borderId="20" xfId="0" applyNumberFormat="1" applyFont="1" applyBorder="1" applyAlignment="1">
      <alignment horizontal="left" wrapText="1"/>
    </xf>
    <xf numFmtId="49" fontId="32" fillId="0" borderId="20" xfId="0" applyNumberFormat="1" applyFont="1" applyBorder="1" applyAlignment="1">
      <alignment horizontal="left"/>
    </xf>
    <xf numFmtId="49" fontId="32" fillId="44" borderId="18" xfId="0" applyNumberFormat="1" applyFont="1" applyFill="1" applyBorder="1" applyAlignment="1">
      <alignment horizontal="left" wrapText="1"/>
    </xf>
    <xf numFmtId="0" fontId="33" fillId="34" borderId="19" xfId="0" applyFont="1" applyFill="1" applyBorder="1" applyAlignment="1">
      <alignment wrapText="1"/>
    </xf>
    <xf numFmtId="0" fontId="33" fillId="34" borderId="18" xfId="0" applyFont="1" applyFill="1" applyBorder="1" applyAlignment="1">
      <alignment wrapText="1"/>
    </xf>
    <xf numFmtId="0" fontId="80" fillId="0" borderId="0" xfId="0" applyFont="1"/>
    <xf numFmtId="0" fontId="100" fillId="0" borderId="0" xfId="0" applyFont="1"/>
    <xf numFmtId="0" fontId="80" fillId="44" borderId="0" xfId="0" applyFont="1" applyFill="1"/>
    <xf numFmtId="0" fontId="33" fillId="0" borderId="19" xfId="0" applyFont="1" applyBorder="1" applyAlignment="1">
      <alignment wrapText="1"/>
    </xf>
    <xf numFmtId="0" fontId="32" fillId="0" borderId="32" xfId="0" applyFont="1" applyBorder="1" applyAlignment="1">
      <alignment wrapText="1"/>
    </xf>
    <xf numFmtId="0" fontId="32" fillId="0" borderId="33" xfId="0" applyFont="1" applyBorder="1" applyAlignment="1">
      <alignment wrapText="1"/>
    </xf>
    <xf numFmtId="0" fontId="32" fillId="0" borderId="36" xfId="0" applyFont="1" applyBorder="1" applyAlignment="1">
      <alignment wrapText="1"/>
    </xf>
    <xf numFmtId="0" fontId="80" fillId="0" borderId="0" xfId="0" applyFont="1" applyAlignment="1">
      <alignment vertical="center"/>
    </xf>
    <xf numFmtId="0" fontId="32" fillId="0" borderId="22" xfId="0" applyFont="1" applyBorder="1" applyAlignment="1">
      <alignment horizontal="left" vertical="center" wrapText="1"/>
    </xf>
    <xf numFmtId="168" fontId="30" fillId="26" borderId="22" xfId="30" applyNumberFormat="1" applyFont="1" applyFill="1" applyBorder="1" applyAlignment="1" applyProtection="1">
      <alignment vertical="center"/>
    </xf>
    <xf numFmtId="168" fontId="30" fillId="26" borderId="0" xfId="30" applyNumberFormat="1" applyFont="1" applyFill="1" applyBorder="1" applyAlignment="1" applyProtection="1">
      <alignment vertical="center"/>
    </xf>
    <xf numFmtId="168" fontId="30" fillId="43" borderId="22" xfId="30" applyNumberFormat="1" applyFont="1" applyFill="1" applyBorder="1" applyAlignment="1" applyProtection="1">
      <alignment vertical="center"/>
    </xf>
    <xf numFmtId="168" fontId="28" fillId="26" borderId="0" xfId="30" applyNumberFormat="1" applyFont="1" applyFill="1" applyBorder="1" applyAlignment="1" applyProtection="1">
      <alignment horizontal="center"/>
    </xf>
    <xf numFmtId="0" fontId="74" fillId="35" borderId="22" xfId="0" applyFont="1" applyFill="1" applyBorder="1"/>
    <xf numFmtId="168" fontId="30" fillId="44" borderId="28" xfId="30" applyNumberFormat="1" applyFont="1" applyFill="1" applyBorder="1" applyProtection="1"/>
    <xf numFmtId="168" fontId="30" fillId="44" borderId="33" xfId="30" applyNumberFormat="1" applyFont="1" applyFill="1" applyBorder="1" applyProtection="1"/>
    <xf numFmtId="168" fontId="30" fillId="26" borderId="53" xfId="30" applyNumberFormat="1" applyFont="1" applyFill="1" applyBorder="1" applyProtection="1"/>
    <xf numFmtId="168" fontId="30" fillId="26" borderId="31" xfId="30" applyNumberFormat="1" applyFont="1" applyFill="1" applyBorder="1" applyProtection="1"/>
    <xf numFmtId="168" fontId="30" fillId="26" borderId="60" xfId="30" applyNumberFormat="1" applyFont="1" applyFill="1" applyBorder="1" applyProtection="1"/>
    <xf numFmtId="168" fontId="30" fillId="26" borderId="33" xfId="30" applyNumberFormat="1" applyFont="1" applyFill="1" applyBorder="1" applyProtection="1"/>
    <xf numFmtId="168" fontId="33" fillId="0" borderId="61" xfId="30" applyNumberFormat="1" applyFont="1" applyFill="1" applyBorder="1" applyAlignment="1" applyProtection="1">
      <alignment horizontal="left"/>
    </xf>
    <xf numFmtId="168" fontId="33" fillId="0" borderId="36" xfId="30" applyNumberFormat="1" applyFont="1" applyFill="1" applyBorder="1" applyAlignment="1" applyProtection="1">
      <alignment horizontal="left"/>
    </xf>
    <xf numFmtId="168" fontId="33" fillId="0" borderId="35" xfId="30" applyNumberFormat="1" applyFont="1" applyFill="1" applyBorder="1" applyAlignment="1" applyProtection="1">
      <alignment horizontal="left"/>
    </xf>
    <xf numFmtId="168" fontId="29" fillId="0" borderId="0" xfId="30" applyNumberFormat="1" applyFont="1" applyFill="1" applyBorder="1"/>
    <xf numFmtId="0" fontId="23" fillId="27" borderId="44" xfId="164" applyFill="1" applyBorder="1" applyAlignment="1">
      <alignment vertical="center"/>
    </xf>
    <xf numFmtId="168" fontId="68" fillId="0" borderId="0" xfId="30" applyNumberFormat="1" applyFont="1" applyFill="1" applyBorder="1"/>
    <xf numFmtId="170" fontId="114" fillId="0" borderId="45" xfId="164" applyNumberFormat="1" applyFont="1" applyBorder="1" applyAlignment="1">
      <alignment horizontal="center" vertical="center"/>
    </xf>
    <xf numFmtId="0" fontId="23" fillId="0" borderId="44" xfId="164" applyBorder="1" applyAlignment="1">
      <alignment vertical="center"/>
    </xf>
    <xf numFmtId="3" fontId="114" fillId="0" borderId="43" xfId="164" applyNumberFormat="1" applyFont="1" applyBorder="1" applyAlignment="1">
      <alignment horizontal="center" vertical="center"/>
    </xf>
    <xf numFmtId="3" fontId="23" fillId="0" borderId="43" xfId="164" applyNumberFormat="1" applyBorder="1" applyAlignment="1">
      <alignment vertical="center"/>
    </xf>
    <xf numFmtId="14" fontId="114" fillId="0" borderId="43" xfId="164" applyNumberFormat="1" applyFont="1" applyBorder="1" applyAlignment="1">
      <alignment horizontal="center" vertical="center"/>
    </xf>
    <xf numFmtId="14" fontId="114" fillId="0" borderId="45" xfId="164" applyNumberFormat="1" applyFont="1" applyBorder="1" applyAlignment="1">
      <alignment horizontal="center" vertical="center"/>
    </xf>
    <xf numFmtId="14" fontId="28" fillId="0" borderId="10" xfId="0" applyNumberFormat="1" applyFont="1" applyBorder="1" applyAlignment="1">
      <alignment horizontal="center" wrapText="1"/>
    </xf>
    <xf numFmtId="0" fontId="0" fillId="41" borderId="0" xfId="0" applyFill="1"/>
    <xf numFmtId="0" fontId="0" fillId="41" borderId="12" xfId="0" applyFill="1" applyBorder="1"/>
    <xf numFmtId="0" fontId="0" fillId="41" borderId="16" xfId="0" applyFill="1" applyBorder="1"/>
    <xf numFmtId="0" fontId="0" fillId="41" borderId="19" xfId="0" applyFill="1" applyBorder="1"/>
    <xf numFmtId="0" fontId="0" fillId="41" borderId="10" xfId="0" applyFill="1" applyBorder="1"/>
    <xf numFmtId="0" fontId="0" fillId="41" borderId="20" xfId="0" applyFill="1" applyBorder="1"/>
    <xf numFmtId="0" fontId="0" fillId="41" borderId="11" xfId="0" applyFill="1" applyBorder="1"/>
    <xf numFmtId="0" fontId="0" fillId="41" borderId="17" xfId="0" applyFill="1" applyBorder="1"/>
    <xf numFmtId="0" fontId="0" fillId="41" borderId="18" xfId="0" applyFill="1" applyBorder="1"/>
    <xf numFmtId="3" fontId="23" fillId="0" borderId="45" xfId="164" applyNumberFormat="1" applyBorder="1" applyAlignment="1">
      <alignment vertical="center"/>
    </xf>
    <xf numFmtId="0" fontId="119" fillId="0" borderId="0" xfId="130" applyFont="1" applyAlignment="1">
      <alignment horizontal="center"/>
    </xf>
    <xf numFmtId="0" fontId="119" fillId="0" borderId="0" xfId="130" applyFont="1"/>
    <xf numFmtId="171" fontId="119" fillId="0" borderId="0" xfId="131" applyNumberFormat="1" applyFont="1"/>
    <xf numFmtId="0" fontId="120" fillId="41" borderId="46" xfId="130" applyFont="1" applyFill="1" applyBorder="1" applyAlignment="1">
      <alignment horizontal="center" vertical="center" wrapText="1"/>
    </xf>
    <xf numFmtId="0" fontId="120" fillId="41" borderId="54" xfId="130" applyFont="1" applyFill="1" applyBorder="1" applyAlignment="1">
      <alignment horizontal="center" vertical="center" wrapText="1"/>
    </xf>
    <xf numFmtId="0" fontId="120" fillId="41" borderId="55" xfId="130" applyFont="1" applyFill="1" applyBorder="1" applyAlignment="1">
      <alignment horizontal="center" vertical="center" wrapText="1"/>
    </xf>
    <xf numFmtId="171" fontId="120" fillId="41" borderId="55" xfId="131" applyNumberFormat="1" applyFont="1" applyFill="1" applyBorder="1" applyAlignment="1">
      <alignment horizontal="center" vertical="center" wrapText="1"/>
    </xf>
    <xf numFmtId="0" fontId="120" fillId="41" borderId="56" xfId="130" applyFont="1" applyFill="1" applyBorder="1" applyAlignment="1">
      <alignment horizontal="center" vertical="center" wrapText="1"/>
    </xf>
    <xf numFmtId="0" fontId="120" fillId="42" borderId="41" xfId="130" applyFont="1" applyFill="1" applyBorder="1" applyAlignment="1">
      <alignment horizontal="center" vertical="center" wrapText="1"/>
    </xf>
    <xf numFmtId="0" fontId="121" fillId="30" borderId="47" xfId="130" applyFont="1" applyFill="1" applyBorder="1" applyAlignment="1">
      <alignment horizontal="center" vertical="center" wrapText="1"/>
    </xf>
    <xf numFmtId="172" fontId="121" fillId="30" borderId="47" xfId="130" applyNumberFormat="1" applyFont="1" applyFill="1" applyBorder="1" applyAlignment="1">
      <alignment horizontal="center" vertical="center" wrapText="1"/>
    </xf>
    <xf numFmtId="171" fontId="121" fillId="76" borderId="47" xfId="131" applyNumberFormat="1" applyFont="1" applyFill="1" applyBorder="1" applyAlignment="1">
      <alignment horizontal="center" vertical="center"/>
    </xf>
    <xf numFmtId="171" fontId="121" fillId="30" borderId="47" xfId="131" applyNumberFormat="1" applyFont="1" applyFill="1" applyBorder="1" applyAlignment="1">
      <alignment horizontal="center" vertical="center"/>
    </xf>
    <xf numFmtId="0" fontId="121" fillId="30" borderId="47" xfId="130" applyFont="1" applyFill="1" applyBorder="1" applyAlignment="1">
      <alignment horizontal="center" vertical="center"/>
    </xf>
    <xf numFmtId="14" fontId="121" fillId="30" borderId="48" xfId="130" applyNumberFormat="1" applyFont="1" applyFill="1" applyBorder="1" applyAlignment="1">
      <alignment horizontal="center" vertical="center" wrapText="1"/>
    </xf>
    <xf numFmtId="0" fontId="119" fillId="0" borderId="0" xfId="130" applyFont="1" applyAlignment="1">
      <alignment vertical="center"/>
    </xf>
    <xf numFmtId="173" fontId="119" fillId="0" borderId="0" xfId="130" applyNumberFormat="1" applyFont="1" applyAlignment="1">
      <alignment vertical="center"/>
    </xf>
    <xf numFmtId="0" fontId="120" fillId="42" borderId="46" xfId="130" applyFont="1" applyFill="1" applyBorder="1" applyAlignment="1">
      <alignment horizontal="center" vertical="center" wrapText="1"/>
    </xf>
    <xf numFmtId="172" fontId="121" fillId="29" borderId="47" xfId="130" applyNumberFormat="1" applyFont="1" applyFill="1" applyBorder="1" applyAlignment="1">
      <alignment horizontal="center" vertical="center" wrapText="1"/>
    </xf>
    <xf numFmtId="171" fontId="121" fillId="77" borderId="47" xfId="131" applyNumberFormat="1" applyFont="1" applyFill="1" applyBorder="1" applyAlignment="1">
      <alignment horizontal="center" vertical="center"/>
    </xf>
    <xf numFmtId="171" fontId="122" fillId="30" borderId="47" xfId="131" applyNumberFormat="1" applyFont="1" applyFill="1" applyBorder="1" applyAlignment="1">
      <alignment horizontal="center" vertical="center"/>
    </xf>
    <xf numFmtId="171" fontId="98" fillId="0" borderId="0" xfId="131" applyNumberFormat="1" applyFont="1"/>
    <xf numFmtId="171" fontId="98" fillId="0" borderId="0" xfId="131" applyNumberFormat="1" applyFont="1" applyAlignment="1">
      <alignment horizontal="right"/>
    </xf>
    <xf numFmtId="0" fontId="98" fillId="0" borderId="0" xfId="130" applyFont="1" applyAlignment="1">
      <alignment horizontal="right"/>
    </xf>
    <xf numFmtId="171" fontId="98" fillId="0" borderId="0" xfId="130" applyNumberFormat="1" applyFont="1"/>
    <xf numFmtId="0" fontId="121" fillId="32" borderId="47" xfId="130" applyFont="1" applyFill="1" applyBorder="1" applyAlignment="1">
      <alignment horizontal="center" vertical="center" wrapText="1"/>
    </xf>
    <xf numFmtId="172" fontId="121" fillId="32" borderId="47" xfId="130" applyNumberFormat="1" applyFont="1" applyFill="1" applyBorder="1" applyAlignment="1">
      <alignment horizontal="center" vertical="center" wrapText="1"/>
    </xf>
    <xf numFmtId="171" fontId="121" fillId="32" borderId="47" xfId="131" applyNumberFormat="1" applyFont="1" applyFill="1" applyBorder="1" applyAlignment="1">
      <alignment horizontal="center" vertical="center"/>
    </xf>
    <xf numFmtId="0" fontId="121" fillId="32" borderId="47" xfId="130" applyFont="1" applyFill="1" applyBorder="1" applyAlignment="1">
      <alignment horizontal="center" vertical="center"/>
    </xf>
    <xf numFmtId="14" fontId="121" fillId="32" borderId="48" xfId="130" applyNumberFormat="1" applyFont="1" applyFill="1" applyBorder="1" applyAlignment="1">
      <alignment horizontal="center" vertical="center" wrapText="1"/>
    </xf>
    <xf numFmtId="0" fontId="98" fillId="0" borderId="0" xfId="130" applyFont="1"/>
    <xf numFmtId="168" fontId="28" fillId="26" borderId="10" xfId="30" applyNumberFormat="1" applyFont="1" applyFill="1" applyBorder="1" applyProtection="1"/>
    <xf numFmtId="168" fontId="28" fillId="26" borderId="20" xfId="30" applyNumberFormat="1" applyFont="1" applyFill="1" applyBorder="1" applyProtection="1"/>
    <xf numFmtId="0" fontId="123" fillId="0" borderId="0" xfId="0" applyFont="1"/>
    <xf numFmtId="0" fontId="35" fillId="24" borderId="24" xfId="3" applyFont="1" applyFill="1" applyBorder="1" applyAlignment="1" applyProtection="1">
      <alignment vertical="center" wrapText="1"/>
    </xf>
    <xf numFmtId="168" fontId="36" fillId="24" borderId="15" xfId="30" applyNumberFormat="1" applyFont="1" applyFill="1" applyBorder="1" applyAlignment="1" applyProtection="1">
      <alignment vertical="center"/>
    </xf>
    <xf numFmtId="168" fontId="124" fillId="0" borderId="0" xfId="30" applyNumberFormat="1" applyFont="1" applyFill="1" applyBorder="1"/>
    <xf numFmtId="168" fontId="33" fillId="27" borderId="61" xfId="30" applyNumberFormat="1" applyFont="1" applyFill="1" applyBorder="1" applyAlignment="1" applyProtection="1">
      <alignment horizontal="left"/>
    </xf>
    <xf numFmtId="168" fontId="28" fillId="27" borderId="24" xfId="30" applyNumberFormat="1" applyFont="1" applyFill="1" applyBorder="1" applyAlignment="1" applyProtection="1">
      <alignment vertical="center"/>
    </xf>
    <xf numFmtId="168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168" fontId="0" fillId="27" borderId="0" xfId="0" applyNumberFormat="1" applyFill="1" applyAlignment="1">
      <alignment vertical="center"/>
    </xf>
    <xf numFmtId="4" fontId="0" fillId="0" borderId="0" xfId="0" applyNumberFormat="1"/>
    <xf numFmtId="175" fontId="29" fillId="0" borderId="0" xfId="30" applyNumberFormat="1" applyFont="1" applyFill="1" applyBorder="1"/>
    <xf numFmtId="4" fontId="124" fillId="0" borderId="0" xfId="30" applyNumberFormat="1" applyFont="1" applyFill="1" applyBorder="1"/>
    <xf numFmtId="0" fontId="32" fillId="30" borderId="20" xfId="0" applyFont="1" applyFill="1" applyBorder="1" applyAlignment="1">
      <alignment wrapText="1"/>
    </xf>
    <xf numFmtId="175" fontId="124" fillId="0" borderId="0" xfId="30" applyNumberFormat="1" applyFont="1" applyFill="1" applyBorder="1"/>
    <xf numFmtId="0" fontId="81" fillId="0" borderId="0" xfId="0" applyFont="1" applyAlignment="1">
      <alignment wrapText="1"/>
    </xf>
    <xf numFmtId="0" fontId="127" fillId="0" borderId="0" xfId="0" applyFont="1"/>
    <xf numFmtId="14" fontId="10" fillId="0" borderId="43" xfId="164" applyNumberFormat="1" applyFont="1" applyBorder="1" applyAlignment="1">
      <alignment vertical="center"/>
    </xf>
    <xf numFmtId="3" fontId="90" fillId="0" borderId="0" xfId="180" applyNumberFormat="1" applyFont="1" applyAlignment="1">
      <alignment horizontal="right" vertical="center"/>
    </xf>
    <xf numFmtId="3" fontId="91" fillId="0" borderId="0" xfId="180" applyNumberFormat="1" applyFont="1" applyAlignment="1">
      <alignment horizontal="right" vertical="center"/>
    </xf>
    <xf numFmtId="3" fontId="27" fillId="0" borderId="0" xfId="180" applyNumberFormat="1" applyFont="1" applyAlignment="1">
      <alignment horizontal="right" vertical="center"/>
    </xf>
    <xf numFmtId="3" fontId="27" fillId="30" borderId="0" xfId="180" applyNumberFormat="1" applyFont="1" applyFill="1" applyAlignment="1">
      <alignment horizontal="right" vertical="center"/>
    </xf>
    <xf numFmtId="3" fontId="89" fillId="37" borderId="0" xfId="180" applyNumberFormat="1" applyFont="1" applyFill="1" applyAlignment="1">
      <alignment horizontal="right" vertical="center"/>
    </xf>
    <xf numFmtId="3" fontId="92" fillId="0" borderId="0" xfId="180" applyNumberFormat="1" applyFont="1" applyAlignment="1">
      <alignment horizontal="right" vertical="center"/>
    </xf>
    <xf numFmtId="0" fontId="89" fillId="37" borderId="0" xfId="180" applyFont="1" applyFill="1" applyAlignment="1">
      <alignment horizontal="left"/>
    </xf>
    <xf numFmtId="0" fontId="27" fillId="0" borderId="0" xfId="180" applyFont="1" applyAlignment="1">
      <alignment horizontal="left"/>
    </xf>
    <xf numFmtId="14" fontId="27" fillId="0" borderId="0" xfId="180" applyNumberFormat="1" applyFont="1" applyAlignment="1">
      <alignment horizontal="left"/>
    </xf>
    <xf numFmtId="0" fontId="27" fillId="30" borderId="0" xfId="180" applyFont="1" applyFill="1" applyAlignment="1">
      <alignment horizontal="left"/>
    </xf>
    <xf numFmtId="14" fontId="27" fillId="30" borderId="0" xfId="180" applyNumberFormat="1" applyFont="1" applyFill="1" applyAlignment="1">
      <alignment horizontal="left"/>
    </xf>
    <xf numFmtId="168" fontId="36" fillId="41" borderId="14" xfId="30" applyNumberFormat="1" applyFont="1" applyFill="1" applyBorder="1" applyAlignment="1" applyProtection="1">
      <alignment vertical="center"/>
    </xf>
    <xf numFmtId="0" fontId="127" fillId="0" borderId="0" xfId="0" applyFont="1" applyAlignment="1">
      <alignment vertical="center"/>
    </xf>
    <xf numFmtId="0" fontId="114" fillId="0" borderId="33" xfId="465" applyFont="1" applyBorder="1" applyAlignment="1">
      <alignment horizontal="center"/>
    </xf>
    <xf numFmtId="177" fontId="128" fillId="0" borderId="36" xfId="465" applyNumberFormat="1" applyFont="1" applyBorder="1"/>
    <xf numFmtId="177" fontId="128" fillId="0" borderId="76" xfId="465" applyNumberFormat="1" applyFont="1" applyBorder="1"/>
    <xf numFmtId="0" fontId="5" fillId="0" borderId="49" xfId="465" applyBorder="1"/>
    <xf numFmtId="0" fontId="5" fillId="0" borderId="50" xfId="465" applyBorder="1"/>
    <xf numFmtId="170" fontId="5" fillId="0" borderId="36" xfId="465" applyNumberFormat="1" applyBorder="1"/>
    <xf numFmtId="170" fontId="5" fillId="0" borderId="60" xfId="465" applyNumberFormat="1" applyBorder="1"/>
    <xf numFmtId="170" fontId="114" fillId="0" borderId="15" xfId="465" applyNumberFormat="1" applyFont="1" applyBorder="1"/>
    <xf numFmtId="170" fontId="5" fillId="0" borderId="78" xfId="465" applyNumberFormat="1" applyBorder="1"/>
    <xf numFmtId="170" fontId="124" fillId="0" borderId="40" xfId="0" applyNumberFormat="1" applyFont="1" applyBorder="1"/>
    <xf numFmtId="0" fontId="124" fillId="0" borderId="0" xfId="0" applyFont="1"/>
    <xf numFmtId="0" fontId="0" fillId="0" borderId="22" xfId="0" applyBorder="1"/>
    <xf numFmtId="170" fontId="124" fillId="0" borderId="24" xfId="0" applyNumberFormat="1" applyFont="1" applyBorder="1"/>
    <xf numFmtId="3" fontId="93" fillId="0" borderId="29" xfId="0" applyNumberFormat="1" applyFont="1" applyBorder="1" applyAlignment="1">
      <alignment horizontal="right"/>
    </xf>
    <xf numFmtId="3" fontId="97" fillId="40" borderId="15" xfId="0" applyNumberFormat="1" applyFont="1" applyFill="1" applyBorder="1" applyAlignment="1">
      <alignment horizontal="right"/>
    </xf>
    <xf numFmtId="3" fontId="94" fillId="40" borderId="15" xfId="0" applyNumberFormat="1" applyFont="1" applyFill="1" applyBorder="1" applyAlignment="1">
      <alignment horizontal="right"/>
    </xf>
    <xf numFmtId="3" fontId="97" fillId="40" borderId="51" xfId="0" applyNumberFormat="1" applyFont="1" applyFill="1" applyBorder="1" applyAlignment="1">
      <alignment horizontal="right"/>
    </xf>
    <xf numFmtId="170" fontId="0" fillId="0" borderId="0" xfId="0" applyNumberFormat="1"/>
    <xf numFmtId="170" fontId="29" fillId="0" borderId="0" xfId="0" applyNumberFormat="1" applyFont="1"/>
    <xf numFmtId="178" fontId="128" fillId="0" borderId="36" xfId="465" applyNumberFormat="1" applyFont="1" applyBorder="1"/>
    <xf numFmtId="0" fontId="27" fillId="0" borderId="0" xfId="180" applyFont="1"/>
    <xf numFmtId="3" fontId="23" fillId="0" borderId="46" xfId="164" applyNumberFormat="1" applyBorder="1" applyAlignment="1">
      <alignment vertical="center"/>
    </xf>
    <xf numFmtId="168" fontId="0" fillId="0" borderId="48" xfId="30" applyNumberFormat="1" applyFont="1" applyBorder="1"/>
    <xf numFmtId="168" fontId="0" fillId="0" borderId="45" xfId="30" applyNumberFormat="1" applyFont="1" applyBorder="1"/>
    <xf numFmtId="170" fontId="5" fillId="0" borderId="0" xfId="465" applyNumberFormat="1"/>
    <xf numFmtId="170" fontId="114" fillId="0" borderId="0" xfId="465" applyNumberFormat="1" applyFont="1"/>
    <xf numFmtId="170" fontId="114" fillId="0" borderId="0" xfId="465" applyNumberFormat="1" applyFont="1" applyAlignment="1">
      <alignment horizontal="center" vertical="center" wrapText="1"/>
    </xf>
    <xf numFmtId="170" fontId="114" fillId="0" borderId="0" xfId="465" applyNumberFormat="1" applyFont="1" applyAlignment="1">
      <alignment horizontal="center"/>
    </xf>
    <xf numFmtId="170" fontId="128" fillId="0" borderId="0" xfId="465" applyNumberFormat="1" applyFont="1"/>
    <xf numFmtId="0" fontId="0" fillId="0" borderId="21" xfId="0" applyBorder="1"/>
    <xf numFmtId="170" fontId="0" fillId="0" borderId="50" xfId="0" applyNumberFormat="1" applyBorder="1"/>
    <xf numFmtId="0" fontId="0" fillId="0" borderId="47" xfId="0" applyBorder="1"/>
    <xf numFmtId="170" fontId="0" fillId="0" borderId="48" xfId="0" applyNumberFormat="1" applyBorder="1"/>
    <xf numFmtId="3" fontId="0" fillId="0" borderId="0" xfId="0" applyNumberFormat="1"/>
    <xf numFmtId="3" fontId="0" fillId="0" borderId="34" xfId="0" applyNumberFormat="1" applyBorder="1"/>
    <xf numFmtId="0" fontId="124" fillId="0" borderId="24" xfId="0" applyFont="1" applyBorder="1"/>
    <xf numFmtId="3" fontId="124" fillId="0" borderId="24" xfId="0" applyNumberFormat="1" applyFont="1" applyBorder="1"/>
    <xf numFmtId="14" fontId="124" fillId="0" borderId="0" xfId="0" applyNumberFormat="1" applyFont="1"/>
    <xf numFmtId="178" fontId="0" fillId="0" borderId="21" xfId="0" applyNumberFormat="1" applyBorder="1"/>
    <xf numFmtId="177" fontId="0" fillId="0" borderId="47" xfId="0" applyNumberFormat="1" applyBorder="1"/>
    <xf numFmtId="177" fontId="0" fillId="0" borderId="21" xfId="0" applyNumberFormat="1" applyBorder="1"/>
    <xf numFmtId="3" fontId="124" fillId="0" borderId="26" xfId="0" applyNumberFormat="1" applyFont="1" applyBorder="1"/>
    <xf numFmtId="3" fontId="0" fillId="0" borderId="71" xfId="0" applyNumberFormat="1" applyBorder="1"/>
    <xf numFmtId="0" fontId="70" fillId="0" borderId="24" xfId="0" applyFont="1" applyBorder="1" applyAlignment="1">
      <alignment horizontal="center" vertical="center" wrapText="1"/>
    </xf>
    <xf numFmtId="0" fontId="70" fillId="0" borderId="15" xfId="0" applyFont="1" applyBorder="1" applyAlignment="1">
      <alignment horizontal="center" vertical="center" wrapText="1"/>
    </xf>
    <xf numFmtId="0" fontId="130" fillId="0" borderId="26" xfId="0" applyFont="1" applyBorder="1" applyAlignment="1">
      <alignment vertical="center" wrapText="1"/>
    </xf>
    <xf numFmtId="0" fontId="70" fillId="0" borderId="26" xfId="0" applyFont="1" applyBorder="1" applyAlignment="1">
      <alignment vertical="center" wrapText="1"/>
    </xf>
    <xf numFmtId="9" fontId="131" fillId="0" borderId="81" xfId="0" applyNumberFormat="1" applyFont="1" applyBorder="1" applyAlignment="1">
      <alignment horizontal="center" vertical="center" wrapText="1"/>
    </xf>
    <xf numFmtId="9" fontId="130" fillId="0" borderId="81" xfId="0" applyNumberFormat="1" applyFont="1" applyBorder="1" applyAlignment="1">
      <alignment horizontal="center" vertical="center" wrapText="1"/>
    </xf>
    <xf numFmtId="9" fontId="70" fillId="0" borderId="81" xfId="0" applyNumberFormat="1" applyFont="1" applyBorder="1" applyAlignment="1">
      <alignment horizontal="center" vertical="center" wrapText="1"/>
    </xf>
    <xf numFmtId="0" fontId="130" fillId="0" borderId="81" xfId="0" applyFont="1" applyBorder="1" applyAlignment="1">
      <alignment vertical="center" wrapText="1"/>
    </xf>
    <xf numFmtId="3" fontId="130" fillId="0" borderId="81" xfId="0" applyNumberFormat="1" applyFont="1" applyBorder="1" applyAlignment="1">
      <alignment vertical="center" wrapText="1"/>
    </xf>
    <xf numFmtId="3" fontId="70" fillId="0" borderId="81" xfId="0" applyNumberFormat="1" applyFont="1" applyBorder="1" applyAlignment="1">
      <alignment vertical="center" wrapText="1"/>
    </xf>
    <xf numFmtId="0" fontId="130" fillId="0" borderId="81" xfId="0" applyFont="1" applyBorder="1" applyAlignment="1">
      <alignment wrapText="1"/>
    </xf>
    <xf numFmtId="3" fontId="130" fillId="0" borderId="81" xfId="0" applyNumberFormat="1" applyFont="1" applyBorder="1" applyAlignment="1">
      <alignment wrapText="1"/>
    </xf>
    <xf numFmtId="3" fontId="70" fillId="0" borderId="81" xfId="0" applyNumberFormat="1" applyFont="1" applyBorder="1" applyAlignment="1">
      <alignment wrapText="1"/>
    </xf>
    <xf numFmtId="168" fontId="133" fillId="26" borderId="0" xfId="30" applyNumberFormat="1" applyFont="1" applyFill="1" applyBorder="1" applyProtection="1"/>
    <xf numFmtId="168" fontId="124" fillId="0" borderId="0" xfId="30" applyNumberFormat="1" applyFont="1" applyFill="1" applyBorder="1" applyAlignment="1">
      <alignment horizontal="center"/>
    </xf>
    <xf numFmtId="168" fontId="29" fillId="0" borderId="0" xfId="30" applyNumberFormat="1" applyFont="1" applyFill="1" applyBorder="1" applyAlignment="1">
      <alignment horizontal="center"/>
    </xf>
    <xf numFmtId="10" fontId="0" fillId="0" borderId="0" xfId="0" applyNumberFormat="1"/>
    <xf numFmtId="168" fontId="86" fillId="26" borderId="0" xfId="30" applyNumberFormat="1" applyFont="1" applyFill="1" applyBorder="1" applyProtection="1"/>
    <xf numFmtId="4" fontId="124" fillId="0" borderId="0" xfId="30" applyNumberFormat="1" applyFont="1" applyFill="1" applyBorder="1" applyAlignment="1">
      <alignment horizontal="right"/>
    </xf>
    <xf numFmtId="4" fontId="29" fillId="0" borderId="0" xfId="30" applyNumberFormat="1" applyFont="1" applyFill="1" applyBorder="1" applyAlignment="1">
      <alignment horizontal="right"/>
    </xf>
    <xf numFmtId="14" fontId="23" fillId="0" borderId="46" xfId="164" applyNumberFormat="1" applyBorder="1" applyAlignment="1">
      <alignment vertical="center"/>
    </xf>
    <xf numFmtId="0" fontId="23" fillId="0" borderId="47" xfId="164" applyBorder="1" applyAlignment="1">
      <alignment vertical="center"/>
    </xf>
    <xf numFmtId="166" fontId="23" fillId="0" borderId="47" xfId="30" applyFont="1" applyBorder="1" applyAlignment="1">
      <alignment vertical="center"/>
    </xf>
    <xf numFmtId="0" fontId="23" fillId="27" borderId="47" xfId="164" applyFill="1" applyBorder="1" applyAlignment="1">
      <alignment vertical="center"/>
    </xf>
    <xf numFmtId="3" fontId="23" fillId="0" borderId="48" xfId="164" applyNumberFormat="1" applyBorder="1" applyAlignment="1">
      <alignment vertical="center"/>
    </xf>
    <xf numFmtId="166" fontId="23" fillId="0" borderId="44" xfId="30" applyFont="1" applyBorder="1" applyAlignment="1">
      <alignment vertical="center"/>
    </xf>
    <xf numFmtId="0" fontId="114" fillId="0" borderId="38" xfId="164" applyFont="1" applyBorder="1" applyAlignment="1">
      <alignment horizontal="center" vertical="center"/>
    </xf>
    <xf numFmtId="14" fontId="29" fillId="0" borderId="0" xfId="0" applyNumberFormat="1" applyFont="1"/>
    <xf numFmtId="14" fontId="68" fillId="0" borderId="0" xfId="0" applyNumberFormat="1" applyFont="1"/>
    <xf numFmtId="4" fontId="29" fillId="0" borderId="0" xfId="30" applyNumberFormat="1" applyFont="1" applyFill="1" applyBorder="1"/>
    <xf numFmtId="2" fontId="29" fillId="0" borderId="0" xfId="0" applyNumberFormat="1" applyFont="1"/>
    <xf numFmtId="2" fontId="68" fillId="0" borderId="0" xfId="0" applyNumberFormat="1" applyFont="1"/>
    <xf numFmtId="166" fontId="29" fillId="0" borderId="0" xfId="30" applyFont="1" applyFill="1" applyBorder="1" applyAlignment="1">
      <alignment horizontal="center"/>
    </xf>
    <xf numFmtId="166" fontId="68" fillId="0" borderId="0" xfId="30" applyFont="1" applyFill="1" applyBorder="1" applyAlignment="1">
      <alignment horizontal="center"/>
    </xf>
    <xf numFmtId="0" fontId="135" fillId="0" borderId="0" xfId="0" applyFont="1"/>
    <xf numFmtId="0" fontId="32" fillId="0" borderId="0" xfId="0" applyFont="1" applyAlignment="1">
      <alignment wrapText="1"/>
    </xf>
    <xf numFmtId="168" fontId="135" fillId="0" borderId="0" xfId="30" applyNumberFormat="1" applyFont="1" applyAlignment="1">
      <alignment vertical="center"/>
    </xf>
    <xf numFmtId="168" fontId="136" fillId="0" borderId="0" xfId="30" applyNumberFormat="1" applyFont="1" applyFill="1" applyAlignment="1">
      <alignment vertical="center"/>
    </xf>
    <xf numFmtId="168" fontId="136" fillId="0" borderId="21" xfId="0" applyNumberFormat="1" applyFont="1" applyBorder="1" applyAlignment="1">
      <alignment vertical="center"/>
    </xf>
    <xf numFmtId="0" fontId="135" fillId="0" borderId="0" xfId="0" applyFont="1" applyAlignment="1">
      <alignment vertical="center"/>
    </xf>
    <xf numFmtId="168" fontId="137" fillId="41" borderId="21" xfId="30" applyNumberFormat="1" applyFont="1" applyFill="1" applyBorder="1" applyAlignment="1">
      <alignment vertical="center"/>
    </xf>
    <xf numFmtId="168" fontId="137" fillId="41" borderId="21" xfId="0" applyNumberFormat="1" applyFont="1" applyFill="1" applyBorder="1" applyAlignment="1">
      <alignment vertical="center"/>
    </xf>
    <xf numFmtId="14" fontId="29" fillId="0" borderId="0" xfId="0" applyNumberFormat="1" applyFont="1" applyAlignment="1">
      <alignment horizontal="center" vertical="center"/>
    </xf>
    <xf numFmtId="168" fontId="68" fillId="0" borderId="0" xfId="30" applyNumberFormat="1" applyFont="1" applyFill="1" applyBorder="1" applyAlignment="1">
      <alignment horizontal="center"/>
    </xf>
    <xf numFmtId="0" fontId="29" fillId="0" borderId="0" xfId="0" applyFont="1" applyAlignment="1">
      <alignment horizontal="left" vertical="center"/>
    </xf>
    <xf numFmtId="4" fontId="29" fillId="0" borderId="0" xfId="0" applyNumberFormat="1" applyFont="1" applyAlignment="1">
      <alignment vertical="center"/>
    </xf>
    <xf numFmtId="4" fontId="68" fillId="0" borderId="0" xfId="30" applyNumberFormat="1" applyFont="1" applyFill="1" applyBorder="1"/>
    <xf numFmtId="14" fontId="0" fillId="0" borderId="48" xfId="0" applyNumberFormat="1" applyBorder="1"/>
    <xf numFmtId="3" fontId="0" fillId="0" borderId="46" xfId="0" applyNumberFormat="1" applyBorder="1"/>
    <xf numFmtId="3" fontId="0" fillId="0" borderId="48" xfId="0" applyNumberFormat="1" applyBorder="1"/>
    <xf numFmtId="0" fontId="93" fillId="0" borderId="43" xfId="0" applyFont="1" applyBorder="1"/>
    <xf numFmtId="3" fontId="93" fillId="0" borderId="44" xfId="0" applyNumberFormat="1" applyFont="1" applyBorder="1"/>
    <xf numFmtId="14" fontId="0" fillId="0" borderId="45" xfId="0" applyNumberFormat="1" applyBorder="1"/>
    <xf numFmtId="3" fontId="0" fillId="0" borderId="43" xfId="0" applyNumberFormat="1" applyBorder="1"/>
    <xf numFmtId="3" fontId="0" fillId="0" borderId="45" xfId="0" applyNumberFormat="1" applyBorder="1"/>
    <xf numFmtId="3" fontId="93" fillId="0" borderId="71" xfId="0" applyNumberFormat="1" applyFont="1" applyBorder="1" applyAlignment="1">
      <alignment horizontal="right"/>
    </xf>
    <xf numFmtId="0" fontId="93" fillId="0" borderId="45" xfId="0" applyFont="1" applyBorder="1"/>
    <xf numFmtId="0" fontId="93" fillId="0" borderId="38" xfId="0" applyFont="1" applyBorder="1"/>
    <xf numFmtId="3" fontId="93" fillId="0" borderId="39" xfId="0" applyNumberFormat="1" applyFont="1" applyBorder="1"/>
    <xf numFmtId="14" fontId="0" fillId="0" borderId="40" xfId="0" applyNumberFormat="1" applyBorder="1"/>
    <xf numFmtId="0" fontId="93" fillId="0" borderId="48" xfId="0" applyFont="1" applyBorder="1"/>
    <xf numFmtId="3" fontId="0" fillId="0" borderId="38" xfId="0" applyNumberFormat="1" applyBorder="1"/>
    <xf numFmtId="3" fontId="0" fillId="0" borderId="40" xfId="0" applyNumberFormat="1" applyBorder="1"/>
    <xf numFmtId="0" fontId="134" fillId="0" borderId="0" xfId="0" applyFont="1"/>
    <xf numFmtId="3" fontId="134" fillId="0" borderId="0" xfId="0" applyNumberFormat="1" applyFont="1"/>
    <xf numFmtId="4" fontId="134" fillId="0" borderId="0" xfId="0" applyNumberFormat="1" applyFont="1"/>
    <xf numFmtId="170" fontId="134" fillId="0" borderId="0" xfId="0" applyNumberFormat="1" applyFont="1"/>
    <xf numFmtId="180" fontId="27" fillId="0" borderId="0" xfId="495" applyNumberFormat="1" applyFont="1" applyAlignment="1">
      <alignment horizontal="right" vertical="center"/>
    </xf>
    <xf numFmtId="14" fontId="29" fillId="0" borderId="50" xfId="0" applyNumberFormat="1" applyFont="1" applyBorder="1"/>
    <xf numFmtId="14" fontId="29" fillId="0" borderId="45" xfId="0" applyNumberFormat="1" applyFont="1" applyBorder="1"/>
    <xf numFmtId="14" fontId="29" fillId="0" borderId="21" xfId="0" applyNumberFormat="1" applyFont="1" applyBorder="1"/>
    <xf numFmtId="14" fontId="29" fillId="0" borderId="44" xfId="0" applyNumberFormat="1" applyFont="1" applyBorder="1"/>
    <xf numFmtId="0" fontId="124" fillId="0" borderId="38" xfId="0" applyFont="1" applyBorder="1"/>
    <xf numFmtId="168" fontId="124" fillId="0" borderId="39" xfId="30" applyNumberFormat="1" applyFont="1" applyFill="1" applyBorder="1"/>
    <xf numFmtId="0" fontId="124" fillId="0" borderId="39" xfId="0" applyFont="1" applyBorder="1"/>
    <xf numFmtId="0" fontId="124" fillId="0" borderId="40" xfId="0" applyFont="1" applyBorder="1"/>
    <xf numFmtId="4" fontId="124" fillId="0" borderId="24" xfId="0" applyNumberFormat="1" applyFont="1" applyBorder="1"/>
    <xf numFmtId="4" fontId="124" fillId="0" borderId="24" xfId="0" applyNumberFormat="1" applyFont="1" applyBorder="1" applyAlignment="1">
      <alignment vertical="center"/>
    </xf>
    <xf numFmtId="175" fontId="68" fillId="0" borderId="0" xfId="30" applyNumberFormat="1" applyFont="1" applyFill="1" applyBorder="1"/>
    <xf numFmtId="0" fontId="29" fillId="30" borderId="46" xfId="0" applyFont="1" applyFill="1" applyBorder="1"/>
    <xf numFmtId="4" fontId="29" fillId="30" borderId="47" xfId="0" applyNumberFormat="1" applyFont="1" applyFill="1" applyBorder="1"/>
    <xf numFmtId="0" fontId="29" fillId="30" borderId="47" xfId="0" applyFont="1" applyFill="1" applyBorder="1"/>
    <xf numFmtId="14" fontId="29" fillId="30" borderId="47" xfId="0" applyNumberFormat="1" applyFont="1" applyFill="1" applyBorder="1"/>
    <xf numFmtId="14" fontId="29" fillId="30" borderId="48" xfId="0" applyNumberFormat="1" applyFont="1" applyFill="1" applyBorder="1"/>
    <xf numFmtId="0" fontId="29" fillId="30" borderId="49" xfId="0" applyFont="1" applyFill="1" applyBorder="1"/>
    <xf numFmtId="4" fontId="29" fillId="30" borderId="21" xfId="0" applyNumberFormat="1" applyFont="1" applyFill="1" applyBorder="1"/>
    <xf numFmtId="0" fontId="29" fillId="30" borderId="21" xfId="0" applyFont="1" applyFill="1" applyBorder="1"/>
    <xf numFmtId="14" fontId="29" fillId="30" borderId="21" xfId="0" applyNumberFormat="1" applyFont="1" applyFill="1" applyBorder="1"/>
    <xf numFmtId="14" fontId="29" fillId="30" borderId="50" xfId="0" applyNumberFormat="1" applyFont="1" applyFill="1" applyBorder="1"/>
    <xf numFmtId="3" fontId="0" fillId="30" borderId="48" xfId="0" applyNumberFormat="1" applyFill="1" applyBorder="1"/>
    <xf numFmtId="3" fontId="93" fillId="30" borderId="29" xfId="0" applyNumberFormat="1" applyFont="1" applyFill="1" applyBorder="1" applyAlignment="1">
      <alignment horizontal="right"/>
    </xf>
    <xf numFmtId="3" fontId="84" fillId="30" borderId="46" xfId="0" applyNumberFormat="1" applyFont="1" applyFill="1" applyBorder="1" applyAlignment="1">
      <alignment horizontal="center"/>
    </xf>
    <xf numFmtId="3" fontId="84" fillId="30" borderId="48" xfId="0" applyNumberFormat="1" applyFont="1" applyFill="1" applyBorder="1" applyAlignment="1">
      <alignment horizontal="center"/>
    </xf>
    <xf numFmtId="0" fontId="93" fillId="30" borderId="43" xfId="0" applyFont="1" applyFill="1" applyBorder="1"/>
    <xf numFmtId="3" fontId="0" fillId="30" borderId="45" xfId="0" applyNumberFormat="1" applyFill="1" applyBorder="1"/>
    <xf numFmtId="3" fontId="93" fillId="30" borderId="71" xfId="0" applyNumberFormat="1" applyFont="1" applyFill="1" applyBorder="1" applyAlignment="1">
      <alignment horizontal="right"/>
    </xf>
    <xf numFmtId="0" fontId="93" fillId="30" borderId="45" xfId="0" applyFont="1" applyFill="1" applyBorder="1"/>
    <xf numFmtId="4" fontId="29" fillId="30" borderId="47" xfId="0" applyNumberFormat="1" applyFont="1" applyFill="1" applyBorder="1" applyAlignment="1">
      <alignment vertical="center"/>
    </xf>
    <xf numFmtId="14" fontId="29" fillId="30" borderId="47" xfId="0" applyNumberFormat="1" applyFont="1" applyFill="1" applyBorder="1" applyAlignment="1">
      <alignment horizontal="center" vertical="center"/>
    </xf>
    <xf numFmtId="168" fontId="29" fillId="30" borderId="47" xfId="30" applyNumberFormat="1" applyFont="1" applyFill="1" applyBorder="1"/>
    <xf numFmtId="4" fontId="29" fillId="30" borderId="21" xfId="0" applyNumberFormat="1" applyFont="1" applyFill="1" applyBorder="1" applyAlignment="1">
      <alignment vertical="center"/>
    </xf>
    <xf numFmtId="14" fontId="29" fillId="30" borderId="21" xfId="0" applyNumberFormat="1" applyFont="1" applyFill="1" applyBorder="1" applyAlignment="1">
      <alignment horizontal="center" vertical="center"/>
    </xf>
    <xf numFmtId="168" fontId="29" fillId="30" borderId="21" xfId="30" applyNumberFormat="1" applyFont="1" applyFill="1" applyBorder="1"/>
    <xf numFmtId="14" fontId="29" fillId="30" borderId="45" xfId="0" applyNumberFormat="1" applyFont="1" applyFill="1" applyBorder="1"/>
    <xf numFmtId="4" fontId="29" fillId="30" borderId="47" xfId="0" applyNumberFormat="1" applyFont="1" applyFill="1" applyBorder="1" applyAlignment="1">
      <alignment horizontal="right" vertical="center"/>
    </xf>
    <xf numFmtId="4" fontId="29" fillId="30" borderId="21" xfId="0" applyNumberFormat="1" applyFont="1" applyFill="1" applyBorder="1" applyAlignment="1">
      <alignment horizontal="right" vertical="center"/>
    </xf>
    <xf numFmtId="0" fontId="29" fillId="30" borderId="43" xfId="0" applyFont="1" applyFill="1" applyBorder="1"/>
    <xf numFmtId="4" fontId="29" fillId="30" borderId="44" xfId="0" applyNumberFormat="1" applyFont="1" applyFill="1" applyBorder="1" applyAlignment="1">
      <alignment horizontal="right" vertical="center"/>
    </xf>
    <xf numFmtId="0" fontId="29" fillId="30" borderId="44" xfId="0" applyFont="1" applyFill="1" applyBorder="1"/>
    <xf numFmtId="14" fontId="29" fillId="30" borderId="44" xfId="0" applyNumberFormat="1" applyFont="1" applyFill="1" applyBorder="1" applyAlignment="1">
      <alignment horizontal="center" vertical="center"/>
    </xf>
    <xf numFmtId="168" fontId="29" fillId="30" borderId="44" xfId="30" applyNumberFormat="1" applyFont="1" applyFill="1" applyBorder="1"/>
    <xf numFmtId="4" fontId="124" fillId="0" borderId="26" xfId="0" applyNumberFormat="1" applyFont="1" applyBorder="1"/>
    <xf numFmtId="14" fontId="134" fillId="0" borderId="0" xfId="0" applyNumberFormat="1" applyFont="1"/>
    <xf numFmtId="0" fontId="114" fillId="0" borderId="39" xfId="164" applyFont="1" applyBorder="1" applyAlignment="1">
      <alignment horizontal="center" vertical="center"/>
    </xf>
    <xf numFmtId="0" fontId="114" fillId="0" borderId="40" xfId="164" applyFont="1" applyBorder="1" applyAlignment="1">
      <alignment horizontal="center" vertical="center"/>
    </xf>
    <xf numFmtId="3" fontId="114" fillId="0" borderId="38" xfId="164" applyNumberFormat="1" applyFont="1" applyBorder="1" applyAlignment="1">
      <alignment horizontal="center" vertical="center"/>
    </xf>
    <xf numFmtId="0" fontId="114" fillId="0" borderId="39" xfId="164" applyFont="1" applyBorder="1" applyAlignment="1">
      <alignment vertical="center"/>
    </xf>
    <xf numFmtId="0" fontId="114" fillId="0" borderId="40" xfId="164" applyFont="1" applyBorder="1" applyAlignment="1">
      <alignment vertical="center"/>
    </xf>
    <xf numFmtId="4" fontId="114" fillId="0" borderId="39" xfId="164" applyNumberFormat="1" applyFont="1" applyBorder="1" applyAlignment="1">
      <alignment horizontal="center" vertical="center"/>
    </xf>
    <xf numFmtId="170" fontId="114" fillId="0" borderId="40" xfId="164" applyNumberFormat="1" applyFont="1" applyBorder="1" applyAlignment="1">
      <alignment horizontal="center" vertical="center"/>
    </xf>
    <xf numFmtId="170" fontId="114" fillId="0" borderId="40" xfId="164" applyNumberFormat="1" applyFont="1" applyBorder="1" applyAlignment="1">
      <alignment vertical="center"/>
    </xf>
    <xf numFmtId="170" fontId="139" fillId="0" borderId="38" xfId="0" applyNumberFormat="1" applyFont="1" applyBorder="1"/>
    <xf numFmtId="170" fontId="139" fillId="0" borderId="39" xfId="0" applyNumberFormat="1" applyFont="1" applyBorder="1"/>
    <xf numFmtId="170" fontId="139" fillId="0" borderId="40" xfId="0" applyNumberFormat="1" applyFont="1" applyBorder="1"/>
    <xf numFmtId="170" fontId="114" fillId="0" borderId="38" xfId="164" applyNumberFormat="1" applyFont="1" applyBorder="1" applyAlignment="1">
      <alignment horizontal="center" vertical="center"/>
    </xf>
    <xf numFmtId="170" fontId="114" fillId="0" borderId="39" xfId="164" applyNumberFormat="1" applyFont="1" applyBorder="1" applyAlignment="1">
      <alignment vertical="center"/>
    </xf>
    <xf numFmtId="4" fontId="140" fillId="78" borderId="0" xfId="30" applyNumberFormat="1" applyFont="1" applyFill="1" applyBorder="1" applyAlignment="1">
      <alignment horizontal="right"/>
    </xf>
    <xf numFmtId="175" fontId="140" fillId="78" borderId="0" xfId="30" applyNumberFormat="1" applyFont="1" applyFill="1" applyBorder="1"/>
    <xf numFmtId="168" fontId="140" fillId="78" borderId="0" xfId="30" applyNumberFormat="1" applyFont="1" applyFill="1" applyBorder="1"/>
    <xf numFmtId="0" fontId="93" fillId="30" borderId="46" xfId="0" applyFont="1" applyFill="1" applyBorder="1"/>
    <xf numFmtId="3" fontId="93" fillId="30" borderId="47" xfId="0" applyNumberFormat="1" applyFont="1" applyFill="1" applyBorder="1"/>
    <xf numFmtId="14" fontId="0" fillId="30" borderId="48" xfId="0" applyNumberFormat="1" applyFill="1" applyBorder="1"/>
    <xf numFmtId="3" fontId="0" fillId="30" borderId="46" xfId="0" applyNumberFormat="1" applyFill="1" applyBorder="1"/>
    <xf numFmtId="3" fontId="93" fillId="30" borderId="44" xfId="0" applyNumberFormat="1" applyFont="1" applyFill="1" applyBorder="1"/>
    <xf numFmtId="14" fontId="0" fillId="30" borderId="45" xfId="0" applyNumberFormat="1" applyFill="1" applyBorder="1"/>
    <xf numFmtId="3" fontId="0" fillId="30" borderId="43" xfId="0" applyNumberFormat="1" applyFill="1" applyBorder="1"/>
    <xf numFmtId="14" fontId="0" fillId="0" borderId="46" xfId="0" applyNumberFormat="1" applyBorder="1"/>
    <xf numFmtId="14" fontId="0" fillId="0" borderId="47" xfId="0" applyNumberFormat="1" applyBorder="1"/>
    <xf numFmtId="14" fontId="134" fillId="0" borderId="47" xfId="0" applyNumberFormat="1" applyFont="1" applyBorder="1"/>
    <xf numFmtId="14" fontId="134" fillId="0" borderId="48" xfId="0" applyNumberFormat="1" applyFont="1" applyBorder="1"/>
    <xf numFmtId="3" fontId="134" fillId="0" borderId="46" xfId="0" applyNumberFormat="1" applyFont="1" applyBorder="1"/>
    <xf numFmtId="0" fontId="134" fillId="0" borderId="47" xfId="0" applyFont="1" applyBorder="1"/>
    <xf numFmtId="0" fontId="134" fillId="0" borderId="48" xfId="0" applyFont="1" applyBorder="1"/>
    <xf numFmtId="0" fontId="0" fillId="0" borderId="46" xfId="0" applyBorder="1"/>
    <xf numFmtId="170" fontId="114" fillId="0" borderId="46" xfId="0" applyNumberFormat="1" applyFont="1" applyBorder="1"/>
    <xf numFmtId="170" fontId="2" fillId="0" borderId="47" xfId="30" applyNumberFormat="1" applyFont="1" applyFill="1" applyBorder="1" applyAlignment="1">
      <alignment vertical="center"/>
    </xf>
    <xf numFmtId="170" fontId="134" fillId="0" borderId="48" xfId="0" applyNumberFormat="1" applyFont="1" applyBorder="1"/>
    <xf numFmtId="0" fontId="0" fillId="0" borderId="29" xfId="0" applyBorder="1"/>
    <xf numFmtId="14" fontId="0" fillId="0" borderId="49" xfId="0" applyNumberFormat="1" applyBorder="1"/>
    <xf numFmtId="14" fontId="0" fillId="0" borderId="21" xfId="0" applyNumberFormat="1" applyBorder="1"/>
    <xf numFmtId="14" fontId="134" fillId="0" borderId="21" xfId="0" applyNumberFormat="1" applyFont="1" applyBorder="1"/>
    <xf numFmtId="14" fontId="134" fillId="0" borderId="50" xfId="0" applyNumberFormat="1" applyFont="1" applyBorder="1"/>
    <xf numFmtId="0" fontId="134" fillId="0" borderId="50" xfId="0" applyFont="1" applyBorder="1"/>
    <xf numFmtId="0" fontId="0" fillId="0" borderId="49" xfId="0" applyBorder="1"/>
    <xf numFmtId="4" fontId="0" fillId="0" borderId="21" xfId="0" applyNumberFormat="1" applyBorder="1"/>
    <xf numFmtId="179" fontId="0" fillId="0" borderId="21" xfId="0" applyNumberFormat="1" applyBorder="1"/>
    <xf numFmtId="170" fontId="114" fillId="0" borderId="50" xfId="0" applyNumberFormat="1" applyFont="1" applyBorder="1"/>
    <xf numFmtId="170" fontId="2" fillId="0" borderId="21" xfId="30" applyNumberFormat="1" applyFont="1" applyFill="1" applyBorder="1" applyAlignment="1">
      <alignment vertical="center"/>
    </xf>
    <xf numFmtId="170" fontId="134" fillId="0" borderId="50" xfId="0" applyNumberFormat="1" applyFont="1" applyBorder="1"/>
    <xf numFmtId="0" fontId="0" fillId="0" borderId="34" xfId="0" applyBorder="1"/>
    <xf numFmtId="14" fontId="0" fillId="0" borderId="43" xfId="0" applyNumberFormat="1" applyBorder="1"/>
    <xf numFmtId="14" fontId="0" fillId="0" borderId="44" xfId="0" applyNumberFormat="1" applyBorder="1"/>
    <xf numFmtId="14" fontId="134" fillId="0" borderId="44" xfId="0" applyNumberFormat="1" applyFont="1" applyBorder="1"/>
    <xf numFmtId="14" fontId="134" fillId="0" borderId="45" xfId="0" applyNumberFormat="1" applyFont="1" applyBorder="1"/>
    <xf numFmtId="0" fontId="134" fillId="0" borderId="45" xfId="0" applyFont="1" applyBorder="1"/>
    <xf numFmtId="0" fontId="0" fillId="0" borderId="43" xfId="0" applyBorder="1"/>
    <xf numFmtId="170" fontId="2" fillId="0" borderId="44" xfId="30" applyNumberFormat="1" applyFont="1" applyFill="1" applyBorder="1" applyAlignment="1">
      <alignment vertical="center"/>
    </xf>
    <xf numFmtId="170" fontId="134" fillId="0" borderId="45" xfId="0" applyNumberFormat="1" applyFont="1" applyBorder="1"/>
    <xf numFmtId="0" fontId="0" fillId="0" borderId="71" xfId="0" applyBorder="1"/>
    <xf numFmtId="14" fontId="27" fillId="0" borderId="0" xfId="120" applyNumberFormat="1" applyFont="1" applyAlignment="1">
      <alignment horizontal="left"/>
    </xf>
    <xf numFmtId="0" fontId="93" fillId="30" borderId="38" xfId="0" applyFont="1" applyFill="1" applyBorder="1"/>
    <xf numFmtId="3" fontId="93" fillId="30" borderId="39" xfId="0" applyNumberFormat="1" applyFont="1" applyFill="1" applyBorder="1"/>
    <xf numFmtId="14" fontId="0" fillId="30" borderId="40" xfId="0" applyNumberFormat="1" applyFill="1" applyBorder="1"/>
    <xf numFmtId="0" fontId="93" fillId="30" borderId="48" xfId="0" applyFont="1" applyFill="1" applyBorder="1"/>
    <xf numFmtId="0" fontId="140" fillId="78" borderId="0" xfId="0" applyFont="1" applyFill="1"/>
    <xf numFmtId="14" fontId="140" fillId="78" borderId="0" xfId="0" applyNumberFormat="1" applyFont="1" applyFill="1"/>
    <xf numFmtId="3" fontId="134" fillId="0" borderId="49" xfId="0" applyNumberFormat="1" applyFont="1" applyBorder="1"/>
    <xf numFmtId="0" fontId="134" fillId="0" borderId="21" xfId="0" applyFont="1" applyBorder="1"/>
    <xf numFmtId="3" fontId="134" fillId="0" borderId="43" xfId="0" applyNumberFormat="1" applyFont="1" applyBorder="1"/>
    <xf numFmtId="0" fontId="134" fillId="0" borderId="44" xfId="0" applyFont="1" applyBorder="1"/>
    <xf numFmtId="4" fontId="0" fillId="0" borderId="47" xfId="0" applyNumberFormat="1" applyBorder="1"/>
    <xf numFmtId="179" fontId="0" fillId="0" borderId="47" xfId="0" applyNumberFormat="1" applyBorder="1"/>
    <xf numFmtId="170" fontId="114" fillId="0" borderId="48" xfId="0" applyNumberFormat="1" applyFont="1" applyBorder="1"/>
    <xf numFmtId="4" fontId="0" fillId="0" borderId="44" xfId="0" applyNumberFormat="1" applyBorder="1"/>
    <xf numFmtId="179" fontId="0" fillId="0" borderId="44" xfId="0" applyNumberFormat="1" applyBorder="1"/>
    <xf numFmtId="170" fontId="114" fillId="0" borderId="45" xfId="0" applyNumberFormat="1" applyFont="1" applyBorder="1"/>
    <xf numFmtId="170" fontId="114" fillId="0" borderId="49" xfId="0" applyNumberFormat="1" applyFont="1" applyBorder="1"/>
    <xf numFmtId="170" fontId="114" fillId="0" borderId="43" xfId="0" applyNumberFormat="1" applyFont="1" applyBorder="1"/>
    <xf numFmtId="181" fontId="29" fillId="0" borderId="49" xfId="0" applyNumberFormat="1" applyFont="1" applyBorder="1"/>
    <xf numFmtId="181" fontId="29" fillId="0" borderId="21" xfId="0" applyNumberFormat="1" applyFont="1" applyBorder="1"/>
    <xf numFmtId="181" fontId="29" fillId="0" borderId="43" xfId="0" applyNumberFormat="1" applyFont="1" applyBorder="1"/>
    <xf numFmtId="181" fontId="29" fillId="0" borderId="44" xfId="0" applyNumberFormat="1" applyFont="1" applyBorder="1"/>
    <xf numFmtId="168" fontId="29" fillId="0" borderId="21" xfId="30" applyNumberFormat="1" applyFont="1" applyBorder="1"/>
    <xf numFmtId="168" fontId="29" fillId="0" borderId="44" xfId="30" applyNumberFormat="1" applyFont="1" applyBorder="1"/>
    <xf numFmtId="4" fontId="29" fillId="0" borderId="21" xfId="0" applyNumberFormat="1" applyFont="1" applyBorder="1" applyAlignment="1">
      <alignment horizontal="right"/>
    </xf>
    <xf numFmtId="4" fontId="29" fillId="0" borderId="44" xfId="0" applyNumberFormat="1" applyFont="1" applyBorder="1" applyAlignment="1">
      <alignment horizontal="right"/>
    </xf>
    <xf numFmtId="181" fontId="29" fillId="0" borderId="41" xfId="0" applyNumberFormat="1" applyFont="1" applyBorder="1"/>
    <xf numFmtId="4" fontId="29" fillId="0" borderId="42" xfId="0" applyNumberFormat="1" applyFont="1" applyBorder="1" applyAlignment="1">
      <alignment horizontal="right"/>
    </xf>
    <xf numFmtId="181" fontId="29" fillId="0" borderId="42" xfId="0" applyNumberFormat="1" applyFont="1" applyBorder="1"/>
    <xf numFmtId="14" fontId="29" fillId="0" borderId="42" xfId="0" applyNumberFormat="1" applyFont="1" applyBorder="1"/>
    <xf numFmtId="168" fontId="29" fillId="0" borderId="42" xfId="30" applyNumberFormat="1" applyFont="1" applyBorder="1"/>
    <xf numFmtId="14" fontId="29" fillId="0" borderId="72" xfId="0" applyNumberFormat="1" applyFont="1" applyBorder="1"/>
    <xf numFmtId="0" fontId="140" fillId="0" borderId="0" xfId="0" applyFont="1"/>
    <xf numFmtId="4" fontId="68" fillId="0" borderId="0" xfId="0" applyNumberFormat="1" applyFont="1"/>
    <xf numFmtId="0" fontId="0" fillId="30" borderId="0" xfId="0" applyFill="1"/>
    <xf numFmtId="17" fontId="0" fillId="0" borderId="0" xfId="0" applyNumberFormat="1"/>
    <xf numFmtId="0" fontId="124" fillId="0" borderId="0" xfId="0" applyFont="1" applyAlignment="1">
      <alignment horizontal="right"/>
    </xf>
    <xf numFmtId="168" fontId="141" fillId="26" borderId="0" xfId="30" applyNumberFormat="1" applyFont="1" applyFill="1" applyBorder="1" applyProtection="1"/>
    <xf numFmtId="0" fontId="29" fillId="27" borderId="0" xfId="0" applyFont="1" applyFill="1"/>
    <xf numFmtId="49" fontId="29" fillId="27" borderId="0" xfId="0" applyNumberFormat="1" applyFont="1" applyFill="1"/>
    <xf numFmtId="170" fontId="29" fillId="27" borderId="0" xfId="0" applyNumberFormat="1" applyFont="1" applyFill="1"/>
    <xf numFmtId="175" fontId="29" fillId="27" borderId="0" xfId="30" applyNumberFormat="1" applyFont="1" applyFill="1" applyBorder="1"/>
    <xf numFmtId="168" fontId="29" fillId="27" borderId="0" xfId="30" applyNumberFormat="1" applyFont="1" applyFill="1" applyBorder="1"/>
    <xf numFmtId="14" fontId="29" fillId="27" borderId="0" xfId="0" applyNumberFormat="1" applyFont="1" applyFill="1"/>
    <xf numFmtId="0" fontId="0" fillId="27" borderId="0" xfId="0" applyFill="1"/>
    <xf numFmtId="49" fontId="0" fillId="27" borderId="0" xfId="0" applyNumberFormat="1" applyFill="1"/>
    <xf numFmtId="170" fontId="0" fillId="27" borderId="0" xfId="0" applyNumberFormat="1" applyFill="1"/>
    <xf numFmtId="14" fontId="0" fillId="27" borderId="0" xfId="0" applyNumberFormat="1" applyFill="1"/>
    <xf numFmtId="170" fontId="68" fillId="27" borderId="0" xfId="0" applyNumberFormat="1" applyFont="1" applyFill="1"/>
    <xf numFmtId="0" fontId="68" fillId="27" borderId="0" xfId="0" applyFont="1" applyFill="1"/>
    <xf numFmtId="14" fontId="68" fillId="27" borderId="0" xfId="0" applyNumberFormat="1" applyFont="1" applyFill="1"/>
    <xf numFmtId="170" fontId="68" fillId="27" borderId="0" xfId="30" applyNumberFormat="1" applyFont="1" applyFill="1" applyBorder="1" applyAlignment="1"/>
    <xf numFmtId="175" fontId="68" fillId="27" borderId="0" xfId="30" applyNumberFormat="1" applyFont="1" applyFill="1" applyBorder="1"/>
    <xf numFmtId="168" fontId="68" fillId="27" borderId="0" xfId="30" applyNumberFormat="1" applyFont="1" applyFill="1" applyBorder="1"/>
    <xf numFmtId="4" fontId="29" fillId="30" borderId="44" xfId="0" applyNumberFormat="1" applyFont="1" applyFill="1" applyBorder="1" applyAlignment="1">
      <alignment vertical="center"/>
    </xf>
    <xf numFmtId="181" fontId="29" fillId="30" borderId="49" xfId="0" applyNumberFormat="1" applyFont="1" applyFill="1" applyBorder="1"/>
    <xf numFmtId="4" fontId="29" fillId="30" borderId="21" xfId="0" applyNumberFormat="1" applyFont="1" applyFill="1" applyBorder="1" applyAlignment="1">
      <alignment horizontal="right"/>
    </xf>
    <xf numFmtId="181" fontId="29" fillId="30" borderId="21" xfId="0" applyNumberFormat="1" applyFont="1" applyFill="1" applyBorder="1"/>
    <xf numFmtId="181" fontId="29" fillId="30" borderId="43" xfId="0" applyNumberFormat="1" applyFont="1" applyFill="1" applyBorder="1"/>
    <xf numFmtId="4" fontId="29" fillId="30" borderId="44" xfId="0" applyNumberFormat="1" applyFont="1" applyFill="1" applyBorder="1" applyAlignment="1">
      <alignment horizontal="right"/>
    </xf>
    <xf numFmtId="181" fontId="29" fillId="30" borderId="44" xfId="0" applyNumberFormat="1" applyFont="1" applyFill="1" applyBorder="1"/>
    <xf numFmtId="14" fontId="29" fillId="30" borderId="44" xfId="0" applyNumberFormat="1" applyFont="1" applyFill="1" applyBorder="1"/>
    <xf numFmtId="170" fontId="68" fillId="27" borderId="0" xfId="212" applyNumberFormat="1" applyFont="1" applyFill="1"/>
    <xf numFmtId="0" fontId="68" fillId="0" borderId="0" xfId="0" applyFont="1" applyAlignment="1">
      <alignment horizontal="left" vertical="center"/>
    </xf>
    <xf numFmtId="4" fontId="68" fillId="0" borderId="0" xfId="0" applyNumberFormat="1" applyFont="1" applyAlignment="1">
      <alignment vertical="center"/>
    </xf>
    <xf numFmtId="14" fontId="68" fillId="0" borderId="0" xfId="0" applyNumberFormat="1" applyFont="1" applyAlignment="1">
      <alignment horizontal="center" vertical="center"/>
    </xf>
    <xf numFmtId="4" fontId="29" fillId="0" borderId="0" xfId="0" applyNumberFormat="1" applyFont="1" applyAlignment="1">
      <alignment horizontal="right" vertical="center"/>
    </xf>
    <xf numFmtId="0" fontId="138" fillId="0" borderId="0" xfId="0" applyFont="1" applyAlignment="1">
      <alignment horizontal="left" vertical="center"/>
    </xf>
    <xf numFmtId="4" fontId="138" fillId="0" borderId="0" xfId="0" applyNumberFormat="1" applyFont="1" applyAlignment="1">
      <alignment vertical="center"/>
    </xf>
    <xf numFmtId="14" fontId="138" fillId="0" borderId="0" xfId="0" applyNumberFormat="1" applyFont="1" applyAlignment="1">
      <alignment horizontal="center" vertical="center"/>
    </xf>
    <xf numFmtId="0" fontId="68" fillId="0" borderId="0" xfId="0" applyFont="1" applyAlignment="1">
      <alignment horizontal="left" wrapText="1"/>
    </xf>
    <xf numFmtId="14" fontId="68" fillId="0" borderId="0" xfId="164" applyNumberFormat="1" applyFont="1"/>
    <xf numFmtId="0" fontId="1" fillId="0" borderId="0" xfId="0" applyFont="1"/>
    <xf numFmtId="170" fontId="1" fillId="0" borderId="0" xfId="0" applyNumberFormat="1" applyFont="1"/>
    <xf numFmtId="14" fontId="1" fillId="0" borderId="0" xfId="0" applyNumberFormat="1" applyFont="1"/>
    <xf numFmtId="0" fontId="112" fillId="0" borderId="0" xfId="0" applyFont="1"/>
    <xf numFmtId="170" fontId="112" fillId="0" borderId="0" xfId="0" applyNumberFormat="1" applyFont="1"/>
    <xf numFmtId="14" fontId="112" fillId="0" borderId="0" xfId="0" applyNumberFormat="1" applyFont="1"/>
    <xf numFmtId="170" fontId="68" fillId="0" borderId="0" xfId="0" applyNumberFormat="1" applyFont="1"/>
    <xf numFmtId="0" fontId="68" fillId="0" borderId="0" xfId="164" applyFont="1"/>
    <xf numFmtId="170" fontId="68" fillId="0" borderId="0" xfId="164" applyNumberFormat="1" applyFont="1"/>
    <xf numFmtId="0" fontId="29" fillId="0" borderId="0" xfId="164" applyFont="1"/>
    <xf numFmtId="170" fontId="29" fillId="0" borderId="0" xfId="164" applyNumberFormat="1" applyFont="1"/>
    <xf numFmtId="14" fontId="29" fillId="0" borderId="0" xfId="164" applyNumberFormat="1" applyFont="1"/>
    <xf numFmtId="49" fontId="68" fillId="0" borderId="0" xfId="241" applyNumberFormat="1" applyFont="1"/>
    <xf numFmtId="0" fontId="68" fillId="0" borderId="0" xfId="0" applyFont="1" applyAlignment="1">
      <alignment horizontal="left"/>
    </xf>
    <xf numFmtId="49" fontId="1" fillId="0" borderId="0" xfId="0" applyNumberFormat="1" applyFont="1"/>
    <xf numFmtId="49" fontId="112" fillId="0" borderId="0" xfId="0" applyNumberFormat="1" applyFont="1"/>
    <xf numFmtId="168" fontId="28" fillId="0" borderId="10" xfId="30" applyNumberFormat="1" applyFont="1" applyFill="1" applyBorder="1" applyAlignment="1" applyProtection="1">
      <alignment horizontal="center"/>
    </xf>
    <xf numFmtId="168" fontId="28" fillId="0" borderId="0" xfId="30" applyNumberFormat="1" applyFont="1" applyFill="1" applyBorder="1" applyAlignment="1" applyProtection="1">
      <alignment horizontal="center"/>
    </xf>
    <xf numFmtId="168" fontId="28" fillId="0" borderId="20" xfId="30" applyNumberFormat="1" applyFont="1" applyFill="1" applyBorder="1" applyAlignment="1" applyProtection="1">
      <alignment horizontal="center"/>
    </xf>
    <xf numFmtId="14" fontId="32" fillId="0" borderId="10" xfId="30" applyNumberFormat="1" applyFont="1" applyFill="1" applyBorder="1" applyAlignment="1" applyProtection="1">
      <alignment horizontal="center"/>
    </xf>
    <xf numFmtId="14" fontId="32" fillId="0" borderId="0" xfId="30" applyNumberFormat="1" applyFont="1" applyFill="1" applyBorder="1" applyAlignment="1" applyProtection="1">
      <alignment horizontal="center"/>
    </xf>
    <xf numFmtId="14" fontId="32" fillId="0" borderId="20" xfId="30" applyNumberFormat="1" applyFont="1" applyFill="1" applyBorder="1" applyAlignment="1" applyProtection="1">
      <alignment horizontal="center"/>
    </xf>
    <xf numFmtId="14" fontId="32" fillId="0" borderId="11" xfId="30" applyNumberFormat="1" applyFont="1" applyFill="1" applyBorder="1" applyAlignment="1" applyProtection="1">
      <alignment horizontal="center"/>
    </xf>
    <xf numFmtId="14" fontId="32" fillId="0" borderId="17" xfId="30" applyNumberFormat="1" applyFont="1" applyFill="1" applyBorder="1" applyAlignment="1" applyProtection="1">
      <alignment horizontal="center"/>
    </xf>
    <xf numFmtId="14" fontId="32" fillId="0" borderId="18" xfId="30" applyNumberFormat="1" applyFont="1" applyFill="1" applyBorder="1" applyAlignment="1" applyProtection="1">
      <alignment horizontal="center"/>
    </xf>
    <xf numFmtId="168" fontId="30" fillId="0" borderId="12" xfId="30" applyNumberFormat="1" applyFont="1" applyFill="1" applyBorder="1" applyAlignment="1" applyProtection="1">
      <alignment horizontal="center"/>
    </xf>
    <xf numFmtId="168" fontId="30" fillId="0" borderId="16" xfId="30" applyNumberFormat="1" applyFont="1" applyFill="1" applyBorder="1" applyAlignment="1" applyProtection="1">
      <alignment horizontal="center"/>
    </xf>
    <xf numFmtId="168" fontId="30" fillId="0" borderId="19" xfId="30" applyNumberFormat="1" applyFont="1" applyFill="1" applyBorder="1" applyAlignment="1" applyProtection="1">
      <alignment horizontal="center"/>
    </xf>
    <xf numFmtId="14" fontId="32" fillId="28" borderId="10" xfId="30" applyNumberFormat="1" applyFont="1" applyFill="1" applyBorder="1" applyAlignment="1" applyProtection="1">
      <alignment horizontal="center"/>
    </xf>
    <xf numFmtId="14" fontId="32" fillId="28" borderId="0" xfId="30" applyNumberFormat="1" applyFont="1" applyFill="1" applyBorder="1" applyAlignment="1" applyProtection="1">
      <alignment horizontal="center"/>
    </xf>
    <xf numFmtId="14" fontId="32" fillId="28" borderId="20" xfId="30" applyNumberFormat="1" applyFont="1" applyFill="1" applyBorder="1" applyAlignment="1" applyProtection="1">
      <alignment horizontal="center"/>
    </xf>
    <xf numFmtId="0" fontId="65" fillId="0" borderId="37" xfId="0" applyFont="1" applyBorder="1" applyAlignment="1">
      <alignment horizontal="center" vertical="center" wrapText="1"/>
    </xf>
    <xf numFmtId="0" fontId="65" fillId="0" borderId="59" xfId="0" applyFont="1" applyBorder="1" applyAlignment="1">
      <alignment horizontal="center" vertical="center" wrapText="1"/>
    </xf>
    <xf numFmtId="0" fontId="65" fillId="0" borderId="42" xfId="0" applyFont="1" applyBorder="1" applyAlignment="1">
      <alignment horizontal="center" vertical="center" wrapText="1"/>
    </xf>
    <xf numFmtId="168" fontId="33" fillId="0" borderId="53" xfId="30" applyNumberFormat="1" applyFont="1" applyFill="1" applyBorder="1" applyAlignment="1" applyProtection="1">
      <alignment horizontal="center" vertical="center"/>
    </xf>
    <xf numFmtId="168" fontId="33" fillId="0" borderId="10" xfId="30" applyNumberFormat="1" applyFont="1" applyFill="1" applyBorder="1" applyAlignment="1" applyProtection="1">
      <alignment horizontal="center" vertical="center"/>
    </xf>
    <xf numFmtId="0" fontId="87" fillId="30" borderId="0" xfId="180" applyFont="1" applyFill="1" applyAlignment="1">
      <alignment horizontal="center"/>
    </xf>
    <xf numFmtId="3" fontId="132" fillId="0" borderId="0" xfId="180" applyNumberFormat="1" applyFont="1" applyAlignment="1">
      <alignment horizontal="center" vertical="center"/>
    </xf>
    <xf numFmtId="170" fontId="88" fillId="0" borderId="0" xfId="59" applyNumberFormat="1" applyFont="1" applyAlignment="1">
      <alignment horizontal="center"/>
    </xf>
    <xf numFmtId="170" fontId="88" fillId="0" borderId="0" xfId="180" applyNumberFormat="1" applyFont="1" applyAlignment="1">
      <alignment horizontal="center"/>
    </xf>
    <xf numFmtId="3" fontId="88" fillId="0" borderId="0" xfId="180" applyNumberFormat="1" applyFont="1" applyAlignment="1">
      <alignment horizontal="right" vertical="center"/>
    </xf>
    <xf numFmtId="0" fontId="87" fillId="30" borderId="0" xfId="59" applyFont="1" applyFill="1" applyAlignment="1">
      <alignment horizontal="center"/>
    </xf>
    <xf numFmtId="170" fontId="88" fillId="0" borderId="0" xfId="59" applyNumberFormat="1" applyFont="1" applyAlignment="1">
      <alignment horizontal="right" vertical="center"/>
    </xf>
    <xf numFmtId="0" fontId="94" fillId="0" borderId="0" xfId="0" applyFont="1" applyAlignment="1">
      <alignment horizontal="center"/>
    </xf>
    <xf numFmtId="0" fontId="114" fillId="0" borderId="29" xfId="164" applyFont="1" applyBorder="1" applyAlignment="1">
      <alignment horizontal="center" vertical="center"/>
    </xf>
    <xf numFmtId="0" fontId="114" fillId="0" borderId="71" xfId="164" applyFont="1" applyBorder="1" applyAlignment="1">
      <alignment horizontal="center" vertical="center"/>
    </xf>
    <xf numFmtId="0" fontId="96" fillId="40" borderId="38" xfId="0" applyFont="1" applyFill="1" applyBorder="1" applyAlignment="1">
      <alignment horizontal="center"/>
    </xf>
    <xf numFmtId="0" fontId="96" fillId="40" borderId="39" xfId="0" applyFont="1" applyFill="1" applyBorder="1" applyAlignment="1">
      <alignment horizontal="center"/>
    </xf>
    <xf numFmtId="0" fontId="96" fillId="40" borderId="40" xfId="0" applyFont="1" applyFill="1" applyBorder="1" applyAlignment="1">
      <alignment horizontal="center"/>
    </xf>
    <xf numFmtId="0" fontId="114" fillId="0" borderId="46" xfId="164" applyFont="1" applyBorder="1" applyAlignment="1">
      <alignment horizontal="center" vertical="center"/>
    </xf>
    <xf numFmtId="0" fontId="114" fillId="0" borderId="43" xfId="164" applyFont="1" applyBorder="1" applyAlignment="1">
      <alignment horizontal="center" vertical="center"/>
    </xf>
    <xf numFmtId="0" fontId="114" fillId="0" borderId="47" xfId="164" applyFont="1" applyBorder="1" applyAlignment="1">
      <alignment horizontal="center" vertical="center"/>
    </xf>
    <xf numFmtId="0" fontId="114" fillId="0" borderId="44" xfId="164" applyFont="1" applyBorder="1" applyAlignment="1">
      <alignment horizontal="center" vertical="center"/>
    </xf>
    <xf numFmtId="14" fontId="114" fillId="0" borderId="46" xfId="164" applyNumberFormat="1" applyFont="1" applyBorder="1" applyAlignment="1">
      <alignment horizontal="center" vertical="center"/>
    </xf>
    <xf numFmtId="14" fontId="114" fillId="0" borderId="48" xfId="164" applyNumberFormat="1" applyFont="1" applyBorder="1" applyAlignment="1">
      <alignment horizontal="center" vertical="center"/>
    </xf>
    <xf numFmtId="170" fontId="114" fillId="0" borderId="46" xfId="164" applyNumberFormat="1" applyFont="1" applyBorder="1" applyAlignment="1">
      <alignment horizontal="center" vertical="center"/>
    </xf>
    <xf numFmtId="170" fontId="114" fillId="0" borderId="48" xfId="164" applyNumberFormat="1" applyFont="1" applyBorder="1" applyAlignment="1">
      <alignment horizontal="center" vertical="center"/>
    </xf>
    <xf numFmtId="0" fontId="95" fillId="39" borderId="38" xfId="0" applyFont="1" applyFill="1" applyBorder="1" applyAlignment="1">
      <alignment horizontal="center"/>
    </xf>
    <xf numFmtId="0" fontId="95" fillId="39" borderId="39" xfId="0" applyFont="1" applyFill="1" applyBorder="1" applyAlignment="1">
      <alignment horizontal="center"/>
    </xf>
    <xf numFmtId="0" fontId="114" fillId="0" borderId="28" xfId="164" applyFont="1" applyBorder="1" applyAlignment="1">
      <alignment horizontal="center" vertical="center" wrapText="1"/>
    </xf>
    <xf numFmtId="0" fontId="114" fillId="0" borderId="73" xfId="164" applyFont="1" applyBorder="1" applyAlignment="1">
      <alignment horizontal="center" vertical="center" wrapText="1"/>
    </xf>
    <xf numFmtId="14" fontId="23" fillId="0" borderId="41" xfId="164" applyNumberFormat="1" applyBorder="1" applyAlignment="1">
      <alignment horizontal="center" vertical="center"/>
    </xf>
    <xf numFmtId="14" fontId="23" fillId="0" borderId="43" xfId="164" applyNumberFormat="1" applyBorder="1" applyAlignment="1">
      <alignment horizontal="center" vertical="center"/>
    </xf>
    <xf numFmtId="14" fontId="23" fillId="0" borderId="72" xfId="164" applyNumberFormat="1" applyBorder="1" applyAlignment="1">
      <alignment horizontal="center" vertical="center"/>
    </xf>
    <xf numFmtId="14" fontId="23" fillId="0" borderId="45" xfId="164" applyNumberFormat="1" applyBorder="1" applyAlignment="1">
      <alignment horizontal="center" vertical="center"/>
    </xf>
    <xf numFmtId="170" fontId="114" fillId="0" borderId="45" xfId="164" applyNumberFormat="1" applyFont="1" applyBorder="1" applyAlignment="1">
      <alignment horizontal="center" vertical="center"/>
    </xf>
    <xf numFmtId="0" fontId="90" fillId="0" borderId="0" xfId="180" applyFont="1" applyAlignment="1">
      <alignment horizontal="center"/>
    </xf>
    <xf numFmtId="0" fontId="91" fillId="0" borderId="0" xfId="59" applyFont="1" applyAlignment="1">
      <alignment horizontal="center"/>
    </xf>
    <xf numFmtId="0" fontId="91" fillId="0" borderId="0" xfId="180" applyFont="1" applyAlignment="1">
      <alignment horizontal="center"/>
    </xf>
    <xf numFmtId="0" fontId="90" fillId="0" borderId="0" xfId="59" applyFont="1" applyAlignment="1">
      <alignment horizontal="center"/>
    </xf>
    <xf numFmtId="0" fontId="92" fillId="0" borderId="0" xfId="59" applyFont="1" applyAlignment="1">
      <alignment horizontal="center"/>
    </xf>
    <xf numFmtId="0" fontId="92" fillId="0" borderId="0" xfId="180" applyFont="1" applyAlignment="1">
      <alignment horizontal="center"/>
    </xf>
    <xf numFmtId="0" fontId="96" fillId="40" borderId="52" xfId="0" applyFont="1" applyFill="1" applyBorder="1" applyAlignment="1">
      <alignment horizontal="center"/>
    </xf>
    <xf numFmtId="0" fontId="96" fillId="40" borderId="13" xfId="0" applyFont="1" applyFill="1" applyBorder="1" applyAlignment="1">
      <alignment horizontal="center"/>
    </xf>
    <xf numFmtId="0" fontId="96" fillId="40" borderId="14" xfId="0" applyFont="1" applyFill="1" applyBorder="1" applyAlignment="1">
      <alignment horizontal="center"/>
    </xf>
    <xf numFmtId="0" fontId="96" fillId="40" borderId="15" xfId="0" applyFont="1" applyFill="1" applyBorder="1" applyAlignment="1">
      <alignment horizontal="center"/>
    </xf>
    <xf numFmtId="0" fontId="96" fillId="0" borderId="13" xfId="0" applyFont="1" applyBorder="1" applyAlignment="1">
      <alignment horizontal="center"/>
    </xf>
    <xf numFmtId="0" fontId="96" fillId="0" borderId="14" xfId="0" applyFont="1" applyBorder="1" applyAlignment="1">
      <alignment horizontal="center"/>
    </xf>
    <xf numFmtId="0" fontId="96" fillId="0" borderId="15" xfId="0" applyFont="1" applyBorder="1" applyAlignment="1">
      <alignment horizontal="center"/>
    </xf>
    <xf numFmtId="14" fontId="124" fillId="0" borderId="13" xfId="0" applyNumberFormat="1" applyFont="1" applyBorder="1" applyAlignment="1">
      <alignment horizontal="center" vertical="center"/>
    </xf>
    <xf numFmtId="14" fontId="124" fillId="0" borderId="14" xfId="0" applyNumberFormat="1" applyFont="1" applyBorder="1" applyAlignment="1">
      <alignment horizontal="center" vertical="center"/>
    </xf>
    <xf numFmtId="14" fontId="124" fillId="0" borderId="15" xfId="0" applyNumberFormat="1" applyFont="1" applyBorder="1" applyAlignment="1">
      <alignment horizontal="center" vertical="center"/>
    </xf>
    <xf numFmtId="0" fontId="120" fillId="42" borderId="54" xfId="130" applyFont="1" applyFill="1" applyBorder="1" applyAlignment="1">
      <alignment horizontal="center" vertical="center" wrapText="1"/>
    </xf>
    <xf numFmtId="0" fontId="120" fillId="42" borderId="57" xfId="130" applyFont="1" applyFill="1" applyBorder="1" applyAlignment="1">
      <alignment horizontal="center" vertical="center" wrapText="1"/>
    </xf>
    <xf numFmtId="0" fontId="120" fillId="42" borderId="58" xfId="130" applyFont="1" applyFill="1" applyBorder="1" applyAlignment="1">
      <alignment horizontal="center" vertical="center" wrapText="1"/>
    </xf>
    <xf numFmtId="0" fontId="64" fillId="36" borderId="13" xfId="0" applyFont="1" applyFill="1" applyBorder="1" applyAlignment="1">
      <alignment horizontal="center" wrapText="1"/>
    </xf>
    <xf numFmtId="0" fontId="64" fillId="36" borderId="14" xfId="0" applyFont="1" applyFill="1" applyBorder="1" applyAlignment="1">
      <alignment horizontal="center" wrapText="1"/>
    </xf>
    <xf numFmtId="0" fontId="64" fillId="36" borderId="15" xfId="0" applyFont="1" applyFill="1" applyBorder="1" applyAlignment="1">
      <alignment horizontal="center" wrapText="1"/>
    </xf>
    <xf numFmtId="0" fontId="64" fillId="30" borderId="10" xfId="0" applyFont="1" applyFill="1" applyBorder="1" applyAlignment="1">
      <alignment horizontal="center" wrapText="1"/>
    </xf>
    <xf numFmtId="0" fontId="64" fillId="30" borderId="0" xfId="0" applyFont="1" applyFill="1" applyAlignment="1">
      <alignment horizontal="center" wrapText="1"/>
    </xf>
    <xf numFmtId="9" fontId="124" fillId="0" borderId="29" xfId="495" applyFont="1" applyBorder="1" applyAlignment="1">
      <alignment horizontal="center" vertical="center"/>
    </xf>
    <xf numFmtId="9" fontId="124" fillId="0" borderId="34" xfId="495" applyFont="1" applyBorder="1" applyAlignment="1">
      <alignment horizontal="center" vertical="center"/>
    </xf>
    <xf numFmtId="9" fontId="124" fillId="0" borderId="71" xfId="495" applyFont="1" applyBorder="1" applyAlignment="1">
      <alignment horizontal="center" vertical="center"/>
    </xf>
    <xf numFmtId="0" fontId="124" fillId="0" borderId="58" xfId="0" applyFont="1" applyBorder="1" applyAlignment="1">
      <alignment horizontal="left"/>
    </xf>
    <xf numFmtId="0" fontId="124" fillId="0" borderId="79" xfId="0" applyFont="1" applyBorder="1" applyAlignment="1">
      <alignment horizontal="left"/>
    </xf>
    <xf numFmtId="0" fontId="124" fillId="0" borderId="80" xfId="0" applyFont="1" applyBorder="1" applyAlignment="1">
      <alignment horizontal="left"/>
    </xf>
    <xf numFmtId="0" fontId="124" fillId="0" borderId="24" xfId="0" applyFont="1" applyBorder="1" applyAlignment="1">
      <alignment horizontal="center"/>
    </xf>
    <xf numFmtId="0" fontId="124" fillId="0" borderId="38" xfId="0" applyFont="1" applyBorder="1" applyAlignment="1">
      <alignment horizontal="center"/>
    </xf>
    <xf numFmtId="0" fontId="124" fillId="0" borderId="39" xfId="0" applyFont="1" applyBorder="1" applyAlignment="1">
      <alignment horizontal="center"/>
    </xf>
    <xf numFmtId="0" fontId="124" fillId="0" borderId="40" xfId="0" applyFont="1" applyBorder="1" applyAlignment="1">
      <alignment horizontal="center"/>
    </xf>
    <xf numFmtId="0" fontId="124" fillId="0" borderId="46" xfId="0" applyFont="1" applyBorder="1" applyAlignment="1">
      <alignment horizontal="center" vertical="center"/>
    </xf>
    <xf numFmtId="0" fontId="124" fillId="0" borderId="49" xfId="0" applyFont="1" applyBorder="1" applyAlignment="1">
      <alignment horizontal="center" vertical="center"/>
    </xf>
    <xf numFmtId="3" fontId="124" fillId="0" borderId="29" xfId="0" applyNumberFormat="1" applyFont="1" applyBorder="1" applyAlignment="1">
      <alignment horizontal="center" vertical="center"/>
    </xf>
    <xf numFmtId="3" fontId="124" fillId="0" borderId="34" xfId="0" applyNumberFormat="1" applyFont="1" applyBorder="1" applyAlignment="1">
      <alignment horizontal="center" vertical="center"/>
    </xf>
    <xf numFmtId="0" fontId="124" fillId="0" borderId="41" xfId="0" applyFont="1" applyBorder="1" applyAlignment="1">
      <alignment horizontal="left"/>
    </xf>
    <xf numFmtId="0" fontId="124" fillId="0" borderId="42" xfId="0" applyFont="1" applyBorder="1" applyAlignment="1">
      <alignment horizontal="left"/>
    </xf>
    <xf numFmtId="0" fontId="124" fillId="0" borderId="72" xfId="0" applyFont="1" applyBorder="1" applyAlignment="1">
      <alignment horizontal="left"/>
    </xf>
    <xf numFmtId="0" fontId="124" fillId="0" borderId="49" xfId="0" applyFont="1" applyBorder="1" applyAlignment="1">
      <alignment horizontal="left"/>
    </xf>
    <xf numFmtId="0" fontId="124" fillId="0" borderId="21" xfId="0" applyFont="1" applyBorder="1" applyAlignment="1">
      <alignment horizontal="left"/>
    </xf>
    <xf numFmtId="0" fontId="0" fillId="0" borderId="50" xfId="0" applyBorder="1" applyAlignment="1">
      <alignment horizontal="left"/>
    </xf>
    <xf numFmtId="0" fontId="124" fillId="0" borderId="43" xfId="0" applyFont="1" applyBorder="1" applyAlignment="1">
      <alignment horizontal="left"/>
    </xf>
    <xf numFmtId="0" fontId="124" fillId="0" borderId="44" xfId="0" applyFont="1" applyBorder="1" applyAlignment="1">
      <alignment horizontal="left"/>
    </xf>
    <xf numFmtId="0" fontId="0" fillId="0" borderId="45" xfId="0" applyBorder="1" applyAlignment="1">
      <alignment horizontal="left"/>
    </xf>
    <xf numFmtId="0" fontId="29" fillId="0" borderId="25" xfId="0" applyFont="1" applyBorder="1" applyAlignment="1">
      <alignment horizontal="left" vertical="center"/>
    </xf>
    <xf numFmtId="0" fontId="29" fillId="0" borderId="22" xfId="0" applyFont="1" applyBorder="1" applyAlignment="1">
      <alignment horizontal="left" vertical="center"/>
    </xf>
    <xf numFmtId="3" fontId="0" fillId="0" borderId="25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0" fontId="29" fillId="0" borderId="26" xfId="0" applyFont="1" applyBorder="1" applyAlignment="1">
      <alignment horizontal="left" vertical="center"/>
    </xf>
    <xf numFmtId="0" fontId="114" fillId="0" borderId="38" xfId="465" applyFont="1" applyBorder="1" applyAlignment="1">
      <alignment horizontal="center" vertical="center" wrapText="1"/>
    </xf>
    <xf numFmtId="0" fontId="114" fillId="0" borderId="39" xfId="465" applyFont="1" applyBorder="1" applyAlignment="1">
      <alignment horizontal="center" vertical="center" wrapText="1"/>
    </xf>
    <xf numFmtId="0" fontId="114" fillId="0" borderId="40" xfId="465" applyFont="1" applyBorder="1" applyAlignment="1">
      <alignment horizontal="center" vertical="center" wrapText="1"/>
    </xf>
    <xf numFmtId="0" fontId="114" fillId="0" borderId="46" xfId="465" applyFont="1" applyBorder="1" applyAlignment="1">
      <alignment horizontal="center"/>
    </xf>
    <xf numFmtId="0" fontId="114" fillId="0" borderId="48" xfId="465" applyFont="1" applyBorder="1" applyAlignment="1">
      <alignment horizontal="center"/>
    </xf>
    <xf numFmtId="0" fontId="128" fillId="0" borderId="49" xfId="465" applyFont="1" applyBorder="1" applyAlignment="1">
      <alignment horizontal="left"/>
    </xf>
    <xf numFmtId="0" fontId="128" fillId="0" borderId="50" xfId="465" applyFont="1" applyBorder="1" applyAlignment="1">
      <alignment horizontal="left"/>
    </xf>
    <xf numFmtId="0" fontId="5" fillId="0" borderId="49" xfId="465" applyBorder="1" applyAlignment="1">
      <alignment horizontal="left"/>
    </xf>
    <xf numFmtId="0" fontId="5" fillId="0" borderId="50" xfId="465" applyBorder="1" applyAlignment="1">
      <alignment horizontal="left"/>
    </xf>
    <xf numFmtId="0" fontId="114" fillId="0" borderId="38" xfId="465" applyFont="1" applyBorder="1" applyAlignment="1">
      <alignment horizontal="center"/>
    </xf>
    <xf numFmtId="0" fontId="114" fillId="0" borderId="40" xfId="465" applyFont="1" applyBorder="1" applyAlignment="1">
      <alignment horizontal="center"/>
    </xf>
    <xf numFmtId="0" fontId="5" fillId="0" borderId="77" xfId="465" applyBorder="1" applyAlignment="1">
      <alignment horizontal="left"/>
    </xf>
    <xf numFmtId="0" fontId="5" fillId="0" borderId="76" xfId="465" applyBorder="1" applyAlignment="1">
      <alignment horizontal="left"/>
    </xf>
    <xf numFmtId="0" fontId="5" fillId="0" borderId="74" xfId="465" applyBorder="1" applyAlignment="1">
      <alignment horizontal="left"/>
    </xf>
    <xf numFmtId="0" fontId="5" fillId="0" borderId="75" xfId="465" applyBorder="1" applyAlignment="1">
      <alignment horizontal="left"/>
    </xf>
    <xf numFmtId="0" fontId="128" fillId="0" borderId="77" xfId="465" applyFont="1" applyBorder="1" applyAlignment="1">
      <alignment horizontal="left"/>
    </xf>
    <xf numFmtId="0" fontId="128" fillId="0" borderId="76" xfId="465" applyFont="1" applyBorder="1" applyAlignment="1">
      <alignment horizontal="left"/>
    </xf>
  </cellXfs>
  <cellStyles count="498">
    <cellStyle name="20 % - Accent1" xfId="148" builtinId="30" customBuiltin="1"/>
    <cellStyle name="20 % - Accent1 10" xfId="328" xr:uid="{F51837C7-9594-4715-9085-E1D8EDF48DAE}"/>
    <cellStyle name="20 % - Accent1 11" xfId="367" xr:uid="{6EED7594-6DAD-4FA9-BA1B-25A7B2C91C16}"/>
    <cellStyle name="20 % - Accent1 12" xfId="407" xr:uid="{2701D18A-68BC-4D8C-8C4D-F0598CF58067}"/>
    <cellStyle name="20 % - Accent1 13" xfId="422" xr:uid="{B9E20F15-7C80-4376-96B7-06A69E7AEA61}"/>
    <cellStyle name="20 % - Accent1 14" xfId="438" xr:uid="{B1736B34-3080-463E-9F6C-E9436E61B073}"/>
    <cellStyle name="20 % - Accent1 15" xfId="453" xr:uid="{D724B710-5AD6-431E-B1D8-1931CF7FCBD6}"/>
    <cellStyle name="20 % - Accent1 16" xfId="468" xr:uid="{09A50E5B-CCE8-4CAE-B97C-E8DE1B74B3A0}"/>
    <cellStyle name="20 % - Accent1 17" xfId="483" xr:uid="{74E12E9D-3A93-4994-A885-4D5A47FE3FEE}"/>
    <cellStyle name="20 % - Accent1 2" xfId="185" xr:uid="{D345177D-D43E-489E-9131-27D297313787}"/>
    <cellStyle name="20 % - Accent1 3" xfId="200" xr:uid="{61FDC6A8-0FFF-495F-8D93-DDB6485F576A}"/>
    <cellStyle name="20 % - Accent1 4" xfId="214" xr:uid="{2AF7459A-F948-4423-9706-8D5B2F0BDF19}"/>
    <cellStyle name="20 % - Accent1 5" xfId="228" xr:uid="{85479B44-2070-4802-9720-35E725DE1CD0}"/>
    <cellStyle name="20 % - Accent1 6" xfId="244" xr:uid="{3EC60F93-9B36-49E5-A01F-A0F905156EE4}"/>
    <cellStyle name="20 % - Accent1 7" xfId="262" xr:uid="{4571B022-FF36-46F5-8075-AB17F9F6DB86}"/>
    <cellStyle name="20 % - Accent1 8" xfId="279" xr:uid="{4858C853-1A3B-4186-BF4C-F69949820E07}"/>
    <cellStyle name="20 % - Accent1 9" xfId="303" xr:uid="{C46D8F44-3EF8-4DE6-9C39-3500D8EDD4EE}"/>
    <cellStyle name="20 % - Accent2" xfId="151" builtinId="34" customBuiltin="1"/>
    <cellStyle name="20 % - Accent2 10" xfId="330" xr:uid="{E351C532-5365-49B6-A925-15FD162563B0}"/>
    <cellStyle name="20 % - Accent2 11" xfId="369" xr:uid="{226BD3BE-0A52-4FB6-8591-CC9E1AE12B96}"/>
    <cellStyle name="20 % - Accent2 12" xfId="409" xr:uid="{04F92D6C-D715-47DA-AE6D-ACC5D1982415}"/>
    <cellStyle name="20 % - Accent2 13" xfId="425" xr:uid="{7C8FD637-D400-491D-BE02-E4196924BD1C}"/>
    <cellStyle name="20 % - Accent2 14" xfId="440" xr:uid="{B6FC766A-3B42-41A1-9D38-9740B293CB12}"/>
    <cellStyle name="20 % - Accent2 15" xfId="455" xr:uid="{CC99D5DF-46E3-4A94-9A0C-848151DD4EDB}"/>
    <cellStyle name="20 % - Accent2 16" xfId="470" xr:uid="{F202A680-90AC-4D45-8F4F-680E99375C53}"/>
    <cellStyle name="20 % - Accent2 17" xfId="485" xr:uid="{FB8FCB47-6A83-4336-9A4A-5E212C33DAF2}"/>
    <cellStyle name="20 % - Accent2 2" xfId="187" xr:uid="{035B3536-C252-40EC-A8FB-0CB524D97CFC}"/>
    <cellStyle name="20 % - Accent2 3" xfId="202" xr:uid="{DCFB8056-D789-4AD9-9314-4864B972C51E}"/>
    <cellStyle name="20 % - Accent2 4" xfId="216" xr:uid="{239D3449-0DEC-4CAF-888C-91DA21DAC5CC}"/>
    <cellStyle name="20 % - Accent2 5" xfId="230" xr:uid="{DE024307-0D6B-48EF-8656-729DDBE56F92}"/>
    <cellStyle name="20 % - Accent2 6" xfId="246" xr:uid="{CCDD87B1-3579-4850-A019-AC2231321803}"/>
    <cellStyle name="20 % - Accent2 7" xfId="264" xr:uid="{4A4C76AB-7E64-41AF-ACC7-9442AEE47935}"/>
    <cellStyle name="20 % - Accent2 8" xfId="282" xr:uid="{A7E6B06D-E23E-46FA-85A3-285683AF76AC}"/>
    <cellStyle name="20 % - Accent2 9" xfId="305" xr:uid="{4B010426-287B-4346-A05E-B5B88B75E8DF}"/>
    <cellStyle name="20 % - Accent3" xfId="3" builtinId="38"/>
    <cellStyle name="20 % - Accent3 10" xfId="308" xr:uid="{EB547657-FC74-4733-ABCE-55DD577C3D21}"/>
    <cellStyle name="20 % - Accent3 11" xfId="332" xr:uid="{EE5CE155-67BD-434A-BA0B-016E81AAAB1B}"/>
    <cellStyle name="20 % - Accent3 12" xfId="371" xr:uid="{C404C732-4D5D-438B-8BC1-30A593D36CB7}"/>
    <cellStyle name="20 % - Accent3 13" xfId="411" xr:uid="{821A3D18-F161-4CB5-8726-CFA904D26682}"/>
    <cellStyle name="20 % - Accent3 14" xfId="427" xr:uid="{5C793F5C-E014-4D51-83B6-4EC51FEBE21A}"/>
    <cellStyle name="20 % - Accent3 15" xfId="442" xr:uid="{653AF056-7C20-4D32-9280-C2C8083E3998}"/>
    <cellStyle name="20 % - Accent3 16" xfId="457" xr:uid="{1542F503-89DD-4465-BC7B-CE2977DE5535}"/>
    <cellStyle name="20 % - Accent3 17" xfId="472" xr:uid="{52E7C680-DFFB-4B69-A3BB-9BC8009E6C6C}"/>
    <cellStyle name="20 % - Accent3 18" xfId="487" xr:uid="{E161BAB3-1CDB-4D82-A9BA-C2AF2DE0642C}"/>
    <cellStyle name="20 % - Accent3 2" xfId="175" xr:uid="{BFBFB2EB-3E1B-4D4A-904F-E0425860529A}"/>
    <cellStyle name="20 % - Accent3 3" xfId="189" xr:uid="{53ABD077-BBCA-44CA-A756-E1D92F08ED94}"/>
    <cellStyle name="20 % - Accent3 4" xfId="204" xr:uid="{C5F0BF9B-A0BB-475F-B8C2-FF59F333CD7F}"/>
    <cellStyle name="20 % - Accent3 5" xfId="218" xr:uid="{BA52EA03-7690-4B3D-8D67-F5381703A072}"/>
    <cellStyle name="20 % - Accent3 6" xfId="232" xr:uid="{490EF401-5C05-4987-807A-8501E48F7AD4}"/>
    <cellStyle name="20 % - Accent3 7" xfId="248" xr:uid="{15204496-CB46-4454-AA3E-0DB11FA1E3BB}"/>
    <cellStyle name="20 % - Accent3 8" xfId="266" xr:uid="{111CA316-F72A-4A9C-96B2-AAF34C47BB4C}"/>
    <cellStyle name="20 % - Accent3 9" xfId="285" xr:uid="{57C55C30-9759-4ACA-8BC2-C61A7377CE6C}"/>
    <cellStyle name="20 % - Accent4" xfId="156" builtinId="42" customBuiltin="1"/>
    <cellStyle name="20 % - Accent4 10" xfId="334" xr:uid="{3E4ACFDE-AC39-4FC8-8DB7-42F2F0359E56}"/>
    <cellStyle name="20 % - Accent4 11" xfId="373" xr:uid="{FD055A86-08A5-4C5B-BB1B-8B0289D24AFE}"/>
    <cellStyle name="20 % - Accent4 12" xfId="413" xr:uid="{C6BE6B80-9854-4CA8-8B8B-B0DC8BBD14DA}"/>
    <cellStyle name="20 % - Accent4 13" xfId="429" xr:uid="{C411845E-EDED-470C-87D9-4F7681D6838E}"/>
    <cellStyle name="20 % - Accent4 14" xfId="444" xr:uid="{16DE6517-9A7D-48E3-BDF1-D93740C2931A}"/>
    <cellStyle name="20 % - Accent4 15" xfId="459" xr:uid="{CB4B119F-E612-42A1-8B8E-DC103FD753DC}"/>
    <cellStyle name="20 % - Accent4 16" xfId="474" xr:uid="{4B72EF24-0C01-43D8-ACA7-98A6828C7E2A}"/>
    <cellStyle name="20 % - Accent4 17" xfId="489" xr:uid="{A49CF318-95D5-4E63-903D-E23F8FB39620}"/>
    <cellStyle name="20 % - Accent4 2" xfId="191" xr:uid="{CF2C3F7D-6CE0-477E-B614-A84C1615EE68}"/>
    <cellStyle name="20 % - Accent4 3" xfId="206" xr:uid="{7B562EBC-7DE4-44BE-A43B-8BCF697AAB8A}"/>
    <cellStyle name="20 % - Accent4 4" xfId="220" xr:uid="{EA118359-97A0-4F0E-B9ED-D4DFBA8D507C}"/>
    <cellStyle name="20 % - Accent4 5" xfId="234" xr:uid="{6E5A12D6-6C4B-421C-812A-E8BB1FC01668}"/>
    <cellStyle name="20 % - Accent4 6" xfId="250" xr:uid="{370D2B6A-4885-4D3B-910C-32E99FDF358E}"/>
    <cellStyle name="20 % - Accent4 7" xfId="268" xr:uid="{D99B16A7-9FAB-4618-BEB7-D541E3EB9E59}"/>
    <cellStyle name="20 % - Accent4 8" xfId="287" xr:uid="{919D35C6-FA39-45FF-8E50-70C74175E2CA}"/>
    <cellStyle name="20 % - Accent4 9" xfId="310" xr:uid="{8C41655B-052A-406D-B2A8-900FBB332503}"/>
    <cellStyle name="20 % - Accent5" xfId="159" builtinId="46" customBuiltin="1"/>
    <cellStyle name="20 % - Accent5 10" xfId="336" xr:uid="{B2BB3EE9-8F90-4E22-B842-AD947CA67F65}"/>
    <cellStyle name="20 % - Accent5 11" xfId="375" xr:uid="{A6A73812-6E70-4480-989C-D399C65FE2CE}"/>
    <cellStyle name="20 % - Accent5 12" xfId="415" xr:uid="{0F637B23-C094-4B12-9253-A49684C0168F}"/>
    <cellStyle name="20 % - Accent5 13" xfId="431" xr:uid="{F11C6E17-499E-4DED-815E-B7D25B353659}"/>
    <cellStyle name="20 % - Accent5 14" xfId="446" xr:uid="{5545BFCB-9907-4221-BE85-B259311476F1}"/>
    <cellStyle name="20 % - Accent5 15" xfId="461" xr:uid="{050D9901-4C90-4EB8-838B-0ED53D60A826}"/>
    <cellStyle name="20 % - Accent5 16" xfId="476" xr:uid="{C96751AA-468D-46FE-91C2-7DDD0FC1E761}"/>
    <cellStyle name="20 % - Accent5 17" xfId="491" xr:uid="{F808426F-5489-41A6-A5BC-11B4D40750D4}"/>
    <cellStyle name="20 % - Accent5 2" xfId="193" xr:uid="{92B8A95D-5A4A-4C3A-87FB-838D1F51E3E0}"/>
    <cellStyle name="20 % - Accent5 3" xfId="208" xr:uid="{541A76E5-BC46-4643-B101-C40C18973AE2}"/>
    <cellStyle name="20 % - Accent5 4" xfId="222" xr:uid="{FF363363-A544-4B81-9C31-D7CC3A6024DD}"/>
    <cellStyle name="20 % - Accent5 5" xfId="236" xr:uid="{1CE3899E-5838-4AEB-90FD-A6CBD4A68256}"/>
    <cellStyle name="20 % - Accent5 6" xfId="252" xr:uid="{F17592B7-3313-4078-A633-3301B91564E3}"/>
    <cellStyle name="20 % - Accent5 7" xfId="271" xr:uid="{1FB0D583-D2D8-484C-9BE5-55A6F483DFD4}"/>
    <cellStyle name="20 % - Accent5 8" xfId="289" xr:uid="{5047A498-F522-44E4-A989-71A90D703A6C}"/>
    <cellStyle name="20 % - Accent5 9" xfId="312" xr:uid="{B2C37F8D-DF53-4CC3-A737-E2B4403676CC}"/>
    <cellStyle name="20 % - Accent6" xfId="162" builtinId="50" customBuiltin="1"/>
    <cellStyle name="20 % - Accent6 10" xfId="338" xr:uid="{44B3E4EC-A395-4CF3-A95E-D8CDDF55BC51}"/>
    <cellStyle name="20 % - Accent6 11" xfId="377" xr:uid="{8FBAAAD1-F394-47B5-AF30-65FF771DB4BC}"/>
    <cellStyle name="20 % - Accent6 12" xfId="418" xr:uid="{19A3CA68-2E62-40F9-89FF-308E278F475C}"/>
    <cellStyle name="20 % - Accent6 13" xfId="433" xr:uid="{52FBB6DE-209C-419F-8AF1-CB485214E094}"/>
    <cellStyle name="20 % - Accent6 14" xfId="448" xr:uid="{973B49AE-411B-494E-BE33-5D0BE8FB2120}"/>
    <cellStyle name="20 % - Accent6 15" xfId="463" xr:uid="{FD989EE9-33AF-49D0-A9CE-18C06E33A506}"/>
    <cellStyle name="20 % - Accent6 16" xfId="478" xr:uid="{8EEC55A1-39F2-4B14-8493-847814051F85}"/>
    <cellStyle name="20 % - Accent6 17" xfId="493" xr:uid="{160441F1-694A-4E5E-8D39-6761276518D3}"/>
    <cellStyle name="20 % - Accent6 2" xfId="195" xr:uid="{D85B6901-CF00-4949-B1A5-708FED85B7D0}"/>
    <cellStyle name="20 % - Accent6 3" xfId="210" xr:uid="{37857F35-78AC-4A73-9DF5-119E3202855E}"/>
    <cellStyle name="20 % - Accent6 4" xfId="224" xr:uid="{77089704-EC4F-4718-A8B5-CABB2B57F7B4}"/>
    <cellStyle name="20 % - Accent6 5" xfId="238" xr:uid="{FACDA205-2FB0-4294-AD8D-28E2980C0DAC}"/>
    <cellStyle name="20 % - Accent6 6" xfId="254" xr:uid="{5F3B2F9F-BCC6-4679-AB43-8882E36D4083}"/>
    <cellStyle name="20 % - Accent6 7" xfId="273" xr:uid="{8628AD88-5D0F-46E5-AB1C-EE2E391F62CB}"/>
    <cellStyle name="20 % - Accent6 8" xfId="291" xr:uid="{E8031DA6-3C27-4ACC-ACEA-F7C716C5BC61}"/>
    <cellStyle name="20 % - Accent6 9" xfId="315" xr:uid="{DE3FD79C-53A1-4D50-B832-FCA357343F38}"/>
    <cellStyle name="20% - Accent1 2" xfId="1" xr:uid="{00000000-0005-0000-0000-000000000000}"/>
    <cellStyle name="20% - Accent2 2" xfId="2" xr:uid="{00000000-0005-0000-0000-000001000000}"/>
    <cellStyle name="20% - Accent3 2" xfId="4" xr:uid="{00000000-0005-0000-0000-000003000000}"/>
    <cellStyle name="20% - Accent3 3" xfId="5" xr:uid="{00000000-0005-0000-0000-000004000000}"/>
    <cellStyle name="20% - Accent3 3 2" xfId="112" xr:uid="{1F229D9F-74AC-4092-B523-02B27E58EF27}"/>
    <cellStyle name="20% - Accent3 3 3" xfId="97" xr:uid="{4D8F2199-0707-477E-B133-10E876378CC1}"/>
    <cellStyle name="20% - Accent3 3 4" xfId="127" xr:uid="{C14F7044-8C55-41AB-A69D-AF1E4A1C8389}"/>
    <cellStyle name="20% - Accent3 3 5" xfId="82" xr:uid="{92C5B47B-F38D-4945-9420-34939D2A10F3}"/>
    <cellStyle name="20% - Accent3 4" xfId="111" xr:uid="{B975F390-4B36-4BFD-9065-7755D634F215}"/>
    <cellStyle name="20% - Accent3 5" xfId="96" xr:uid="{EED8F34E-2EE1-48E9-9118-38F312179B49}"/>
    <cellStyle name="20% - Accent3 6" xfId="126" xr:uid="{7FA1B4E8-C802-4FFE-B93C-D52204621EE3}"/>
    <cellStyle name="20% - Accent3 7" xfId="81" xr:uid="{A04F5DC6-1D28-48CD-9378-3BA0EB957BEF}"/>
    <cellStyle name="20% - Accent4 2" xfId="6" xr:uid="{00000000-0005-0000-0000-000005000000}"/>
    <cellStyle name="20% - Accent5 2" xfId="7" xr:uid="{00000000-0005-0000-0000-000006000000}"/>
    <cellStyle name="20% - Accent6 2" xfId="8" xr:uid="{00000000-0005-0000-0000-000007000000}"/>
    <cellStyle name="40 % - Accent1" xfId="149" builtinId="31" customBuiltin="1"/>
    <cellStyle name="40 % - Accent1 10" xfId="329" xr:uid="{57C8BE9E-225D-4893-B5CA-665C4C968A7B}"/>
    <cellStyle name="40 % - Accent1 11" xfId="368" xr:uid="{A91F40DA-6CFC-4CD9-A141-37E38399494F}"/>
    <cellStyle name="40 % - Accent1 12" xfId="408" xr:uid="{C5D62FA9-856B-4B06-87D5-687416B9C223}"/>
    <cellStyle name="40 % - Accent1 13" xfId="423" xr:uid="{FB80E378-F2B4-4B6B-89A5-5D81668E4234}"/>
    <cellStyle name="40 % - Accent1 14" xfId="439" xr:uid="{22EAA64F-7DE2-493B-82E5-383D757BDF8A}"/>
    <cellStyle name="40 % - Accent1 15" xfId="454" xr:uid="{60B7339B-E5D3-4379-9DB2-CC5DBEFDA17E}"/>
    <cellStyle name="40 % - Accent1 16" xfId="469" xr:uid="{6263DC62-0AD6-407F-A4D4-74252F397A8C}"/>
    <cellStyle name="40 % - Accent1 17" xfId="484" xr:uid="{C1DE02BE-4682-4DF3-8883-3857602A286F}"/>
    <cellStyle name="40 % - Accent1 2" xfId="186" xr:uid="{66AE65E6-C13B-4EDE-9206-F480A0BDECD7}"/>
    <cellStyle name="40 % - Accent1 3" xfId="201" xr:uid="{851070D8-92D0-4EE5-9085-335734BF625D}"/>
    <cellStyle name="40 % - Accent1 4" xfId="215" xr:uid="{7E5E12F6-E4FD-4717-AAE6-2A5E33B35B8C}"/>
    <cellStyle name="40 % - Accent1 5" xfId="229" xr:uid="{FD1625AB-BCD0-4F5F-A54D-6A0C9E934C17}"/>
    <cellStyle name="40 % - Accent1 6" xfId="245" xr:uid="{9A3A4749-C005-4B4A-B469-E6CEAD86EBD8}"/>
    <cellStyle name="40 % - Accent1 7" xfId="263" xr:uid="{E170C4C2-C8BD-4829-8806-FD79F12E3D91}"/>
    <cellStyle name="40 % - Accent1 8" xfId="280" xr:uid="{F7417396-F86F-4A2C-8A87-C02288C4B171}"/>
    <cellStyle name="40 % - Accent1 9" xfId="304" xr:uid="{99472859-0B83-4F8D-9E2E-88C07E5BD58C}"/>
    <cellStyle name="40 % - Accent2" xfId="152" builtinId="35" customBuiltin="1"/>
    <cellStyle name="40 % - Accent2 10" xfId="331" xr:uid="{67327D1E-9722-4A9F-9093-270DD3538F3E}"/>
    <cellStyle name="40 % - Accent2 11" xfId="370" xr:uid="{37F48007-DE6A-44B1-91B7-3BD0C51F5BC5}"/>
    <cellStyle name="40 % - Accent2 12" xfId="410" xr:uid="{F5C48998-748D-4AA5-9FCB-24E54E84E5E7}"/>
    <cellStyle name="40 % - Accent2 13" xfId="426" xr:uid="{55974CD7-B2B3-4B35-882E-021EBF82927E}"/>
    <cellStyle name="40 % - Accent2 14" xfId="441" xr:uid="{2A290C36-9C4E-45E8-A776-0B8D4183F1BF}"/>
    <cellStyle name="40 % - Accent2 15" xfId="456" xr:uid="{CBD1B791-7E4E-415D-86B0-5A7C4C290C7B}"/>
    <cellStyle name="40 % - Accent2 16" xfId="471" xr:uid="{5244BD78-A15C-474F-A18A-F9A6EDFF9AF7}"/>
    <cellStyle name="40 % - Accent2 17" xfId="486" xr:uid="{2AC8A599-50DD-4A76-8710-410C7CE3F4E0}"/>
    <cellStyle name="40 % - Accent2 2" xfId="188" xr:uid="{A9DF4CBD-2D15-4438-90B9-99B8620544BC}"/>
    <cellStyle name="40 % - Accent2 3" xfId="203" xr:uid="{BA6AF2F6-71AF-4EA4-B34B-167C19A47660}"/>
    <cellStyle name="40 % - Accent2 4" xfId="217" xr:uid="{805F6091-63AF-4720-A4F9-BE55B8CF59AD}"/>
    <cellStyle name="40 % - Accent2 5" xfId="231" xr:uid="{3EF24BC3-517F-4107-B39D-6F3B08BB8E8C}"/>
    <cellStyle name="40 % - Accent2 6" xfId="247" xr:uid="{A64DE210-3D9A-495A-8C7E-FA113CCA811B}"/>
    <cellStyle name="40 % - Accent2 7" xfId="265" xr:uid="{DC94752D-9BFF-436B-8295-6DC08051636C}"/>
    <cellStyle name="40 % - Accent2 8" xfId="283" xr:uid="{62EDDE76-DD4C-4187-8172-4E3ED7D3B5CB}"/>
    <cellStyle name="40 % - Accent2 9" xfId="306" xr:uid="{B4622BF1-45F0-48AE-B2BC-807E7C934DED}"/>
    <cellStyle name="40 % - Accent3" xfId="154" builtinId="39" customBuiltin="1"/>
    <cellStyle name="40 % - Accent3 10" xfId="333" xr:uid="{643B2932-40E9-44D3-A44D-C7E6D4E7B327}"/>
    <cellStyle name="40 % - Accent3 11" xfId="372" xr:uid="{62EA8E28-1AA0-47E1-8CCF-831AB00BE39D}"/>
    <cellStyle name="40 % - Accent3 12" xfId="412" xr:uid="{28284EFF-5D9E-44FC-97BE-9406460D3D29}"/>
    <cellStyle name="40 % - Accent3 13" xfId="428" xr:uid="{9289192F-4BDE-4B64-A44C-6C9C4F4B7C93}"/>
    <cellStyle name="40 % - Accent3 14" xfId="443" xr:uid="{A0ACF59F-8B86-42C6-A6DF-C640E84AB667}"/>
    <cellStyle name="40 % - Accent3 15" xfId="458" xr:uid="{058EA0D6-DF65-4455-BCC6-639023DF0081}"/>
    <cellStyle name="40 % - Accent3 16" xfId="473" xr:uid="{17BB450B-7A1D-4E68-B01A-3C3D6FCEB25F}"/>
    <cellStyle name="40 % - Accent3 17" xfId="488" xr:uid="{73AC6203-0141-489C-9DDF-F40C1E2679E0}"/>
    <cellStyle name="40 % - Accent3 2" xfId="190" xr:uid="{1E1CAC3C-E5D7-46B9-83D3-387A3662398B}"/>
    <cellStyle name="40 % - Accent3 3" xfId="205" xr:uid="{5E9B2582-ED99-4CC7-B39A-1937D93CB18A}"/>
    <cellStyle name="40 % - Accent3 4" xfId="219" xr:uid="{3366B59F-83D2-49E5-8023-3BDACF9016B8}"/>
    <cellStyle name="40 % - Accent3 5" xfId="233" xr:uid="{DF0EC1AF-021A-4A86-B7AC-A63CB3C8B5A3}"/>
    <cellStyle name="40 % - Accent3 6" xfId="249" xr:uid="{C5728D0D-640F-4967-8809-28DEC67BF5DC}"/>
    <cellStyle name="40 % - Accent3 7" xfId="267" xr:uid="{E2E9405B-DE8E-435B-8BB1-7920A472FD9A}"/>
    <cellStyle name="40 % - Accent3 8" xfId="286" xr:uid="{96EF195B-3922-48B4-A9EC-8C759E9AB159}"/>
    <cellStyle name="40 % - Accent3 9" xfId="309" xr:uid="{012A32F3-0218-4433-A504-02804F7C6A52}"/>
    <cellStyle name="40 % - Accent4" xfId="157" builtinId="43" customBuiltin="1"/>
    <cellStyle name="40 % - Accent4 10" xfId="335" xr:uid="{75462FAD-81E5-4631-8582-641792671B27}"/>
    <cellStyle name="40 % - Accent4 11" xfId="374" xr:uid="{42C8AC0C-861B-4A3E-BF06-FFC9F8EF8CE0}"/>
    <cellStyle name="40 % - Accent4 12" xfId="414" xr:uid="{6FDE2E77-B9F0-4FF9-BF0F-D5E1EF1B264A}"/>
    <cellStyle name="40 % - Accent4 13" xfId="430" xr:uid="{6158702F-8A0F-4481-AFD2-B49A356E52DD}"/>
    <cellStyle name="40 % - Accent4 14" xfId="445" xr:uid="{A48B892E-1848-48D5-9F64-3841DE918F80}"/>
    <cellStyle name="40 % - Accent4 15" xfId="460" xr:uid="{B77ED141-08C9-4A27-AD83-CAD882782BAF}"/>
    <cellStyle name="40 % - Accent4 16" xfId="475" xr:uid="{C6539480-8CA5-4A6C-A221-AFC02D01B886}"/>
    <cellStyle name="40 % - Accent4 17" xfId="490" xr:uid="{CC0D7A72-A3CE-499E-8833-7BE248FC33DD}"/>
    <cellStyle name="40 % - Accent4 2" xfId="192" xr:uid="{3361C1D6-0928-4A75-8E9F-B783DA7BA570}"/>
    <cellStyle name="40 % - Accent4 3" xfId="207" xr:uid="{E7059E3C-A5CD-46B5-8621-ECC9E6611296}"/>
    <cellStyle name="40 % - Accent4 4" xfId="221" xr:uid="{400DA401-348F-4460-961C-B0B8ACE50D64}"/>
    <cellStyle name="40 % - Accent4 5" xfId="235" xr:uid="{B3EACAF8-5288-4703-82DA-FADE85F68B89}"/>
    <cellStyle name="40 % - Accent4 6" xfId="251" xr:uid="{9CC37D44-CEA4-423B-8FFF-73C5F75F5F3D}"/>
    <cellStyle name="40 % - Accent4 7" xfId="269" xr:uid="{D54C1712-31EB-4B98-B6AE-B64F25E3D5BE}"/>
    <cellStyle name="40 % - Accent4 8" xfId="288" xr:uid="{99A6CC3F-2584-44F0-B2AE-835D018822B3}"/>
    <cellStyle name="40 % - Accent4 9" xfId="311" xr:uid="{60305B08-897C-4495-B93C-C894A9BED2CA}"/>
    <cellStyle name="40 % - Accent5" xfId="160" builtinId="47" customBuiltin="1"/>
    <cellStyle name="40 % - Accent5 10" xfId="337" xr:uid="{6F3A3241-FB91-44FC-8AD2-7C0372DFAD30}"/>
    <cellStyle name="40 % - Accent5 11" xfId="376" xr:uid="{6F8AE337-D8DD-40CE-8A91-1EF258024513}"/>
    <cellStyle name="40 % - Accent5 12" xfId="416" xr:uid="{1F820F26-09B6-42F4-9FFC-3B3B22946F95}"/>
    <cellStyle name="40 % - Accent5 13" xfId="432" xr:uid="{BF4D3303-6E12-4144-8D10-A6290DB421A9}"/>
    <cellStyle name="40 % - Accent5 14" xfId="447" xr:uid="{CCF4683A-3B96-45F5-9C3A-041AB59F9E27}"/>
    <cellStyle name="40 % - Accent5 15" xfId="462" xr:uid="{C486E66C-6E17-487B-BB78-16517B03E3A6}"/>
    <cellStyle name="40 % - Accent5 16" xfId="477" xr:uid="{8E24C958-1C9D-49B1-993A-62BF515A2BF7}"/>
    <cellStyle name="40 % - Accent5 17" xfId="492" xr:uid="{569770A4-A3F8-44F7-BB5E-399F705AC24B}"/>
    <cellStyle name="40 % - Accent5 2" xfId="194" xr:uid="{0CF25CBE-6106-4455-A931-C18915DAF19C}"/>
    <cellStyle name="40 % - Accent5 3" xfId="209" xr:uid="{426BF197-8D8E-4BBA-9EAB-F8A419FD7CE0}"/>
    <cellStyle name="40 % - Accent5 4" xfId="223" xr:uid="{7C95303A-5A64-4A3B-8958-C5545C91209D}"/>
    <cellStyle name="40 % - Accent5 5" xfId="237" xr:uid="{B1E2BE4A-C119-4423-B9C6-4FA479E98805}"/>
    <cellStyle name="40 % - Accent5 6" xfId="253" xr:uid="{5B08E25D-DD96-4A47-8CC2-2995216A812A}"/>
    <cellStyle name="40 % - Accent5 7" xfId="272" xr:uid="{59503DAE-19BD-407A-8977-D1DF22825DB0}"/>
    <cellStyle name="40 % - Accent5 8" xfId="290" xr:uid="{6EDB4E40-3580-4ABB-B92D-E0F384D379DD}"/>
    <cellStyle name="40 % - Accent5 9" xfId="313" xr:uid="{14820DD6-1AA8-4B20-AFA3-8119D2C2E1D5}"/>
    <cellStyle name="40 % - Accent6" xfId="163" builtinId="51" customBuiltin="1"/>
    <cellStyle name="40 % - Accent6 10" xfId="339" xr:uid="{0DC06329-3D39-4C86-9B44-6972EA8062AE}"/>
    <cellStyle name="40 % - Accent6 11" xfId="378" xr:uid="{1A4B3AE0-2501-4EF6-8FC3-55BDF618EE8F}"/>
    <cellStyle name="40 % - Accent6 12" xfId="419" xr:uid="{08512823-285F-4A36-B77C-F45F5AC0CAC5}"/>
    <cellStyle name="40 % - Accent6 13" xfId="434" xr:uid="{7BA0D0CE-477B-4060-AD01-CEDFC932AA76}"/>
    <cellStyle name="40 % - Accent6 14" xfId="449" xr:uid="{359D36BD-01FA-4619-B70E-0CAF56C5C8C2}"/>
    <cellStyle name="40 % - Accent6 15" xfId="464" xr:uid="{C2E99781-F6F3-44D6-971D-AE2EBEDF6052}"/>
    <cellStyle name="40 % - Accent6 16" xfId="479" xr:uid="{A49F4C76-9AF1-494B-9596-2DD583E1A8A0}"/>
    <cellStyle name="40 % - Accent6 17" xfId="494" xr:uid="{7415E83C-8ED3-42E9-A973-CC3CA9A9B2F3}"/>
    <cellStyle name="40 % - Accent6 2" xfId="196" xr:uid="{C623E389-135B-4703-9537-F1D1642805DC}"/>
    <cellStyle name="40 % - Accent6 3" xfId="211" xr:uid="{20501EF4-529D-44FF-A854-E5B47966C9E4}"/>
    <cellStyle name="40 % - Accent6 4" xfId="225" xr:uid="{4F02DA9D-9F3A-4175-BCC4-61AC21C3345D}"/>
    <cellStyle name="40 % - Accent6 5" xfId="239" xr:uid="{EE4271D1-1D98-4DC2-A454-05DC6B448ECE}"/>
    <cellStyle name="40 % - Accent6 6" xfId="255" xr:uid="{FC584460-3911-479D-9293-6D5CF67611C7}"/>
    <cellStyle name="40 % - Accent6 7" xfId="274" xr:uid="{C1F41E1F-B8EB-4922-8AF1-6D44866ED0A2}"/>
    <cellStyle name="40 % - Accent6 8" xfId="292" xr:uid="{FD668DB8-3547-4029-9708-FBF58C3909B8}"/>
    <cellStyle name="40 % - Accent6 9" xfId="316" xr:uid="{BFC5E7EF-1B00-444E-BE94-2E68A199573E}"/>
    <cellStyle name="40% - Accent1 2" xfId="9" xr:uid="{00000000-0005-0000-0000-000008000000}"/>
    <cellStyle name="40% - Accent2 2" xfId="10" xr:uid="{00000000-0005-0000-0000-000009000000}"/>
    <cellStyle name="40% - Accent3 2" xfId="11" xr:uid="{00000000-0005-0000-0000-00000A000000}"/>
    <cellStyle name="40% - Accent4 2" xfId="12" xr:uid="{00000000-0005-0000-0000-00000B000000}"/>
    <cellStyle name="40% - Accent5 2" xfId="13" xr:uid="{00000000-0005-0000-0000-00000C000000}"/>
    <cellStyle name="40% - Accent6 2" xfId="14" xr:uid="{00000000-0005-0000-0000-00000D000000}"/>
    <cellStyle name="60 % - Accent1 2" xfId="173" xr:uid="{4E6BBFD3-EBC5-4F56-B0A0-D33E8E974678}"/>
    <cellStyle name="60 % - Accent2 2" xfId="174" xr:uid="{C993BA79-301D-41E9-B58C-5BD6ABEFAA6C}"/>
    <cellStyle name="60 % - Accent3 2" xfId="176" xr:uid="{27F87F63-8FD0-4DD3-832A-81337730905E}"/>
    <cellStyle name="60 % - Accent4 2" xfId="177" xr:uid="{5B8F1A92-5486-49CF-B713-19C252213B15}"/>
    <cellStyle name="60 % - Accent5 2" xfId="178" xr:uid="{E172B448-ED1D-435A-9BF9-989A5C9C2DC9}"/>
    <cellStyle name="60 % - Accent6 2" xfId="179" xr:uid="{8EA81F90-CEC2-477A-A42C-B13B43FBC964}"/>
    <cellStyle name="60% - Accent1 2" xfId="15" xr:uid="{00000000-0005-0000-0000-00000E000000}"/>
    <cellStyle name="60% - Accent2 2" xfId="16" xr:uid="{00000000-0005-0000-0000-00000F000000}"/>
    <cellStyle name="60% - Accent3 2" xfId="17" xr:uid="{00000000-0005-0000-0000-000010000000}"/>
    <cellStyle name="60% - Accent4 2" xfId="18" xr:uid="{00000000-0005-0000-0000-000011000000}"/>
    <cellStyle name="60% - Accent5 2" xfId="19" xr:uid="{00000000-0005-0000-0000-000012000000}"/>
    <cellStyle name="60% - Accent6 2" xfId="20" xr:uid="{00000000-0005-0000-0000-000013000000}"/>
    <cellStyle name="Accent1" xfId="147" builtinId="29" customBuiltin="1"/>
    <cellStyle name="Accent1 2" xfId="21" xr:uid="{00000000-0005-0000-0000-000014000000}"/>
    <cellStyle name="Accent2" xfId="150" builtinId="33" customBuiltin="1"/>
    <cellStyle name="Accent2 2" xfId="22" xr:uid="{00000000-0005-0000-0000-000015000000}"/>
    <cellStyle name="Accent3" xfId="153" builtinId="37" customBuiltin="1"/>
    <cellStyle name="Accent3 2" xfId="23" xr:uid="{00000000-0005-0000-0000-000016000000}"/>
    <cellStyle name="Accent4" xfId="155" builtinId="41" customBuiltin="1"/>
    <cellStyle name="Accent4 2" xfId="24" xr:uid="{00000000-0005-0000-0000-000017000000}"/>
    <cellStyle name="Accent5" xfId="158" builtinId="45" customBuiltin="1"/>
    <cellStyle name="Accent5 2" xfId="25" xr:uid="{00000000-0005-0000-0000-000018000000}"/>
    <cellStyle name="Accent6" xfId="161" builtinId="49" customBuiltin="1"/>
    <cellStyle name="Accent6 2" xfId="26" xr:uid="{00000000-0005-0000-0000-000019000000}"/>
    <cellStyle name="Avertissement" xfId="144" builtinId="11" customBuiltin="1"/>
    <cellStyle name="Bad 2" xfId="27" xr:uid="{00000000-0005-0000-0000-00001A000000}"/>
    <cellStyle name="Calcul" xfId="141" builtinId="22" customBuiltin="1"/>
    <cellStyle name="Calculation 2" xfId="28" xr:uid="{00000000-0005-0000-0000-00001B000000}"/>
    <cellStyle name="Cellule liée" xfId="142" builtinId="24" customBuiltin="1"/>
    <cellStyle name="Check Cell 2" xfId="29" xr:uid="{00000000-0005-0000-0000-00001C000000}"/>
    <cellStyle name="Comma 2" xfId="31" xr:uid="{00000000-0005-0000-0000-00001E000000}"/>
    <cellStyle name="Comma 2 2" xfId="32" xr:uid="{00000000-0005-0000-0000-00001F000000}"/>
    <cellStyle name="Comma 2 2 2" xfId="33" xr:uid="{00000000-0005-0000-0000-000020000000}"/>
    <cellStyle name="Comma 2 2 3" xfId="34" xr:uid="{00000000-0005-0000-0000-000021000000}"/>
    <cellStyle name="Comma 2 3" xfId="35" xr:uid="{00000000-0005-0000-0000-000022000000}"/>
    <cellStyle name="Comma 2 4" xfId="36" xr:uid="{00000000-0005-0000-0000-000023000000}"/>
    <cellStyle name="Comma 2 4 2" xfId="113" xr:uid="{2FC5DDA5-21CA-4EBB-95A3-C10E10723E41}"/>
    <cellStyle name="Comma 2 4 3" xfId="98" xr:uid="{13DC4A1D-2AFE-4174-B5E8-EB03B24E2AF5}"/>
    <cellStyle name="Comma 2 4 4" xfId="83" xr:uid="{728EC6FC-AEC2-428A-AF74-9F8CEB4C8AB9}"/>
    <cellStyle name="Comma 3" xfId="37" xr:uid="{00000000-0005-0000-0000-000024000000}"/>
    <cellStyle name="Comma 3 2" xfId="38" xr:uid="{00000000-0005-0000-0000-000025000000}"/>
    <cellStyle name="Comma 3 3" xfId="39" xr:uid="{00000000-0005-0000-0000-000026000000}"/>
    <cellStyle name="Comma 3 4" xfId="40" xr:uid="{00000000-0005-0000-0000-000027000000}"/>
    <cellStyle name="Comma 3 4 2" xfId="114" xr:uid="{916244F0-DBA8-48A4-B182-944CE8FADFFF}"/>
    <cellStyle name="Comma 3 4 3" xfId="99" xr:uid="{0AF9CB45-1696-4265-A3DA-8ED248D46919}"/>
    <cellStyle name="Comma 3 4 4" xfId="84" xr:uid="{356A1E9F-C6D4-4E88-8253-E93E91CECE48}"/>
    <cellStyle name="Comma 4" xfId="41" xr:uid="{00000000-0005-0000-0000-000028000000}"/>
    <cellStyle name="Comma 5" xfId="42" xr:uid="{00000000-0005-0000-0000-000029000000}"/>
    <cellStyle name="Comma 6" xfId="43" xr:uid="{00000000-0005-0000-0000-00002A000000}"/>
    <cellStyle name="Comma 6 2" xfId="115" xr:uid="{0F342639-83F9-4247-AE34-2D18BA98177B}"/>
    <cellStyle name="Comma 6 3" xfId="100" xr:uid="{B11886D3-3802-4E32-8162-7E68B6F7B5E0}"/>
    <cellStyle name="Comma 6 4" xfId="85" xr:uid="{B9C1B310-52D5-44A0-AF62-08EE333ABE20}"/>
    <cellStyle name="Comma 7" xfId="44" xr:uid="{00000000-0005-0000-0000-00002B000000}"/>
    <cellStyle name="Comma 7 2" xfId="116" xr:uid="{4FD78016-36B9-4583-8372-915CF9A61FA7}"/>
    <cellStyle name="Comma 7 3" xfId="101" xr:uid="{60C4AD1B-4D67-42E9-A851-510CE3CE1334}"/>
    <cellStyle name="Comma 7 4" xfId="86" xr:uid="{B83E0917-7186-4A57-92D6-EAB07D207006}"/>
    <cellStyle name="Comma 8" xfId="45" xr:uid="{00000000-0005-0000-0000-00002C000000}"/>
    <cellStyle name="Comma 8 2" xfId="117" xr:uid="{C936135D-FE44-4DC0-B563-9867B052BF19}"/>
    <cellStyle name="Comma 8 3" xfId="102" xr:uid="{750511D5-D365-4BB2-81DE-F81B3E9A2960}"/>
    <cellStyle name="Comma 8 4" xfId="87" xr:uid="{2AA0FA08-1FB5-4B24-BA7C-F41E6E45BF3B}"/>
    <cellStyle name="Comma 9" xfId="131" xr:uid="{AAFCB4BE-2164-42A9-B621-636B3475B204}"/>
    <cellStyle name="Currency 2" xfId="46" xr:uid="{00000000-0005-0000-0000-00002D000000}"/>
    <cellStyle name="Currency 2 2" xfId="118" xr:uid="{008AE4F6-629B-4AE2-A6A2-0E61334A11BA}"/>
    <cellStyle name="Currency 2 3" xfId="103" xr:uid="{5EACC2F6-FCD6-4CE2-9498-1EDBE21E7B01}"/>
    <cellStyle name="Currency 2 4" xfId="88" xr:uid="{055FA241-C0CA-4BE0-ABCC-C787E8A70E43}"/>
    <cellStyle name="Currency 3" xfId="47" xr:uid="{00000000-0005-0000-0000-00002E000000}"/>
    <cellStyle name="Currency 3 2" xfId="119" xr:uid="{D1F8DFB6-09AD-4706-9F0E-65F8E671E32F}"/>
    <cellStyle name="Currency 3 3" xfId="104" xr:uid="{E1FBDA17-A919-495A-97C0-6D5805311FC1}"/>
    <cellStyle name="Currency 3 4" xfId="89" xr:uid="{615ACD3D-0B93-4482-8461-EF985E40F1FE}"/>
    <cellStyle name="Entrée" xfId="139" builtinId="20" customBuiltin="1"/>
    <cellStyle name="Explanatory Text 2" xfId="48" xr:uid="{00000000-0005-0000-0000-00002F000000}"/>
    <cellStyle name="Good 2" xfId="49" xr:uid="{00000000-0005-0000-0000-000030000000}"/>
    <cellStyle name="Heading 1 2" xfId="50" xr:uid="{00000000-0005-0000-0000-000031000000}"/>
    <cellStyle name="Heading 2 2" xfId="51" xr:uid="{00000000-0005-0000-0000-000032000000}"/>
    <cellStyle name="Heading 3 2" xfId="52" xr:uid="{00000000-0005-0000-0000-000033000000}"/>
    <cellStyle name="Heading 4 2" xfId="53" xr:uid="{00000000-0005-0000-0000-000034000000}"/>
    <cellStyle name="Input 2" xfId="54" xr:uid="{00000000-0005-0000-0000-000035000000}"/>
    <cellStyle name="Insatisfaisant" xfId="138" builtinId="27" customBuiltin="1"/>
    <cellStyle name="Linked Cell 2" xfId="55" xr:uid="{00000000-0005-0000-0000-000036000000}"/>
    <cellStyle name="Milliers" xfId="30" builtinId="3"/>
    <cellStyle name="Milliers 10" xfId="386" xr:uid="{90100991-C43E-4CEE-A336-40738FB920D4}"/>
    <cellStyle name="Milliers 11" xfId="406" xr:uid="{2426D29E-A428-4C14-853B-ABAE6AE7BCED}"/>
    <cellStyle name="Milliers 12" xfId="424" xr:uid="{0350A4DF-FDBF-4207-A485-13ADABEEA26E}"/>
    <cellStyle name="Milliers 13" xfId="436" xr:uid="{A88858F6-6473-4F10-9D38-FE13AC440E41}"/>
    <cellStyle name="Milliers 14" xfId="451" xr:uid="{3232728A-97BE-4FB5-8AE5-78176C13EC7B}"/>
    <cellStyle name="Milliers 15" xfId="466" xr:uid="{8007E80D-FF77-4270-93B5-4203786E982D}"/>
    <cellStyle name="Milliers 16" xfId="481" xr:uid="{9474020B-0634-4C31-A256-450EBC9A96BB}"/>
    <cellStyle name="Milliers 17" xfId="497" xr:uid="{3F149933-5FE3-44E8-A996-E13C851AA52A}"/>
    <cellStyle name="Milliers 2" xfId="166" xr:uid="{57BCC0F6-C8FD-4666-913E-693A2B6BDEC6}"/>
    <cellStyle name="Milliers 3" xfId="165" xr:uid="{6BFC621F-39DB-4B8B-BD47-2D4C0F0740AB}"/>
    <cellStyle name="Milliers 4" xfId="183" xr:uid="{EB8615B0-DFDD-4F0F-BE20-3693AC2178E0}"/>
    <cellStyle name="Milliers 5" xfId="198" xr:uid="{367B769B-B118-4004-9C99-DF2797C00535}"/>
    <cellStyle name="Milliers 6" xfId="242" xr:uid="{8FB51FC1-653D-413B-AD00-E4B008F1005E}"/>
    <cellStyle name="Milliers 7" xfId="276" xr:uid="{0B7F4892-93E6-4D50-A58C-5D5E6CAD6D57}"/>
    <cellStyle name="Milliers 8" xfId="300" xr:uid="{C141B7BA-12A4-4C71-8814-1F9EC7FBB50A}"/>
    <cellStyle name="Milliers 9" xfId="341" xr:uid="{6C6662E1-EABD-45F4-930E-801592A37E3E}"/>
    <cellStyle name="Neutral 2" xfId="56" xr:uid="{00000000-0005-0000-0000-000037000000}"/>
    <cellStyle name="Neutre 2" xfId="171" xr:uid="{2255C5C2-0EFA-4089-8ACA-BE00716DC653}"/>
    <cellStyle name="Normal" xfId="0" builtinId="0"/>
    <cellStyle name="Normal 10" xfId="57" xr:uid="{00000000-0005-0000-0000-000039000000}"/>
    <cellStyle name="Normal 100" xfId="400" xr:uid="{79805D91-6B37-4563-91BF-51C1C53AD10B}"/>
    <cellStyle name="Normal 101" xfId="420" xr:uid="{0890786F-3169-42D3-98FC-FD7AD71E5A7B}"/>
    <cellStyle name="Normal 102" xfId="435" xr:uid="{554994A2-5893-4CB2-BDA6-0CE5DE2A6757}"/>
    <cellStyle name="Normal 103" xfId="450" xr:uid="{215DC892-96C5-4785-8CB1-F39359F6413A}"/>
    <cellStyle name="Normal 104" xfId="465" xr:uid="{72A3130A-C998-4485-B903-CC1E0E24D456}"/>
    <cellStyle name="Normal 105" xfId="480" xr:uid="{5106B937-855E-4AC1-BABF-1BCC07C07605}"/>
    <cellStyle name="Normal 106" xfId="496" xr:uid="{5F6FFEE3-4388-48F7-9672-A72143609725}"/>
    <cellStyle name="Normal 11" xfId="80" xr:uid="{00000000-0005-0000-0000-00003A000000}"/>
    <cellStyle name="Normal 12" xfId="132" xr:uid="{AFBDBB12-0D1F-450E-99C7-69A6B002F75D}"/>
    <cellStyle name="Normal 13" xfId="164" xr:uid="{7BAFD5AA-1783-4FAE-A364-A2CD1DC55B6D}"/>
    <cellStyle name="Normal 14" xfId="182" xr:uid="{CD0F452C-5615-4B75-8D16-9396ABC47A20}"/>
    <cellStyle name="Normal 15" xfId="197" xr:uid="{0C48EDC1-CB80-4184-81CA-4CE8DB7DA4EA}"/>
    <cellStyle name="Normal 16" xfId="212" xr:uid="{609AFCC5-6775-4E38-A864-BF251F787622}"/>
    <cellStyle name="Normal 17" xfId="226" xr:uid="{3D2FBD13-073A-4225-885A-21D2C85B5E1E}"/>
    <cellStyle name="Normal 18" xfId="240" xr:uid="{BA372D44-3919-4959-A08C-E1981F4CD440}"/>
    <cellStyle name="Normal 19" xfId="241" xr:uid="{1AECEA86-552F-4D3D-89AA-2D5C554E4BF8}"/>
    <cellStyle name="Normal 2" xfId="58" xr:uid="{00000000-0005-0000-0000-00003B000000}"/>
    <cellStyle name="Normal 2 2" xfId="59" xr:uid="{00000000-0005-0000-0000-00003C000000}"/>
    <cellStyle name="Normal 2 2 2" xfId="120" xr:uid="{3C52189C-269B-4E06-9E01-60FE405A7166}"/>
    <cellStyle name="Normal 2 2 3" xfId="105" xr:uid="{D9C64696-3C6D-4228-9D44-B2463C2403E6}"/>
    <cellStyle name="Normal 2 2 4" xfId="90" xr:uid="{AC796FC0-F108-47C5-A80A-D416156EDEF1}"/>
    <cellStyle name="Normal 2 2 5" xfId="180" xr:uid="{95518258-A6E0-4BC7-A778-135CA86851B5}"/>
    <cellStyle name="Normal 2 3" xfId="60" xr:uid="{00000000-0005-0000-0000-00003D000000}"/>
    <cellStyle name="Normal 2 4" xfId="61" xr:uid="{00000000-0005-0000-0000-00003E000000}"/>
    <cellStyle name="Normal 2 5" xfId="62" xr:uid="{00000000-0005-0000-0000-00003F000000}"/>
    <cellStyle name="Normal 2 5 2" xfId="121" xr:uid="{B0A4EAD8-F24A-4F99-BD77-6C5843EA0EC2}"/>
    <cellStyle name="Normal 2 5 3" xfId="106" xr:uid="{B852A40C-031A-4FA3-AD0F-77569995267F}"/>
    <cellStyle name="Normal 2 5 4" xfId="91" xr:uid="{BFBE1EF3-2C3C-4213-867D-829538A708F1}"/>
    <cellStyle name="Normal 2 6" xfId="130" xr:uid="{137E420B-C5F1-4B01-91DC-49C3851F1BC1}"/>
    <cellStyle name="Normal 2 7" xfId="167" xr:uid="{B140EA64-C858-4058-94F7-41DFA12303CF}"/>
    <cellStyle name="Normal 2_Одобрение_за_плащане_W7_10_02_2015" xfId="63" xr:uid="{00000000-0005-0000-0000-000040000000}"/>
    <cellStyle name="Normal 20" xfId="256" xr:uid="{F03AA756-E498-4AD3-A59D-F26EC4754462}"/>
    <cellStyle name="Normal 21" xfId="257" xr:uid="{911460FE-543D-48E9-82EA-BB0F7FBF7A2C}"/>
    <cellStyle name="Normal 22" xfId="258" xr:uid="{74F6338B-6E06-46AE-A747-4C36FE538BD1}"/>
    <cellStyle name="Normal 23" xfId="260" xr:uid="{E4A5E1D3-693D-4C3B-B8F5-490A0E3907DE}"/>
    <cellStyle name="Normal 24" xfId="270" xr:uid="{49F600C5-AD5C-43B8-88DB-4FB16B387B4B}"/>
    <cellStyle name="Normal 25" xfId="259" xr:uid="{06222633-BCC7-437E-8C6F-340CC7DF0F72}"/>
    <cellStyle name="Normal 26" xfId="275" xr:uid="{C2DD2D2F-8C5D-4CC1-AFBC-A484F0B1B43D}"/>
    <cellStyle name="Normal 27" xfId="277" xr:uid="{2B351318-7120-47A3-BCE5-7341861BF104}"/>
    <cellStyle name="Normal 28" xfId="296" xr:uid="{804EF13A-9B73-4675-A289-6D819C4C0EA7}"/>
    <cellStyle name="Normal 29" xfId="295" xr:uid="{FE85EB81-05F3-440E-81E0-9BC34A2C1CC9}"/>
    <cellStyle name="Normal 3" xfId="64" xr:uid="{00000000-0005-0000-0000-000041000000}"/>
    <cellStyle name="Normal 3 2" xfId="65" xr:uid="{00000000-0005-0000-0000-000042000000}"/>
    <cellStyle name="Normal 3 3" xfId="122" xr:uid="{6996193D-F9AD-4390-88EC-7EEF81EF119A}"/>
    <cellStyle name="Normal 3 4" xfId="107" xr:uid="{F3AB66F3-86F8-404A-934D-C1EBC0A00395}"/>
    <cellStyle name="Normal 3 5" xfId="92" xr:uid="{C8B8220A-8CFE-4C42-9CD7-9025F9AA8E4E}"/>
    <cellStyle name="Normal 3 6" xfId="169" xr:uid="{C7AFB771-6E00-4EE4-9380-EB72E2C49322}"/>
    <cellStyle name="Normal 30" xfId="293" xr:uid="{812FBFF4-C83A-48C9-9168-1D2D6118F34C}"/>
    <cellStyle name="Normal 31" xfId="294" xr:uid="{601F2D87-CCE2-4560-845B-233C86AE0726}"/>
    <cellStyle name="Normal 32" xfId="281" xr:uid="{D081229B-49C3-4297-B7AA-30F0A7770872}"/>
    <cellStyle name="Normal 33" xfId="284" xr:uid="{79CA0F3E-8EE8-4240-927A-5D87082970AF}"/>
    <cellStyle name="Normal 34" xfId="297" xr:uid="{D2E5100D-B443-4E8C-A331-62C37DE1B7FF}"/>
    <cellStyle name="Normal 35" xfId="298" xr:uid="{DD6C4CA5-5272-402A-91DA-ED0E625FA145}"/>
    <cellStyle name="Normal 36" xfId="299" xr:uid="{C04E2C10-156C-44C1-A525-33C416025E92}"/>
    <cellStyle name="Normal 37" xfId="301" xr:uid="{1D8641A8-D57A-43AE-88F8-566D46742418}"/>
    <cellStyle name="Normal 38" xfId="314" xr:uid="{584BAE41-1440-417C-A17A-FF9C096AF1D1}"/>
    <cellStyle name="Normal 39" xfId="307" xr:uid="{9CB8F5FE-B40F-4CE2-BDDC-645A1615B7B5}"/>
    <cellStyle name="Normal 4" xfId="66" xr:uid="{00000000-0005-0000-0000-000043000000}"/>
    <cellStyle name="Normal 4 2" xfId="123" xr:uid="{CDD2755E-24C4-4242-A844-B43B34BB4CB4}"/>
    <cellStyle name="Normal 4 3" xfId="108" xr:uid="{A55200B9-F4D6-44BE-A061-C749D692F73B}"/>
    <cellStyle name="Normal 4 4" xfId="128" xr:uid="{347C3158-D76E-437E-B696-155A95EB8703}"/>
    <cellStyle name="Normal 4 5" xfId="93" xr:uid="{67C0E96B-8DF9-46D9-9EA1-2D2A58432460}"/>
    <cellStyle name="Normal 40" xfId="317" xr:uid="{6EEBC06C-4AF6-4A10-A2CF-CE8D88575CD1}"/>
    <cellStyle name="Normal 41" xfId="322" xr:uid="{69B8BD47-508E-4076-8C13-E2508D7E427B}"/>
    <cellStyle name="Normal 42" xfId="321" xr:uid="{4586E69E-FAA1-4FA7-B37A-E0E8D24A598A}"/>
    <cellStyle name="Normal 43" xfId="320" xr:uid="{033C67F3-54BE-42DE-A44F-93ECC0F3505F}"/>
    <cellStyle name="Normal 44" xfId="318" xr:uid="{C3A0A59F-A140-4BA7-9271-EC09A99392D9}"/>
    <cellStyle name="Normal 45" xfId="319" xr:uid="{907BE5CF-7293-452C-9175-355CCEF27870}"/>
    <cellStyle name="Normal 46" xfId="324" xr:uid="{597EA485-0936-40A4-8093-3956682AE888}"/>
    <cellStyle name="Normal 47" xfId="325" xr:uid="{D6D2C9CD-5F85-43EB-B018-89BF0CBDC104}"/>
    <cellStyle name="Normal 48" xfId="323" xr:uid="{97B03FB4-DB1D-4956-94BD-2B4E35001521}"/>
    <cellStyle name="Normal 49" xfId="326" xr:uid="{182E93ED-9A09-4840-9946-E8518B890B99}"/>
    <cellStyle name="Normal 5" xfId="67" xr:uid="{00000000-0005-0000-0000-000044000000}"/>
    <cellStyle name="Normal 50" xfId="340" xr:uid="{3512B3A2-5340-454C-AA5B-2AB6662B9CFF}"/>
    <cellStyle name="Normal 51" xfId="344" xr:uid="{00D77E44-E561-4E84-97AD-4B93D7DA1236}"/>
    <cellStyle name="Normal 52" xfId="343" xr:uid="{FCAB1124-34D0-434A-B3A1-2FEB8702ECA8}"/>
    <cellStyle name="Normal 53" xfId="342" xr:uid="{BDC02885-6762-4561-A54E-CBF1E980385B}"/>
    <cellStyle name="Normal 54" xfId="345" xr:uid="{F963E6C4-2C0F-4E42-915E-BDD874B46F80}"/>
    <cellStyle name="Normal 55" xfId="347" xr:uid="{FDFE8BAC-6437-4EF4-ADC3-404270B4673C}"/>
    <cellStyle name="Normal 56" xfId="346" xr:uid="{60AE3A3B-9498-4EC3-9F56-D216F15CE66D}"/>
    <cellStyle name="Normal 57" xfId="348" xr:uid="{D5C49DCD-F8A8-464F-AC08-B0CF91C4E14B}"/>
    <cellStyle name="Normal 58" xfId="349" xr:uid="{6F9531DF-DD6D-497F-82DC-E74CA40F3DCE}"/>
    <cellStyle name="Normal 59" xfId="353" xr:uid="{817EE5C6-AB0F-4816-8BD4-FA5B77E9C003}"/>
    <cellStyle name="Normal 6" xfId="68" xr:uid="{00000000-0005-0000-0000-000045000000}"/>
    <cellStyle name="Normal 60" xfId="352" xr:uid="{9EA0F27D-B339-4BDC-8FE6-729C49F17426}"/>
    <cellStyle name="Normal 61" xfId="351" xr:uid="{21083992-2FC1-4B88-9832-C7F47E003159}"/>
    <cellStyle name="Normal 62" xfId="350" xr:uid="{A327877A-9451-4761-8BA7-D1541F1BE503}"/>
    <cellStyle name="Normal 63" xfId="357" xr:uid="{BA4A4E95-C907-40AD-A40A-69CA841B7D8A}"/>
    <cellStyle name="Normal 64" xfId="354" xr:uid="{0A093CC7-1D1F-4180-86D6-FDCF3ED99E5D}"/>
    <cellStyle name="Normal 65" xfId="355" xr:uid="{B10055C5-1823-49FD-9606-48A251F8BD3E}"/>
    <cellStyle name="Normal 66" xfId="356" xr:uid="{49CA12FA-775E-49A5-BFC1-FAE49E42DC76}"/>
    <cellStyle name="Normal 67" xfId="358" xr:uid="{ACB16B49-7A07-4291-A2A3-033F96DD0343}"/>
    <cellStyle name="Normal 68" xfId="363" xr:uid="{A432E5B6-31B4-4BB4-8F3C-B418B93A063C}"/>
    <cellStyle name="Normal 69" xfId="362" xr:uid="{BBEA16AA-6CDB-43AF-90E0-E6486CDE8802}"/>
    <cellStyle name="Normal 7" xfId="69" xr:uid="{00000000-0005-0000-0000-000046000000}"/>
    <cellStyle name="Normal 70" xfId="364" xr:uid="{9E4A6331-CE2D-44EB-9CAF-A04D2FD9CC95}"/>
    <cellStyle name="Normal 71" xfId="360" xr:uid="{2583DA2C-E21C-4A9F-B0BB-215A3B68AE87}"/>
    <cellStyle name="Normal 72" xfId="366" xr:uid="{00D33370-6855-4910-8F90-A01FE73D022C}"/>
    <cellStyle name="Normal 73" xfId="359" xr:uid="{C5568328-389B-4815-937F-8C432270179A}"/>
    <cellStyle name="Normal 74" xfId="380" xr:uid="{37F3ACA2-6C50-4CEA-8343-367A35B91E8E}"/>
    <cellStyle name="Normal 75" xfId="379" xr:uid="{8DB3F8F7-FCA9-43DC-9A3E-B5500E374B76}"/>
    <cellStyle name="Normal 76" xfId="383" xr:uid="{759895DE-A83F-42C3-BD0A-F302EA15C282}"/>
    <cellStyle name="Normal 77" xfId="382" xr:uid="{98E1CD2E-DAC6-4F01-9352-ABF06D8EB6CC}"/>
    <cellStyle name="Normal 78" xfId="384" xr:uid="{31986E0B-9C31-440F-8AF9-3D945E7C428C}"/>
    <cellStyle name="Normal 79" xfId="381" xr:uid="{A842178F-CF8E-40ED-8390-CD6AEC45CD27}"/>
    <cellStyle name="Normal 8" xfId="70" xr:uid="{00000000-0005-0000-0000-000047000000}"/>
    <cellStyle name="Normal 80" xfId="361" xr:uid="{895DCAF3-7B6B-4727-8D1D-54BDD8B16A94}"/>
    <cellStyle name="Normal 81" xfId="385" xr:uid="{AC3071CC-B283-4073-ACD6-453CEA96EB1C}"/>
    <cellStyle name="Normal 82" xfId="388" xr:uid="{33E00749-1613-480C-9868-26C5AD8BFC9D}"/>
    <cellStyle name="Normal 83" xfId="389" xr:uid="{90D3272C-0FA3-47EC-A9BD-B8B6A7AA845F}"/>
    <cellStyle name="Normal 84" xfId="387" xr:uid="{2B5CD0D7-FD41-4062-9F0E-283C3AEC3D94}"/>
    <cellStyle name="Normal 85" xfId="390" xr:uid="{90327DBD-A3FD-4191-BAC3-3EE7EA7E4BCB}"/>
    <cellStyle name="Normal 86" xfId="394" xr:uid="{918D2FAC-41E5-4B6B-8BFB-E0C28C338296}"/>
    <cellStyle name="Normal 87" xfId="393" xr:uid="{A8FC7FCA-1C47-4F47-8CDC-5A2F1B3793A2}"/>
    <cellStyle name="Normal 88" xfId="392" xr:uid="{75FE62C2-8EE5-4423-9111-A2B2F2BFECC5}"/>
    <cellStyle name="Normal 89" xfId="391" xr:uid="{CF02A67B-3FED-4D66-BDEC-FFFF3B75156E}"/>
    <cellStyle name="Normal 9" xfId="71" xr:uid="{00000000-0005-0000-0000-000048000000}"/>
    <cellStyle name="Normal 90" xfId="395" xr:uid="{A46D3EFE-5C53-4E6A-8199-4AEC5D2AD51F}"/>
    <cellStyle name="Normal 91" xfId="396" xr:uid="{2C9659CF-06B0-4C53-8C68-6CBAECAEF60C}"/>
    <cellStyle name="Normal 92" xfId="397" xr:uid="{17CCC575-F355-4910-B7F4-54AC9014C24A}"/>
    <cellStyle name="Normal 93" xfId="398" xr:uid="{2FED9933-8472-42E4-9AB7-C461F473E4CA}"/>
    <cellStyle name="Normal 94" xfId="402" xr:uid="{2D8A7500-CFC7-4BC5-A5B3-5F2733F90F0D}"/>
    <cellStyle name="Normal 95" xfId="401" xr:uid="{EBD03805-1C9A-4058-B18E-0E73B559E959}"/>
    <cellStyle name="Normal 96" xfId="403" xr:uid="{E3D614B8-20F9-40BF-9859-BBE580710583}"/>
    <cellStyle name="Normal 97" xfId="399" xr:uid="{A23BEC01-F9FB-49A6-9407-DBF9D36530C4}"/>
    <cellStyle name="Normal 98" xfId="405" xr:uid="{8B3842AE-E2AF-45B1-8570-09EE2306F544}"/>
    <cellStyle name="Normal 99" xfId="417" xr:uid="{D5311E29-A4DF-484A-A923-FA0557223331}"/>
    <cellStyle name="Normal_Prista consolidation after me" xfId="72" xr:uid="{00000000-0005-0000-0000-000049000000}"/>
    <cellStyle name="Note 10" xfId="278" xr:uid="{723007ED-4D94-415E-9D13-049C00A01D87}"/>
    <cellStyle name="Note 11" xfId="302" xr:uid="{391DCB78-A95C-4501-BDD3-1E31E69F0239}"/>
    <cellStyle name="Note 12" xfId="327" xr:uid="{D4DD046F-5E34-499F-9616-5E8B54E86603}"/>
    <cellStyle name="Note 13" xfId="365" xr:uid="{398504FC-A975-470F-B4B5-7502AF792103}"/>
    <cellStyle name="Note 14" xfId="404" xr:uid="{866214F2-A77E-4AC4-BF0A-9E435C2CAE9C}"/>
    <cellStyle name="Note 15" xfId="421" xr:uid="{AEE81A9F-B14E-4339-96D5-2FC355264B31}"/>
    <cellStyle name="Note 16" xfId="437" xr:uid="{FC9F59E0-3E04-4F54-AA77-D56F95D8F8B6}"/>
    <cellStyle name="Note 17" xfId="452" xr:uid="{DDF85AA1-7B7D-4196-BB87-E196BC53424A}"/>
    <cellStyle name="Note 18" xfId="467" xr:uid="{21A5C44D-4CF7-4117-9AFD-0F12DA6B010B}"/>
    <cellStyle name="Note 19" xfId="482" xr:uid="{0C265364-FD1F-4D11-9D2F-D259852895EB}"/>
    <cellStyle name="Note 2" xfId="73" xr:uid="{00000000-0005-0000-0000-00004A000000}"/>
    <cellStyle name="Note 2 2" xfId="124" xr:uid="{297492D2-47A0-4F3B-8386-B84B9A1C05A2}"/>
    <cellStyle name="Note 2 3" xfId="109" xr:uid="{FDF0DD07-F04C-423E-B3E4-9179E12FF692}"/>
    <cellStyle name="Note 2 4" xfId="94" xr:uid="{76B3F850-D74F-4C6C-89EB-7D311997F318}"/>
    <cellStyle name="Note 3" xfId="172" xr:uid="{B2346943-6F10-4F58-B87D-513B5C15FD12}"/>
    <cellStyle name="Note 4" xfId="184" xr:uid="{0519EDC2-7B41-41E1-815A-72751E976E3E}"/>
    <cellStyle name="Note 5" xfId="199" xr:uid="{6A2BAB22-672F-4B65-A1A7-5F48B18AAB5D}"/>
    <cellStyle name="Note 6" xfId="213" xr:uid="{2E7BD2E2-824B-4865-91CF-1F163D07C760}"/>
    <cellStyle name="Note 7" xfId="227" xr:uid="{31C6773B-4011-4056-8A4A-099AF6955ADC}"/>
    <cellStyle name="Note 8" xfId="243" xr:uid="{C2817B84-28CF-4241-8184-9B2A7C84E508}"/>
    <cellStyle name="Note 9" xfId="261" xr:uid="{C81414A4-34F4-498D-BE01-5DBD5BBCFE46}"/>
    <cellStyle name="Output 2" xfId="74" xr:uid="{00000000-0005-0000-0000-00004B000000}"/>
    <cellStyle name="Percent 2" xfId="75" xr:uid="{00000000-0005-0000-0000-00004C000000}"/>
    <cellStyle name="Percent 2 2" xfId="125" xr:uid="{15EF5A93-3365-4A48-A434-D1C14B545355}"/>
    <cellStyle name="Percent 2 3" xfId="110" xr:uid="{366C3A9A-8DAD-4429-A358-8D9FA72CF1FC}"/>
    <cellStyle name="Percent 2 4" xfId="95" xr:uid="{DCE669EA-8E21-4910-820B-F3A58390202F}"/>
    <cellStyle name="Pourcentage" xfId="495" builtinId="5"/>
    <cellStyle name="Pourcentage 2" xfId="168" xr:uid="{B5158D6B-06DF-4FAF-BE0F-04533909FA5E}"/>
    <cellStyle name="Pourcentage 3" xfId="181" xr:uid="{6BF64AAF-C83E-4541-A826-E4CE75FB5F8A}"/>
    <cellStyle name="Satisfaisant" xfId="137" builtinId="26" customBuiltin="1"/>
    <cellStyle name="Sortie" xfId="140" builtinId="21" customBuiltin="1"/>
    <cellStyle name="Standaard_Blad1" xfId="76" xr:uid="{00000000-0005-0000-0000-00004D000000}"/>
    <cellStyle name="Texte explicatif" xfId="145" builtinId="53" customBuiltin="1"/>
    <cellStyle name="Title 2" xfId="77" xr:uid="{00000000-0005-0000-0000-00004E000000}"/>
    <cellStyle name="Titre 2" xfId="170" xr:uid="{5D54C421-D29A-47FA-8767-13CD1125BB61}"/>
    <cellStyle name="Titre 1" xfId="133" builtinId="16" customBuiltin="1"/>
    <cellStyle name="Titre 2" xfId="134" builtinId="17" customBuiltin="1"/>
    <cellStyle name="Titre 3" xfId="135" builtinId="18" customBuiltin="1"/>
    <cellStyle name="Titre 4" xfId="136" builtinId="19" customBuiltin="1"/>
    <cellStyle name="Total" xfId="146" builtinId="25" customBuiltin="1"/>
    <cellStyle name="Total 2" xfId="78" xr:uid="{00000000-0005-0000-0000-00004F000000}"/>
    <cellStyle name="Vérification" xfId="143" builtinId="23" customBuiltin="1"/>
    <cellStyle name="Warning Text 2" xfId="79" xr:uid="{00000000-0005-0000-0000-000050000000}"/>
    <cellStyle name="Запетая 2" xfId="129" xr:uid="{39A8BB7D-8838-4C69-8F8A-467F7066AE71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8" formatCode="_-* #,##0\ _л_в_-;\-* #,##0\ _л_в_-;_-* &quot;-&quot;??\ _л_в_-;_-@_-"/>
    </dxf>
    <dxf>
      <numFmt numFmtId="168" formatCode="_-* #,##0\ _л_в_-;\-* #,##0\ _л_в_-;_-* &quot;-&quot;??\ _л_в_-;_-@_-"/>
    </dxf>
    <dxf>
      <numFmt numFmtId="168" formatCode="_-* #,##0\ _л_в_-;\-* #,##0\ _л_в_-;_-* &quot;-&quot;??\ _л_в_-;_-@_-"/>
    </dxf>
    <dxf>
      <numFmt numFmtId="168" formatCode="_-* #,##0\ _л_в_-;\-* #,##0\ _л_в_-;_-* &quot;-&quot;??\ _л_в_-;_-@_-"/>
    </dxf>
    <dxf>
      <numFmt numFmtId="168" formatCode="_-* #,##0\ _л_в_-;\-* #,##0\ _л_в_-;_-* &quot;-&quot;??\ _л_в_-;_-@_-"/>
    </dxf>
    <dxf>
      <numFmt numFmtId="168" formatCode="_-* #,##0\ _л_в_-;\-* #,##0\ _л_в_-;_-* &quot;-&quot;??\ _л_в_-;_-@_-"/>
    </dxf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Light16"/>
  <colors>
    <mruColors>
      <color rgb="FFFFFF99"/>
      <color rgb="FFCCFFFF"/>
      <color rgb="FF66FFFF"/>
      <color rgb="FF441D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hamed_limaiem" refreshedDate="44789.65162060185" createdVersion="8" refreshedVersion="8" minRefreshableVersion="3" recordCount="1353" xr:uid="{54D49CF2-ADAB-4938-8329-1D115EA9F27A}">
  <cacheSource type="worksheet">
    <worksheetSource ref="E1:E1048576" sheet="Maturing receivables"/>
  </cacheSource>
  <cacheFields count="20">
    <cacheField name="Entity" numFmtId="0">
      <sharedItems containsBlank="1" count="3">
        <s v="SND"/>
        <s v="SNA"/>
        <m/>
      </sharedItems>
    </cacheField>
    <cacheField name="Client" numFmtId="0">
      <sharedItems containsBlank="1" count="455">
        <s v="HAKIM BEN SADOK KHEMIS"/>
        <s v="STE TAYEB PIECES AUTOMOBILES"/>
        <s v="CLIENT PASSAGER JENDOUBA"/>
        <s v="STE MARJA DE DEVELOPPEMENT"/>
        <s v="AHMED BEN FETHI CHOUCHENE"/>
        <s v="MECHERGUI MED- EQUIPT AGRIC."/>
        <s v="STE LIZIDI ACCESSOIRES AUTOS"/>
        <s v="BEJI FAYCEL"/>
        <s v="STE DES PIECES DE RECHANGE"/>
        <s v="KOTNI ALI BEN SALAH"/>
        <s v="STE BEN BRAHIM  &quot; SBB &quot;"/>
        <s v="STE CENTRE NAOUALI SERVICES"/>
        <s v="SEIFEDDINE BEN ALI"/>
        <s v="MARWEN BEN MED BEN HLIMA"/>
        <s v="S.G.P"/>
        <s v="NALOUTI SALAH BEN MAHMOUD"/>
        <s v="HADDAD MAKHLOUF"/>
        <s v="CHAABANE BADREDDINE B.MED"/>
        <s v="HAROUNI HAFSIA BT MOHAMED"/>
        <s v="OUESLATI LOTFI B BELGACEM"/>
        <s v="GHARBI JALEL BEN BRAHIM"/>
        <s v="STE B KHLIFA DE PICES.RECHGE"/>
        <s v="HAMDI BAYA ECHATTI"/>
        <s v="SOCIETE DARDOUR ET FILS"/>
        <s v="STE.GUEDRI MOHSEN ET FRERES"/>
        <s v="STE ABDELKAFI PIECES DE"/>
        <s v="LATRACHAUTO"/>
        <s v="MOUNIR AROUS"/>
        <s v="S J D A"/>
        <s v="AWADNI MAATOUG"/>
        <s v="SALEM AGIL"/>
        <s v="HAJJI MALEK BEN MED LAID"/>
        <s v="STE    N S P C    TUNISIA"/>
        <s v="STE MECHERGUI EZZEDINE P.AUT"/>
        <s v="SAMIR BEN SLIMEN AOUADI"/>
        <s v="ESGAIER HAMZA"/>
        <s v="STE TAOUFIK REV.CARBURANT"/>
        <s v="STE YOSR DE PIECES AUTOS"/>
        <s v="STE BATI BRICOLA"/>
        <s v="STE PETRO-MED SARL"/>
        <s v="SAMI BEN EZZEDINE B ABDALLAH"/>
        <s v="NOUREDDINE B MOHAMOUD KNIOUA"/>
        <s v="EQUIPEMENT HYDRAULIQUES"/>
        <s v="STE RELAI NAITIC EXPRESS RNE"/>
        <s v="MAISON ROULT &amp; PNEU."/>
        <s v="JALELEDDINE B SALEM ZERELLI"/>
        <s v="STE BOUKHZAR SARL"/>
        <s v="STE PNEUS&amp;SERVICES TECHNIQUE"/>
        <s v="HELA FERJANI NEE AJMI"/>
        <s v="CHERIF MOHAMED"/>
        <s v="SOUHEIL TEKAYA"/>
        <s v="STE AUTO SERVICE PLUS"/>
        <s v="STE RAWCHEM AUTO PARTS"/>
        <s v="HICHRI MOHAMED"/>
        <s v="AMENI DES PIECES DETACHEES"/>
        <s v="YTY AUTO"/>
        <s v="EQUIPEMENT VOITURES    [EVE]"/>
        <s v="FOUED BEN SADOK KACEM"/>
        <s v="ESSKANDER SLIMAN"/>
        <s v="MAJED BEN MED HAMMAMI"/>
        <s v="RAMEH JAMILA BEN SADOK"/>
        <s v="HAIKEL BEN MOULDI ESSAHLI"/>
        <s v="STE PIECE AUTO TUNISIENNE"/>
        <s v="MONDHER MEFTAH"/>
        <s v="SAADI ABDALLAH"/>
        <s v="SOCIETE AUTOS PIECES"/>
        <s v="BEN SALEM MALIKA"/>
        <s v="SOCIETE &quot; CAMPU-CAR &quot;"/>
        <s v="STE MDIALE PCE AUTOMOBILES"/>
        <s v="COMPTOIR METOUIEN AUTOMOBILE"/>
        <s v="HASSINI AHMED BEN MOHAMED"/>
        <s v="CHHIMI HENDA"/>
        <s v="STE GHAZEL DES PNEUS"/>
        <s v="REZGUI ANIS BEN ALI BN AMARA"/>
        <s v="SOCIETE WORLD PARTS"/>
        <s v="JALEL BEN AHMED EL GABSI"/>
        <s v="STUFEME"/>
        <s v="ZOUARI FRERES"/>
        <s v="STE CDTPR"/>
        <s v="HACHICHA THAMEUR"/>
        <s v="S M E A"/>
        <s v="STE MAIS"/>
        <s v="STE SOUISSI AUTO PARTS"/>
        <s v="STE ALHADITHA DE PIECES AUTO"/>
        <s v="STE REKIK AUTOS"/>
        <s v="FATHI BEN FRADJ AZOUZI"/>
        <s v="KHAMIS FAHIM BEN SADOK"/>
        <s v="MOHAMED B BELGACEM MISSAOUI"/>
        <s v="STE COMPTOIR MARITINE DJERBA"/>
        <s v="ALIBI YASSMINA BENT FARHAT"/>
        <s v="SOCIETE AU COEUR DU DESERT"/>
        <s v="KOUKI FAOUZI"/>
        <s v="SOCIETE   &quot; BSPIA &quot;"/>
        <s v="PIECES AUTOS BEN ALAYA MED"/>
        <s v="NADER.COMRC.INTERNATIONALE"/>
        <s v="MEHREZ BEN MOHAMED GUIZANI"/>
        <s v="STE.MAGHR. DE PIECES DE RECH"/>
        <s v="MOHAMED ZARAGA  Z P A"/>
        <s v="STE ARFA AUTO PLUS"/>
        <s v="COMPTOIR AUTO.SVCES RAPIDES"/>
        <s v="SO CO TEM"/>
        <s v="ESSAIED SALAH"/>
        <s v="STE COGEPA"/>
        <s v="STE JEBALI AGRICOLE"/>
        <s v="MOHAMED RACHED AMAMOU"/>
        <s v="SOCIETE SAFIR"/>
        <s v="STE SAAIDI PIECES  RECHANGE"/>
        <s v="MAROUA BENT NEJIB AAZOUZI"/>
        <s v="AMOR BEN ABDRAHMENE BIBANI"/>
        <s v="BT SERVICES SURAL"/>
        <s v="STE COMPTOIR PCES RCHGS+ELEC"/>
        <s v="FAKHREDDINE SAKYES"/>
        <s v="S P I R"/>
        <s v="BEDOUI MONGI BEN SALEM"/>
        <s v="SOCIETE ALI PIECES AUTOS"/>
        <s v="WAJDI BOUZGENDA"/>
        <s v="SIRAJ BEN ZINA"/>
        <s v="STE RANEN.PIECES DE RECHANGE"/>
        <s v="STE HAJ TAIEB PIECES.RECHANG"/>
        <s v="MOHAMMED BEN NOURI MSAKNI"/>
        <s v="AHMED BEN ALI TEKAYA"/>
        <s v="BAAZAOUI SALAH"/>
        <s v="STE ALHAYET PARTS"/>
        <s v="ABDELMAKSOUD IMED B LAZHAR"/>
        <s v="STE EQUIP.GEN.BAROUDI[E.G.B]"/>
        <s v="SMAOUI MOHSEN"/>
        <s v="STE CAP  AUTO PIECES SA"/>
        <s v="STE CHERIF ELECTRICITE AUTO"/>
        <s v="STE KHELIFI PIECES.RECHANGE"/>
        <s v="NASRALLAH BELGACEM B.HOUCH"/>
        <s v="EQUIP. AUTOS MOKNINE"/>
        <s v="NEJIB GADHOUM"/>
        <s v="MONCEF ZARRAGA"/>
        <s v="GOLDS FILTRES"/>
        <s v="STE DOGHRI AL BARAKA"/>
        <s v="AMEL ZGUIDENE EP SADFI"/>
        <s v="GUIZANI FETHI"/>
        <s v="SOCIETE DRIDI AUTO (SDA)"/>
        <s v="STE ELWASAT"/>
        <s v="ETAB. FARHAT BOUJELBAN"/>
        <s v="COMPTOIR ABDENNADHER"/>
        <s v="LA PIECE EURO-JAPONAISE"/>
        <s v="ELHADHBA BT MED EL ZAIDI"/>
        <s v="TAHER KABOUS ROYAL AUTO"/>
        <s v="STE ELECTRICIA AUTO"/>
        <s v="STE GENERALE EQUIP.MARITIME"/>
        <s v="ANIS BEN KHALIPHA RHAIEM"/>
        <s v="MOURAD BEN GACEM NALOUTI"/>
        <s v="OUERFELLI IMEDEDDINE B.SALAH"/>
        <s v="NAILA BEN AHMED JEMAI"/>
        <s v="STE GLOBALE BATTERIES DAOUDI"/>
        <s v="STE NACEUR AUTOM.SERVICES"/>
        <s v="STE MARETH AUTO SERVICES"/>
        <s v="FLAH AMINALLAH"/>
        <s v="STE LA RECHANGE AUTOMOBILE"/>
        <s v="JILANI BEN AHMED CHNINA"/>
        <s v="GHARBI BILEL BEN ELARBI"/>
        <s v="STE GENERALE AUTO DU SUD"/>
        <s v="YACOUBI BEN MOULDI EL ABED"/>
        <s v="MEJDI NAJET BENT IBRAHIM"/>
        <s v="EZZEDDINE LETIFI"/>
        <s v="MAKREM ZAMMALI"/>
        <s v="RIDHA BEN ALI MENSI"/>
        <s v="STE AOULED KHDHIRI SARL"/>
        <s v="HICHEM BEN IBRAHIM RAHALI"/>
        <s v="FIDHA AMINE B FATHI B HEDI"/>
        <s v="ABDELMAJID BEN HASSEN AMIRI"/>
        <s v="STE MARIEM AGRICOLE"/>
        <s v="STE CARTAGE AUTO"/>
        <s v="HAMIDA SHILI"/>
        <s v="STE YASSINE PETROLIUM"/>
        <s v="STE BOUKHRIS PICES.RECHANGES"/>
        <s v="STE OULED SASSI"/>
        <s v="MOHAMED BEN MOHAMED SAMIR"/>
        <s v="CHIBANI BEN SALEM TAYEB"/>
        <s v="BOUAZIZ SLAH"/>
        <s v="STE. COMMERCIALE DES PIECES"/>
        <s v="SOUFIANE MANNAI"/>
        <s v="OMEGA PIECES"/>
        <s v="JOUINI AUTO &quot; J A &quot;"/>
        <s v="LES EQUIPEMENTS MARITIMES DE"/>
        <s v="STE COMPT EQUIP AUTOS"/>
        <s v="M P R- ESSID LASSAAD"/>
        <s v="STE QUALITY SPARE PARTS"/>
        <s v="FAROUK SAADANI"/>
        <s v="STE KHAMMARIA PIECE RECHANGE"/>
        <s v="MONDIAL BATTERIES"/>
        <s v="SOCIETE RECTIF"/>
        <s v="PERSONNEL  NOUR"/>
        <s v="STE IDEALE PIECES AUTOS SIPA"/>
        <s v="KALLEL HATEM"/>
        <s v="AYMEN AMMAR"/>
        <s v="FREDJ BEN KHALIFA KLEBI"/>
        <s v="MAKNI HANEN"/>
        <s v="DERBEL AHMED"/>
        <s v="STE WAFA DAMMAK"/>
        <s v="STE HARECH TRANS.TERRESTRE"/>
        <s v="SFAX PNEUS"/>
        <s v="VENTOISE AUTO-SERVICES"/>
        <s v="SOCIETE EL HOUIOUI"/>
        <s v="STE COMPTOIR DE COMMERCE"/>
        <s v="STE M W AUTO'S"/>
        <s v="BEDOUI MANEL BT ALI"/>
        <s v="BOUCHADDAKH KHALED"/>
        <s v="MISSAOUI RIBEH BENT ARBI"/>
        <s v="CHAABANI OKBA BEN ALI"/>
        <s v="STE NEFZAWA EQUIPS GENERALE"/>
        <s v="STE BEN MECHRI AUTO PIECES"/>
        <s v="STE TLILI AUTO"/>
        <s v="STE GHAMMOUR ENAKHIL"/>
        <s v="STE MECHERGUI D'EQUIP. AUTOS"/>
        <s v="STE  K M P R"/>
        <s v="STE GALAXY DE SRVICES"/>
        <s v="DOUIK PIECES AUTOS"/>
        <s v="MATHLOUTHI WALID B ABDLWAHEB"/>
        <s v="STE MEMMI-AUTO ET COMPAGNIES"/>
        <s v="STE DITRI-FILTRE"/>
        <s v="GUEDHAMI JALEL"/>
        <s v="KAFI MOHAMED CHERIF"/>
        <s v="BOURAOUI LAMTI"/>
        <s v="STE TUN.PCE.RECH.ALM.SOTUPRA"/>
        <s v="STE COMPTOIR VOITURE MODERNE"/>
        <s v="KHALED DRIDI"/>
        <s v="STE CHAKER &amp;C IE PIECES AUTO"/>
        <s v="STE UNIVSEL AUTOMOTIVES PART"/>
        <s v="PIECES 9"/>
        <s v="STE AFRICA DES PIECES AUTOS"/>
        <s v="CARREFOUR BATTERIES"/>
        <s v="STE GEN.ELCTRIQUE AUTOMOBILE"/>
        <s v="SO.CO.PI"/>
        <s v="STE ALBOURAQ PIECES AUTO"/>
        <s v="ENTREPRISE BOUDOKHAN MOKHTAR"/>
        <s v="COPI  AUTOS"/>
        <s v="SOKAP AUTOS"/>
        <s v="STE KZ PIECES AUTOS"/>
        <s v="STE GOMRI FRERES DE PIECES"/>
        <s v="MOHAMED AYOUB TOUNSI"/>
        <s v="ELAYEB SALEM BEN MUSTAPHA"/>
        <s v="KALLEL MAJDI"/>
        <s v="STE SLIM VENTE PIECES AUTOS"/>
        <s v="STE LARMA"/>
        <s v="STE SUD EQUIPEMENT GENERALE"/>
        <s v="STE AL BARAKA EQUIP.GENERALE"/>
        <s v="OUERGUI RAKIA ADELAZIZ"/>
        <s v="STE BEN AISSA AUTO"/>
        <s v="RIAHI TAREK B HMIDA B MED"/>
        <s v="STE KACEM ET FILS &quot; EC &quot;"/>
        <s v="STE     S-G-S-S"/>
        <s v="BEN ALI ZINA BT SASSI"/>
        <s v="STE TRANSPORT ET MANUTENTION"/>
        <s v="STE DABBABI PCS.RCH.AUTO.AGR"/>
        <s v="NASRI MOKHTAR B.ABDERRAHMEN"/>
        <s v="SKANDER MABROUK"/>
        <s v="BEN TAHA PIECES AUTO"/>
        <s v="STE CHAABANI AUTOS &quot;S-C-A&quot;"/>
        <s v="MANAI WAHID"/>
        <s v="STE HAMI AUTO"/>
        <s v="ESSAFI AUTO"/>
        <s v="EL WIFAK AUTO"/>
        <s v="STE MEDHIOUB PIECES AUTOS"/>
        <s v="OUN ALLAH SALAHEDDINE"/>
        <s v="AYADI IBRAHIM"/>
        <s v="ANIS BEN REHAIEM NASRI"/>
        <s v="STE EQUIP.INDUSTRIEL &amp; MARIT"/>
        <s v="STE B.ABDESSALEM PIECES AUTO"/>
        <s v="GRAJA NIZAR &quot;GENERAL AUTO&quot;"/>
        <s v="MOURAD THABET"/>
        <s v="JIHED ELARBI"/>
        <s v="RACHED BEN BRAHIM MAMMACHA"/>
        <s v="BEN MECHRI SALAH B KHOUMAIES"/>
        <s v="SAMI GALLAS"/>
        <s v="AYMEN BEN HAMMADI BENAMOR"/>
        <s v="ABDELKADER MOEZ BEN LAMINE"/>
        <s v="NAJET BENT SALAH ZAMELI"/>
        <s v="FATHI NAJJAR"/>
        <s v="STE METHAMEN AUTO PLUS"/>
        <s v="ALI BEN BRAHIM HAMMAMI"/>
        <s v="ALI YAHYAOUI"/>
        <s v="NOUR GENERAL AUTOS"/>
        <s v="STE RJEB AUTO"/>
        <s v="ZIED BEN ALI MABROUKI"/>
        <s v="MOUHAMED GDEMME"/>
        <s v="TAHER MESTIRI"/>
        <s v="STE BEDOUI MOTORS SERVICES"/>
        <s v="BAYDER EQUIP.AGRIC &amp; INDUSTR"/>
        <s v="STE MATEUR QUINC [SOGEMAQ]"/>
        <s v="SOCIETE CHAIBI DE CARBURANT"/>
        <s v="STE MRABET AUTO"/>
        <s v="HOUCINE B. ABDELHAMID BOUONI"/>
        <s v="STE COMPTOIR AGRICOLE.NORD"/>
        <s v="HATEM BEN MOHAMED BELGITH"/>
        <s v="STE DES EQUIP.INDUST.&amp;TRANSP"/>
        <s v="SALAH MHIRI"/>
        <s v="IMED BEN ZEKRI"/>
        <s v="TRABELSI JAMEL"/>
        <s v="SMPA MASMOUDI PIECES AUTOS"/>
        <s v="STE BOUANI.PIECES .RECHANGE"/>
        <s v="CHEDLY AOUINI"/>
        <s v="AOUINI SAFOUANE"/>
        <s v="STE COGEP AUTO"/>
        <s v="MOHSEN ZARAGA"/>
        <s v="FATMA KTATA ( ETS EHK )"/>
        <s v="SOSAPIA"/>
        <s v="STE PIECES AUTOS JAPONAISES"/>
        <s v="STE H B A  AUTO"/>
        <s v="MOHAMED AMINE BEN AMOR"/>
        <s v="SOUADI ABDELKADER"/>
        <s v="BEN DKHIL FREDJ BEN HASSAN"/>
        <s v="SOCIETE MANNAI BATIMENT"/>
        <s v="STE ZORRAGA PICES AUTOS"/>
        <s v="SMART CAR SERVICES"/>
        <s v="ATECH RENT CAR"/>
        <s v="STE ROUA VENTE ET ACHAT EN"/>
        <s v="SO.M.E.G"/>
        <s v="MOH KHALED BOUKERI"/>
        <s v="ELLOUZE RAJA"/>
        <s v="ABDELKADER B YOUSSEF GHARBI"/>
        <s v="FREMAS AUTO"/>
        <s v="STE GATOUFI GENERAL PIECES"/>
        <s v="MOHAMED NACEUR ABDELLI"/>
        <s v="OUERGHI MOUNIR B ABDELMAJID"/>
        <s v="PIECES AUTOS MED AZZOUZ"/>
        <s v="STE IDEAL  MOTEUR"/>
        <s v="STE. MODERNE AUTO"/>
        <s v="EL HORRY FARES PAWER AUTO"/>
        <s v="STE MANEL AUTO-SOMA-"/>
        <s v="GARA NABIL BEN BECHIR"/>
        <s v="AUTO ZONE"/>
        <s v="STE ESPACE.ARTS.DECOR.FER"/>
        <s v="NEJI EL JAZI"/>
        <s v="SOCIETE HNIA"/>
        <s v="GUIDARA ABDALLAH"/>
        <s v="OTHER CLIENTS"/>
        <s v="BELGACEM BEN BOUBAKER MEJRI"/>
        <s v="STE TOUNSI PIECES AUTO"/>
        <s v="SOCIETE GENERAL DE PIECES"/>
        <s v="PROCAR TUNISIE"/>
        <s v="KHOULOUD EXPRESS"/>
        <s v="STE AL HAMD PIECE AUTO"/>
        <s v="TLATI MOHAMED"/>
        <s v="STE MESTIRI ET FILS"/>
        <s v="STE IRADA PIECES AUTOS"/>
        <s v="STE AB AUTO"/>
        <s v="ECOPLAST"/>
        <s v="ERRAFIK LYBIE"/>
        <s v="NOURAKKUMULATOREN"/>
        <s v="Monbat AD"/>
        <s v="MED ENERGY"/>
        <s v="BATCAR"/>
        <m/>
        <s v="STE FIAT AUTO PIECES(FAP)" u="1"/>
        <s v="SOGEM" u="1"/>
        <s v="RHIM CHEDLY" u="1"/>
        <s v="GLOBALE PIECES" u="1"/>
        <s v="GENERALE ELECT.AUTOMOBILE" u="1"/>
        <s v="NOUREDDINE CHENIB" u="1"/>
        <s v="NOUREDDINE ZOUCH" u="1"/>
        <s v="MATERIELS POIDS LOURDS" u="1"/>
        <s v="NEJI KHIAREDDINE" u="1"/>
        <s v="HACHEM AUTOS" u="1"/>
        <s v="BRIHMI SABER B MASSOUD" u="1"/>
        <s v="aaaa" u="1"/>
        <s v="HAMZA BALBALI" u="1"/>
        <s v="MAJDI B.KHIAREDDINE BOUDHINA" u="1"/>
        <s v="STE MAHDI TRANSPORT" u="1"/>
        <s v="STE COMP. GENERAL EQUIPEMENT" u="1"/>
        <s v="NAIM BERRICH" u="1"/>
        <s v="14008008101700586760" u="1"/>
        <s v="STE BEN ABDERRAZEK NASRI" u="1"/>
        <s v="AHMED ALI IMEN" u="1"/>
        <s v="HAOUARI CHOKRI" u="1"/>
        <s v="ELMABROUKI.SERV.MECANIQUES" u="1"/>
        <s v="FIRST AUTOMOTIVE" u="1"/>
        <s v="STE HAMIDOU D COMMERCE" u="1"/>
        <s v="08004000622011690322" u="1"/>
        <s v="STE TAXI 86" u="1"/>
        <s v="EL BARAKA VENTE PIECES RECH." u="1"/>
        <s v="eeee" u="1"/>
        <s v="TAREK BEN KHEMAIES LAHBIB" u="1"/>
        <s v="JAADI MONCEF" u="1"/>
        <s v="STE TUNISIENNE AGRICOLE" u="1"/>
        <s v="STE BEST BATTERIE" u="1"/>
        <s v="ROJDI BEN MOHAMED KRAOUII" u="1"/>
        <s v="SOC AZHER.PIECE.RECH.PRO AGR" u="1"/>
        <s v="STE EL MABROUK" u="1"/>
        <s v="STE GLE DE COMMERCE PIECES" u="1"/>
        <s v="STE MPTORS SERVICE AUTO" u="1"/>
        <s v="HADHRI MOUHED BEN HAMOUDA" u="1"/>
        <s v="08204000571000871145" u="1"/>
        <s v="LUBRIFIA MAX MECANIC DISTR" u="1"/>
        <s v="STE FREE RENT A CAR" u="1"/>
        <s v="LE PRESTATAIRE  [ 1 ]" u="1"/>
        <s v="S I A  BEN JEMAA ET CIE" u="1"/>
        <s v="STE BICHOU BRICO HOME" u="1"/>
        <s v="14000000100740643801" u="1"/>
        <s v="08126029031000088211" u="1"/>
        <s v="CARTHAGE CEMENT SA" u="1"/>
        <s v="STE FARAH" u="1"/>
        <s v="STE ELECTRO-MECANIQUE" u="1"/>
        <s v="STE BELKAHIA SERVICE" u="1"/>
        <s v="GENERALE PIECES AUTO&quot;GPA&quot;" u="1"/>
        <s v="08065022012000099324" u="1"/>
        <s v="STE RAMI.VNTE.PICES.RECHANGE" u="1"/>
        <s v="AMMAR B ABDERRAHMEN GHRIBI" u="1"/>
        <s v="LE MATERIEL AGRICOLE" u="1"/>
        <s v="ERRAFIK" u="1"/>
        <s v="dddd" u="1"/>
        <s v="ZAIED HABIB BEN MOHAMED" u="1"/>
        <s v="STE MOEZ BEN HSOUNA FRIKHA" u="1"/>
        <s v="STE RAHMANI DE PIECES AUTOS" u="1"/>
        <s v="ISSAOUI ABDERRAHMEN" u="1"/>
        <s v="S. BADREDDINE CHERIF &amp; CIES" u="1"/>
        <s v="STE PIECES AUTO ROUTE X" u="1"/>
        <s v="STE  COMPTOIR CYRINE-MARIEM" u="1"/>
        <s v="STE PIECES RECHANGES &quot;SPJA&quot;" u="1"/>
        <s v="STE HAMMAMI BEST HARDWARE" u="1"/>
        <s v="ARIDHI LILYA BENT SADOK" u="1"/>
        <s v="STE NASR CONTRACTORS" u="1"/>
        <s v="STE TIME" u="1"/>
        <s v="Various customers" u="1"/>
        <s v="MARIBAT" u="1"/>
        <s v="GROCOMA" u="1"/>
        <s v="CLIENT PASSAGER ASJ" u="1"/>
        <s v="10106045231850678892" u="1"/>
        <s v="TALBI ALI BEN ABDENNABI" u="1"/>
        <s v="cccc" u="1"/>
        <s v="STE AMMOUS ET CIE" u="1"/>
        <s v="STE VOYAGE&amp;LOISIRS TUNISIE" u="1"/>
        <s v="BEN ALI HAMDI" u="1"/>
        <s v="AUTO ZARGA" u="1"/>
        <s v="11200000210600278827" u="1"/>
        <s v="04031117007109954368" u="1"/>
        <s v="MOHAMED TAHER TNANCHA" u="1"/>
        <s v="AOUADI MOHAMED BEN CHAOUKI" u="1"/>
        <s v="HATEM BEN SALAH KRAIEM" u="1"/>
        <s v="HOUCINE LOUSSAIEF" u="1"/>
        <s v="JAMEL BEN HEDI BEN KHSIB" u="1"/>
        <s v="STE GENERAL BETON" u="1"/>
        <s v="AGILI PIECES DETACHEES" u="1"/>
        <s v="STE JAPAN MOTORS COMPANY" u="1"/>
        <s v="14208208101700391996" u="1"/>
        <s v="MOHAMED GHARIANI" u="1"/>
        <s v="SORECOM" u="1"/>
        <s v="STE HSOUNA FRIKHA ET FILS" u="1"/>
        <s v="bbbb" u="1"/>
        <s v="TEMANI SADOK" u="1"/>
        <s v="COMPTOIR PIECES AUTO ET" u="1"/>
        <s v="BELHOULA ABDELKARIM" u="1"/>
        <s v="SOCIETE AGENCES DE VOYAGES" u="1"/>
        <s v="OTHMANI MONCEF BEN LAKHDAR" u="1"/>
        <s v="STE OUBAY DE PIECES" u="1"/>
        <s v="12004000360102727457" u="1"/>
        <s v="ARBI BEN ALIU GHARBI" u="1"/>
        <s v="08208000051000672044" u="1"/>
        <s v="ETABLISSEMENTS AUPEICLE" u="1"/>
      </sharedItems>
    </cacheField>
    <cacheField name="Document number" numFmtId="0">
      <sharedItems containsBlank="1" containsMixedTypes="1" containsNumber="1" containsInteger="1" minValue="22124112" maxValue="22801419"/>
    </cacheField>
    <cacheField name="Export vs Domestic" numFmtId="0">
      <sharedItems containsBlank="1" count="4">
        <s v="Domestic"/>
        <s v="Export - key client"/>
        <m/>
        <s v="Export - other" u="1"/>
      </sharedItems>
    </cacheField>
    <cacheField name="Payment type" numFmtId="0">
      <sharedItems containsBlank="1"/>
    </cacheField>
    <cacheField name="Type of income 1" numFmtId="0">
      <sharedItems containsBlank="1"/>
    </cacheField>
    <cacheField name="Payment type 2" numFmtId="0">
      <sharedItems containsBlank="1"/>
    </cacheField>
    <cacheField name="Product sold" numFmtId="0">
      <sharedItems containsBlank="1"/>
    </cacheField>
    <cacheField name="Description" numFmtId="0">
      <sharedItems containsDate="1" containsBlank="1" containsMixedTypes="1" minDate="2021-10-30T00:00:00" maxDate="2022-07-12T00:00:00"/>
    </cacheField>
    <cacheField name="Currency" numFmtId="0">
      <sharedItems containsBlank="1"/>
    </cacheField>
    <cacheField name="Currency Amount" numFmtId="176">
      <sharedItems containsString="0" containsBlank="1" containsNumber="1" minValue="89.055999999999997" maxValue="235000"/>
    </cacheField>
    <cacheField name="FX rate" numFmtId="175">
      <sharedItems containsString="0" containsBlank="1" containsNumber="1" minValue="0.31" maxValue="1"/>
    </cacheField>
    <cacheField name="TND Amount" numFmtId="168">
      <sharedItems containsString="0" containsBlank="1" containsNumber="1" minValue="89.055999999999997" maxValue="324083.67741935485"/>
    </cacheField>
    <cacheField name="Type" numFmtId="0">
      <sharedItems containsBlank="1" count="3">
        <s v="Documented"/>
        <s v="Expected"/>
        <m/>
      </sharedItems>
    </cacheField>
    <cacheField name="Doc. Date" numFmtId="14">
      <sharedItems containsNonDate="0" containsDate="1" containsString="0" containsBlank="1" minDate="2021-10-30T00:00:00" maxDate="2022-10-02T00:00:00"/>
    </cacheField>
    <cacheField name="Payment term" numFmtId="0">
      <sharedItems containsString="0" containsBlank="1" containsNumber="1" containsInteger="1" minValue="0" maxValue="301"/>
    </cacheField>
    <cacheField name="Due date" numFmtId="14">
      <sharedItems containsNonDate="0" containsDate="1" containsString="0" containsBlank="1" minDate="2022-01-01T00:00:00" maxDate="2023-03-01T00:00:00"/>
    </cacheField>
    <cacheField name="Days Outstanding" numFmtId="168">
      <sharedItems containsString="0" containsBlank="1" containsNumber="1" containsInteger="1" minValue="-196" maxValue="227"/>
    </cacheField>
    <cacheField name="Due week" numFmtId="0">
      <sharedItems containsBlank="1"/>
    </cacheField>
    <cacheField name="Ageing bucket" numFmtId="0">
      <sharedItems containsBlank="1" count="9">
        <s v="Not Due"/>
        <m/>
        <s v="120-180 days"/>
        <s v="90-120 days"/>
        <s v="180-360 days"/>
        <s v="60-90 days"/>
        <s v="30-60 days"/>
        <s v="up to 30 days"/>
        <s v="more than 360 day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53">
  <r>
    <x v="0"/>
    <x v="0"/>
    <n v="22401524"/>
    <x v="0"/>
    <s v="CH (Cheque)"/>
    <s v="I. Receipts form Clients - In progress (EN COURS)"/>
    <s v="Cheque"/>
    <s v="Sales of batteries - local"/>
    <s v="D/STB+SAHLINE-1525799"/>
    <s v="TND"/>
    <n v="1000"/>
    <n v="1"/>
    <n v="1000"/>
    <x v="0"/>
    <d v="2022-06-29T00:00:00"/>
    <n v="49"/>
    <d v="2022-08-17T00:00:00"/>
    <n v="-1"/>
    <s v="W33_2022"/>
    <x v="0"/>
  </r>
  <r>
    <x v="0"/>
    <x v="1"/>
    <n v="22601412"/>
    <x v="0"/>
    <s v="CH (Cheque)"/>
    <s v="I. Receipts form Clients - In progress (EN COURS)"/>
    <s v="Cheque"/>
    <s v="Sales of batteries - local"/>
    <s v="P/BZ+TATOUINE-4001259"/>
    <s v="TND"/>
    <n v="2016.6959999999999"/>
    <n v="1"/>
    <n v="2016.6959999999999"/>
    <x v="0"/>
    <d v="2022-06-29T00:00:00"/>
    <n v="51"/>
    <d v="2022-08-19T00:00:00"/>
    <n v="-3"/>
    <s v="W33_2022"/>
    <x v="0"/>
  </r>
  <r>
    <x v="0"/>
    <x v="2"/>
    <n v="22801398"/>
    <x v="0"/>
    <s v="CH (Cheque)"/>
    <s v="I. Receipts form Clients - In progress (EN COURS)"/>
    <s v="Cheque"/>
    <s v="Sales of batteries - local"/>
    <s v="P/BT+JEND-9246351"/>
    <s v="TND"/>
    <n v="918.23299999999995"/>
    <n v="1"/>
    <n v="918.23299999999995"/>
    <x v="0"/>
    <d v="2022-07-28T00:00:00"/>
    <n v="20"/>
    <d v="2022-08-17T00:00:00"/>
    <n v="-1"/>
    <s v="W33_2022"/>
    <x v="0"/>
  </r>
  <r>
    <x v="0"/>
    <x v="3"/>
    <n v="22801401"/>
    <x v="0"/>
    <s v="CH (Cheque)"/>
    <s v="I. Receipts form Clients - In progress (EN COURS)"/>
    <s v="Cheque"/>
    <s v="Sales of batteries - local"/>
    <s v="P/BT+BOUSALEM-9171774"/>
    <s v="TND"/>
    <n v="2512.5549999999998"/>
    <n v="1"/>
    <n v="2512.5549999999998"/>
    <x v="0"/>
    <d v="2022-07-29T00:00:00"/>
    <n v="19"/>
    <d v="2022-08-17T00:00:00"/>
    <n v="-1"/>
    <s v="W33_2022"/>
    <x v="0"/>
  </r>
  <r>
    <x v="0"/>
    <x v="4"/>
    <n v="22301771"/>
    <x v="0"/>
    <s v="CH (Cheque)"/>
    <s v="I. Receipts form Clients - In progress (EN COURS)"/>
    <s v="Cheque"/>
    <s v="Sales of batteries - local"/>
    <s v="D/BNA+CHEBBA-5136616"/>
    <s v="TND"/>
    <n v="1000"/>
    <n v="1"/>
    <n v="1000"/>
    <x v="0"/>
    <d v="2022-08-05T00:00:00"/>
    <n v="12"/>
    <d v="2022-08-17T00:00:00"/>
    <n v="-1"/>
    <s v="W33_2022"/>
    <x v="0"/>
  </r>
  <r>
    <x v="0"/>
    <x v="5"/>
    <n v="22801403"/>
    <x v="0"/>
    <s v="CH (Cheque)"/>
    <s v="I. Receipts form Clients - In progress (EN COURS)"/>
    <s v="Cheque"/>
    <s v="Sales of batteries - local"/>
    <s v="P/BIAT+JEND-0005240"/>
    <s v="TND"/>
    <n v="2539.9459999999999"/>
    <n v="1"/>
    <n v="2539.9459999999999"/>
    <x v="0"/>
    <d v="2022-08-02T00:00:00"/>
    <n v="15"/>
    <d v="2022-08-17T00:00:00"/>
    <n v="-1"/>
    <s v="W33_2022"/>
    <x v="0"/>
  </r>
  <r>
    <x v="0"/>
    <x v="6"/>
    <n v="22401213"/>
    <x v="0"/>
    <s v="CH (Cheque)"/>
    <s v="I. Receipts form Clients - In progress (EN COURS)"/>
    <s v="Cheque"/>
    <s v="Sales of batteries - local"/>
    <s v="D/BH+MOKNINE-1426282"/>
    <s v="TND"/>
    <n v="2044.577"/>
    <n v="1"/>
    <n v="2044.577"/>
    <x v="0"/>
    <d v="2022-03-11T00:00:00"/>
    <n v="160"/>
    <d v="2022-08-18T00:00:00"/>
    <n v="-2"/>
    <s v="W33_2022"/>
    <x v="0"/>
  </r>
  <r>
    <x v="0"/>
    <x v="7"/>
    <n v="22124375"/>
    <x v="0"/>
    <s v="CH (Cheque)"/>
    <s v="I. Receipts form Clients - In progress (EN COURS)"/>
    <s v="Cheque"/>
    <s v="Sales of batteries - local"/>
    <s v="P/BIAT+RAOUED-0003477"/>
    <s v="TND"/>
    <n v="963.80100000000004"/>
    <n v="1"/>
    <n v="963.80100000000004"/>
    <x v="0"/>
    <d v="2022-05-09T00:00:00"/>
    <n v="100"/>
    <d v="2022-08-17T00:00:00"/>
    <n v="-1"/>
    <s v="W33_2022"/>
    <x v="0"/>
  </r>
  <r>
    <x v="0"/>
    <x v="8"/>
    <n v="22301423"/>
    <x v="0"/>
    <s v="CH (Cheque)"/>
    <s v="I. Receipts form Clients - In progress (EN COURS)"/>
    <s v="Cheque"/>
    <s v="Sales of batteries - local"/>
    <s v="P/BZ+SFAX-4000665"/>
    <s v="TND"/>
    <n v="6200"/>
    <n v="1"/>
    <n v="6200"/>
    <x v="0"/>
    <d v="2022-05-05T00:00:00"/>
    <n v="104"/>
    <d v="2022-08-17T00:00:00"/>
    <n v="-1"/>
    <s v="W33_2022"/>
    <x v="0"/>
  </r>
  <r>
    <x v="0"/>
    <x v="9"/>
    <n v="22601303"/>
    <x v="0"/>
    <s v="CH (Cheque)"/>
    <s v="I. Receipts form Clients - In progress (EN COURS)"/>
    <s v="Cheque"/>
    <s v="Sales of batteries - local"/>
    <s v="P/BTL+GABES-2993910"/>
    <s v="TND"/>
    <n v="519"/>
    <n v="1"/>
    <n v="519"/>
    <x v="0"/>
    <d v="2022-05-23T00:00:00"/>
    <n v="86"/>
    <d v="2022-08-17T00:00:00"/>
    <n v="-1"/>
    <s v="W33_2022"/>
    <x v="0"/>
  </r>
  <r>
    <x v="0"/>
    <x v="10"/>
    <n v="22801291"/>
    <x v="0"/>
    <s v="CH (Cheque)"/>
    <s v="I. Receipts form Clients - In progress (EN COURS)"/>
    <s v="Cheque"/>
    <s v="Sales of batteries - local"/>
    <s v="P/ATTIJ BK+TAJER-00419"/>
    <s v="TND"/>
    <n v="2224.1489999999999"/>
    <n v="1"/>
    <n v="2224.1489999999999"/>
    <x v="0"/>
    <d v="2022-06-10T00:00:00"/>
    <n v="68"/>
    <d v="2022-08-17T00:00:00"/>
    <n v="-1"/>
    <s v="W33_2022"/>
    <x v="0"/>
  </r>
  <r>
    <x v="0"/>
    <x v="11"/>
    <n v="22401547"/>
    <x v="0"/>
    <s v="CH (Cheque)"/>
    <s v="I. Receipts form Clients - In progress (EN COURS)"/>
    <s v="Cheque"/>
    <s v="Sales of batteries - local"/>
    <s v="D/BIAT+JEMMAL-0000429"/>
    <s v="TND"/>
    <n v="1540"/>
    <n v="1"/>
    <n v="1540"/>
    <x v="0"/>
    <d v="2022-06-30T00:00:00"/>
    <n v="48"/>
    <d v="2022-08-17T00:00:00"/>
    <n v="-1"/>
    <s v="W33_2022"/>
    <x v="0"/>
  </r>
  <r>
    <x v="0"/>
    <x v="12"/>
    <n v="22301307"/>
    <x v="0"/>
    <s v="CH (Cheque)"/>
    <s v="I. Receipts form Clients - In progress (EN COURS)"/>
    <s v="Cheque"/>
    <s v="Sales of batteries - local"/>
    <s v="D/BIR ALI+SFAX-0002998"/>
    <s v="TND"/>
    <n v="3900"/>
    <n v="1"/>
    <n v="3900"/>
    <x v="0"/>
    <d v="2022-04-06T00:00:00"/>
    <n v="133"/>
    <d v="2022-08-17T00:00:00"/>
    <n v="-1"/>
    <s v="W33_2022"/>
    <x v="0"/>
  </r>
  <r>
    <x v="0"/>
    <x v="9"/>
    <n v="22601351"/>
    <x v="0"/>
    <s v="CH (Cheque)"/>
    <s v="I. Receipts form Clients - In progress (EN COURS)"/>
    <s v="Cheque"/>
    <s v="Sales of batteries - local"/>
    <s v="P/BTL+GABES-3010826"/>
    <s v="TND"/>
    <n v="582.37199999999996"/>
    <n v="1"/>
    <n v="582.37199999999996"/>
    <x v="0"/>
    <d v="2022-06-15T00:00:00"/>
    <n v="63"/>
    <d v="2022-08-17T00:00:00"/>
    <n v="-1"/>
    <s v="W33_2022"/>
    <x v="0"/>
  </r>
  <r>
    <x v="0"/>
    <x v="13"/>
    <n v="22401500"/>
    <x v="0"/>
    <s v="CH (Cheque)"/>
    <s v="I. Receipts form Clients - In progress (EN COURS)"/>
    <s v="Cheque"/>
    <s v="Sales of batteries - local"/>
    <s v="D/AMEN+MOKNINE-1334470"/>
    <s v="TND"/>
    <n v="5500"/>
    <n v="1"/>
    <n v="5500"/>
    <x v="0"/>
    <d v="2022-06-23T00:00:00"/>
    <n v="55"/>
    <d v="2022-08-17T00:00:00"/>
    <n v="-1"/>
    <s v="W33_2022"/>
    <x v="0"/>
  </r>
  <r>
    <x v="0"/>
    <x v="14"/>
    <n v="22601277"/>
    <x v="0"/>
    <s v="CH (Cheque)"/>
    <s v="I. Receipts form Clients - In progress (EN COURS)"/>
    <s v="Cheque"/>
    <s v="Sales of batteries - local"/>
    <s v="p/ubci+gabes-7427046"/>
    <s v="TND"/>
    <n v="1150"/>
    <n v="1"/>
    <n v="1150"/>
    <x v="0"/>
    <d v="2022-04-28T00:00:00"/>
    <n v="111"/>
    <d v="2022-08-17T00:00:00"/>
    <n v="-1"/>
    <s v="W33_2022"/>
    <x v="0"/>
  </r>
  <r>
    <x v="0"/>
    <x v="15"/>
    <n v="22601416"/>
    <x v="0"/>
    <s v="CH (Cheque)"/>
    <s v="I. Receipts form Clients - In progress (EN COURS)"/>
    <s v="Cheque"/>
    <s v="Sales of batteries - local"/>
    <s v="P/BT+JERBA-9100608"/>
    <s v="TND"/>
    <n v="913.82799999999997"/>
    <n v="1"/>
    <n v="913.82799999999997"/>
    <x v="0"/>
    <d v="2022-07-07T00:00:00"/>
    <n v="41"/>
    <d v="2022-08-17T00:00:00"/>
    <n v="-1"/>
    <s v="W33_2022"/>
    <x v="0"/>
  </r>
  <r>
    <x v="0"/>
    <x v="16"/>
    <n v="22601391"/>
    <x v="0"/>
    <s v="CH (Cheque)"/>
    <s v="I. Receipts form Clients - In progress (EN COURS)"/>
    <s v="Cheque"/>
    <s v="Sales of batteries - local"/>
    <s v="P/AMEN+JERBA-1061347"/>
    <s v="TND"/>
    <n v="1287.154"/>
    <n v="1"/>
    <n v="1287.154"/>
    <x v="0"/>
    <d v="2022-06-29T00:00:00"/>
    <n v="49"/>
    <d v="2022-08-17T00:00:00"/>
    <n v="-1"/>
    <s v="W33_2022"/>
    <x v="0"/>
  </r>
  <r>
    <x v="0"/>
    <x v="14"/>
    <n v="22601273"/>
    <x v="0"/>
    <s v="CH (Cheque)"/>
    <s v="I. Receipts form Clients - In progress (EN COURS)"/>
    <s v="Cheque"/>
    <s v="Sales of batteries - local"/>
    <s v="p/ubci+gabes-7427041"/>
    <s v="TND"/>
    <n v="1150"/>
    <n v="1"/>
    <n v="1150"/>
    <x v="0"/>
    <d v="2022-04-28T00:00:00"/>
    <n v="111"/>
    <d v="2022-08-17T00:00:00"/>
    <n v="-1"/>
    <s v="W33_2022"/>
    <x v="0"/>
  </r>
  <r>
    <x v="0"/>
    <x v="17"/>
    <n v="22701232"/>
    <x v="0"/>
    <s v="CH (Cheque)"/>
    <s v="I. Receipts form Clients - In progress (EN COURS)"/>
    <s v="Cheque"/>
    <s v="Sales of batteries - local"/>
    <s v="P/BNA+ELGUTTAR-5502266"/>
    <s v="TND"/>
    <n v="621.55200000000002"/>
    <n v="1"/>
    <n v="621.55200000000002"/>
    <x v="0"/>
    <d v="2022-07-12T00:00:00"/>
    <n v="36"/>
    <d v="2022-08-17T00:00:00"/>
    <n v="-1"/>
    <s v="W33_2022"/>
    <x v="0"/>
  </r>
  <r>
    <x v="0"/>
    <x v="18"/>
    <n v="22701239"/>
    <x v="0"/>
    <s v="CH (Cheque)"/>
    <s v="I. Receipts form Clients - In progress (EN COURS)"/>
    <s v="Cheque"/>
    <s v="Sales of batteries - local"/>
    <s v="P/UIB+NAFTA-2281105"/>
    <s v="TND"/>
    <n v="1700"/>
    <n v="1"/>
    <n v="1700"/>
    <x v="0"/>
    <d v="2022-07-14T00:00:00"/>
    <n v="34"/>
    <d v="2022-08-17T00:00:00"/>
    <n v="-1"/>
    <s v="W33_2022"/>
    <x v="0"/>
  </r>
  <r>
    <x v="0"/>
    <x v="19"/>
    <n v="22801221"/>
    <x v="0"/>
    <s v="CH (Cheque)"/>
    <s v="I. Receipts form Clients - In progress (EN COURS)"/>
    <s v="Cheque"/>
    <s v="Sales of batteries - local"/>
    <s v="P/BNA+TESTOUR-4118658"/>
    <s v="TND"/>
    <n v="1112.271"/>
    <n v="1"/>
    <n v="1112.271"/>
    <x v="0"/>
    <d v="2022-05-09T00:00:00"/>
    <n v="100"/>
    <d v="2022-08-17T00:00:00"/>
    <n v="-1"/>
    <s v="W33_2022"/>
    <x v="0"/>
  </r>
  <r>
    <x v="0"/>
    <x v="20"/>
    <n v="22801114"/>
    <x v="0"/>
    <s v="CH (Cheque)"/>
    <s v="I. Receipts form Clients - In progress (EN COURS)"/>
    <s v="Cheque"/>
    <s v="Sales of batteries - local"/>
    <s v="P/BTE+BEJA-6119236"/>
    <s v="TND"/>
    <n v="12207.302"/>
    <n v="1"/>
    <n v="12207.302"/>
    <x v="0"/>
    <d v="2022-03-02T00:00:00"/>
    <n v="168"/>
    <d v="2022-08-17T00:00:00"/>
    <n v="-1"/>
    <s v="W33_2022"/>
    <x v="0"/>
  </r>
  <r>
    <x v="0"/>
    <x v="21"/>
    <n v="22801354"/>
    <x v="0"/>
    <s v="CH (Cheque)"/>
    <s v="I. Receipts form Clients - In progress (EN COURS)"/>
    <s v="Cheque"/>
    <s v="Sales of batteries - local"/>
    <s v="P/STB+KEF-0000424"/>
    <s v="TND"/>
    <n v="2231.2150000000001"/>
    <n v="1"/>
    <n v="2231.2150000000001"/>
    <x v="0"/>
    <d v="2022-07-15T00:00:00"/>
    <n v="33"/>
    <d v="2022-08-17T00:00:00"/>
    <n v="-1"/>
    <s v="W33_2022"/>
    <x v="0"/>
  </r>
  <r>
    <x v="0"/>
    <x v="22"/>
    <n v="22401586"/>
    <x v="0"/>
    <s v="CH (Cheque)"/>
    <s v="I. Receipts form Clients - In progress (EN COURS)"/>
    <s v="Cheque"/>
    <s v="Sales of batteries - local"/>
    <s v="D/BH+MAHDIA-2294981"/>
    <s v="TND"/>
    <n v="1000"/>
    <n v="1"/>
    <n v="1000"/>
    <x v="0"/>
    <d v="2022-07-12T00:00:00"/>
    <n v="36"/>
    <d v="2022-08-17T00:00:00"/>
    <n v="-1"/>
    <s v="W33_2022"/>
    <x v="0"/>
  </r>
  <r>
    <x v="0"/>
    <x v="23"/>
    <n v="22401319"/>
    <x v="0"/>
    <s v="CH (Cheque)"/>
    <s v="I. Receipts form Clients - In progress (EN COURS)"/>
    <s v="Cheque"/>
    <s v="Sales of batteries - local"/>
    <s v="P/UIB+KALAA KEBIRA-208"/>
    <s v="TND"/>
    <n v="1000"/>
    <n v="1"/>
    <n v="1000"/>
    <x v="0"/>
    <d v="2022-04-22T00:00:00"/>
    <n v="117"/>
    <d v="2022-08-17T00:00:00"/>
    <n v="-1"/>
    <s v="W33_2022"/>
    <x v="0"/>
  </r>
  <r>
    <x v="0"/>
    <x v="24"/>
    <n v="22124416"/>
    <x v="0"/>
    <s v="CH (Cheque)"/>
    <s v="I. Receipts form Clients - In progress (EN COURS)"/>
    <s v="Cheque"/>
    <s v="Sales of batteries - local"/>
    <s v="P/BT+TN-8805061"/>
    <s v="TND"/>
    <n v="1371.761"/>
    <n v="1"/>
    <n v="1371.761"/>
    <x v="0"/>
    <d v="2022-05-17T00:00:00"/>
    <n v="97"/>
    <d v="2022-08-22T00:00:00"/>
    <n v="-6"/>
    <s v="W34_2022"/>
    <x v="0"/>
  </r>
  <r>
    <x v="0"/>
    <x v="25"/>
    <n v="22124600"/>
    <x v="0"/>
    <s v="CH (Cheque)"/>
    <s v="I. Receipts form Clients - In progress (EN COURS)"/>
    <s v="Cheque"/>
    <s v="Sales of batteries - local"/>
    <s v="p/AB+TUNIS-6674077"/>
    <s v="TND"/>
    <n v="1827.7829999999999"/>
    <n v="1"/>
    <n v="1827.7829999999999"/>
    <x v="0"/>
    <d v="2022-06-10T00:00:00"/>
    <n v="73"/>
    <d v="2022-08-22T00:00:00"/>
    <n v="-6"/>
    <s v="W34_2022"/>
    <x v="0"/>
  </r>
  <r>
    <x v="0"/>
    <x v="26"/>
    <n v="22301609"/>
    <x v="0"/>
    <s v="CH (Cheque)"/>
    <s v="I. Receipts form Clients - In progress (EN COURS)"/>
    <s v="Cheque"/>
    <s v="Sales of batteries - local"/>
    <s v="P/UBCI+SFAX-9306504"/>
    <s v="TND"/>
    <n v="931.81500000000005"/>
    <n v="1"/>
    <n v="931.81500000000005"/>
    <x v="0"/>
    <d v="2022-06-29T00:00:00"/>
    <n v="54"/>
    <d v="2022-08-22T00:00:00"/>
    <n v="-6"/>
    <s v="W34_2022"/>
    <x v="0"/>
  </r>
  <r>
    <x v="0"/>
    <x v="27"/>
    <n v="22301676"/>
    <x v="0"/>
    <s v="CH (Cheque)"/>
    <s v="I. Receipts form Clients - In progress (EN COURS)"/>
    <s v="Cheque"/>
    <s v="Sales of batteries - local"/>
    <s v="P/PT+SFAX-2230877"/>
    <s v="TND"/>
    <n v="1966.077"/>
    <n v="1"/>
    <n v="1966.077"/>
    <x v="0"/>
    <d v="2022-07-14T00:00:00"/>
    <n v="39"/>
    <d v="2022-08-22T00:00:00"/>
    <n v="-6"/>
    <s v="W34_2022"/>
    <x v="0"/>
  </r>
  <r>
    <x v="0"/>
    <x v="28"/>
    <n v="22601325"/>
    <x v="0"/>
    <s v="CH (Cheque)"/>
    <s v="I. Receipts form Clients - In progress (EN COURS)"/>
    <s v="Cheque"/>
    <s v="Sales of batteries - local"/>
    <s v="P/BNA+GABES-5795262"/>
    <s v="TND"/>
    <n v="1000"/>
    <n v="1"/>
    <n v="1000"/>
    <x v="0"/>
    <d v="2022-06-01T00:00:00"/>
    <n v="77"/>
    <d v="2022-08-17T00:00:00"/>
    <n v="-1"/>
    <s v="W33_2022"/>
    <x v="0"/>
  </r>
  <r>
    <x v="0"/>
    <x v="29"/>
    <n v="22601395"/>
    <x v="0"/>
    <s v="CH (Cheque)"/>
    <s v="I. Receipts form Clients - In progress (EN COURS)"/>
    <s v="Cheque"/>
    <s v="Sales of batteries - local"/>
    <s v="P/BIAT+ZERZIS-0003292"/>
    <s v="TND"/>
    <n v="750"/>
    <n v="1"/>
    <n v="750"/>
    <x v="0"/>
    <d v="2022-06-29T00:00:00"/>
    <n v="49"/>
    <d v="2022-08-17T00:00:00"/>
    <n v="-1"/>
    <s v="W33_2022"/>
    <x v="0"/>
  </r>
  <r>
    <x v="0"/>
    <x v="30"/>
    <n v="22701209"/>
    <x v="0"/>
    <s v="CH (Cheque)"/>
    <s v="I. Receipts form Clients - In progress (EN COURS)"/>
    <s v="Cheque"/>
    <s v="Sales of batteries - local"/>
    <s v="P/BNA+THALA-5940226"/>
    <s v="TND"/>
    <n v="4650"/>
    <n v="1"/>
    <n v="4650"/>
    <x v="0"/>
    <d v="2022-06-18T00:00:00"/>
    <n v="60"/>
    <d v="2022-08-17T00:00:00"/>
    <n v="-1"/>
    <s v="W33_2022"/>
    <x v="0"/>
  </r>
  <r>
    <x v="0"/>
    <x v="31"/>
    <n v="22701251"/>
    <x v="0"/>
    <s v="CH (Cheque)"/>
    <s v="I. Receipts form Clients - In progress (EN COURS)"/>
    <s v="Cheque"/>
    <s v="Sales of batteries - local"/>
    <s v="P/BIAT+GAFSA-0000278"/>
    <s v="TND"/>
    <n v="15000"/>
    <n v="1"/>
    <n v="15000"/>
    <x v="0"/>
    <d v="2022-07-21T00:00:00"/>
    <n v="27"/>
    <d v="2022-08-17T00:00:00"/>
    <n v="-1"/>
    <s v="W33_2022"/>
    <x v="0"/>
  </r>
  <r>
    <x v="0"/>
    <x v="32"/>
    <n v="22801223"/>
    <x v="0"/>
    <s v="CH (Cheque)"/>
    <s v="I. Receipts form Clients - In progress (EN COURS)"/>
    <s v="Cheque"/>
    <s v="Sales of batteries - local"/>
    <s v="P/BNA+MAKTHAR-4600639"/>
    <s v="TND"/>
    <n v="12936.957"/>
    <n v="1"/>
    <n v="12936.957"/>
    <x v="0"/>
    <d v="2022-05-09T00:00:00"/>
    <n v="100"/>
    <d v="2022-08-17T00:00:00"/>
    <n v="-1"/>
    <s v="W33_2022"/>
    <x v="0"/>
  </r>
  <r>
    <x v="0"/>
    <x v="33"/>
    <n v="22801299"/>
    <x v="0"/>
    <s v="CH (Cheque)"/>
    <s v="I. Receipts form Clients - In progress (EN COURS)"/>
    <s v="Cheque"/>
    <s v="Sales of batteries - local"/>
    <s v="P/BQ ZIT+JEND-4000589"/>
    <s v="TND"/>
    <n v="3353.7310000000002"/>
    <n v="1"/>
    <n v="3353.7310000000002"/>
    <x v="0"/>
    <d v="2022-06-13T00:00:00"/>
    <n v="65"/>
    <d v="2022-08-17T00:00:00"/>
    <n v="-1"/>
    <s v="W33_2022"/>
    <x v="0"/>
  </r>
  <r>
    <x v="0"/>
    <x v="34"/>
    <n v="22801260"/>
    <x v="0"/>
    <s v="CH (Cheque)"/>
    <s v="I. Receipts form Clients - In progress (EN COURS)"/>
    <s v="Cheque"/>
    <s v="Sales of batteries - local"/>
    <s v="P/BNA+BEJA-5352861"/>
    <s v="TND"/>
    <n v="1558"/>
    <n v="1"/>
    <n v="1558"/>
    <x v="0"/>
    <d v="2022-05-31T00:00:00"/>
    <n v="78"/>
    <d v="2022-08-17T00:00:00"/>
    <n v="-1"/>
    <s v="W33_2022"/>
    <x v="0"/>
  </r>
  <r>
    <x v="0"/>
    <x v="7"/>
    <n v="22124374"/>
    <x v="0"/>
    <s v="CH (Cheque)"/>
    <s v="I. Receipts form Clients - In progress (EN COURS)"/>
    <s v="Cheque"/>
    <s v="Sales of batteries - local"/>
    <s v="P/BIAT+RAOUED-0003478"/>
    <s v="TND"/>
    <n v="963.80100000000004"/>
    <n v="1"/>
    <n v="963.80100000000004"/>
    <x v="0"/>
    <d v="2022-05-09T00:00:00"/>
    <n v="100"/>
    <d v="2022-08-17T00:00:00"/>
    <n v="-1"/>
    <s v="W33_2022"/>
    <x v="0"/>
  </r>
  <r>
    <x v="0"/>
    <x v="12"/>
    <n v="22301308"/>
    <x v="0"/>
    <s v="CH (Cheque)"/>
    <s v="I. Receipts form Clients - In progress (EN COURS)"/>
    <s v="Cheque"/>
    <s v="Sales of batteries - local"/>
    <s v="D/BIAT+BIR ALI-0002994"/>
    <s v="TND"/>
    <n v="3900"/>
    <n v="1"/>
    <n v="3900"/>
    <x v="0"/>
    <d v="2022-04-06T00:00:00"/>
    <n v="133"/>
    <d v="2022-08-17T00:00:00"/>
    <n v="-1"/>
    <s v="W33_2022"/>
    <x v="0"/>
  </r>
  <r>
    <x v="0"/>
    <x v="8"/>
    <n v="22301424"/>
    <x v="0"/>
    <s v="CH (Cheque)"/>
    <s v="I. Receipts form Clients - In progress (EN COURS)"/>
    <s v="Cheque"/>
    <s v="Sales of batteries - local"/>
    <s v="P/BZ+SFAX-4000683"/>
    <s v="TND"/>
    <n v="6200"/>
    <n v="1"/>
    <n v="6200"/>
    <x v="0"/>
    <d v="2022-05-05T00:00:00"/>
    <n v="104"/>
    <d v="2022-08-17T00:00:00"/>
    <n v="-1"/>
    <s v="W33_2022"/>
    <x v="0"/>
  </r>
  <r>
    <x v="0"/>
    <x v="35"/>
    <n v="22125047"/>
    <x v="0"/>
    <s v="CH (Cheque)"/>
    <s v="II. Receipts form Clients - non matured"/>
    <s v="Cheque PF"/>
    <s v="Sales of batteries - local"/>
    <s v="P/BIAT+TN-0000039"/>
    <s v="TND"/>
    <n v="1500"/>
    <n v="1"/>
    <n v="1500"/>
    <x v="0"/>
    <d v="2022-08-12T00:00:00"/>
    <n v="8"/>
    <d v="2022-08-20T00:00:00"/>
    <n v="-4"/>
    <s v="W34_2022"/>
    <x v="0"/>
  </r>
  <r>
    <x v="0"/>
    <x v="36"/>
    <n v="22301772"/>
    <x v="0"/>
    <s v="CH (Cheque)"/>
    <s v="II. Receipts form Clients - non matured"/>
    <s v="Cheque PF"/>
    <s v="Sales of batteries - local"/>
    <s v="D/BIAT+HENCHA-0000444"/>
    <s v="TND"/>
    <n v="1160.1020000000001"/>
    <n v="1"/>
    <n v="1160.1020000000001"/>
    <x v="0"/>
    <d v="2022-08-09T00:00:00"/>
    <n v="20"/>
    <d v="2022-08-29T00:00:00"/>
    <n v="-13"/>
    <s v="W35_2022"/>
    <x v="0"/>
  </r>
  <r>
    <x v="0"/>
    <x v="37"/>
    <n v="22125044"/>
    <x v="0"/>
    <s v="CH (Cheque)"/>
    <s v="II. Receipts form Clients - non matured"/>
    <s v="Cheque PF"/>
    <s v="Sales of batteries - local"/>
    <s v="P/STB+TN-0000115"/>
    <s v="TND"/>
    <n v="771.029"/>
    <n v="1"/>
    <n v="771.029"/>
    <x v="0"/>
    <d v="2022-08-12T00:00:00"/>
    <n v="19"/>
    <d v="2022-08-31T00:00:00"/>
    <n v="-15"/>
    <s v="W35_2022"/>
    <x v="0"/>
  </r>
  <r>
    <x v="0"/>
    <x v="38"/>
    <n v="22125030"/>
    <x v="0"/>
    <s v="CH (Cheque)"/>
    <s v="II. Receipts form Clients - non matured"/>
    <s v="Cheque PF"/>
    <s v="Sales of batteries - local"/>
    <s v="P/UIB+TN-9826715"/>
    <s v="TND"/>
    <n v="1238.0650000000001"/>
    <n v="1"/>
    <n v="1238.0650000000001"/>
    <x v="0"/>
    <d v="2022-08-10T00:00:00"/>
    <n v="21"/>
    <d v="2022-08-31T00:00:00"/>
    <n v="-15"/>
    <s v="W35_2022"/>
    <x v="0"/>
  </r>
  <r>
    <x v="0"/>
    <x v="39"/>
    <n v="22125065"/>
    <x v="0"/>
    <s v="CH (Cheque)"/>
    <s v="II. Receipts form Clients - non matured"/>
    <s v="Cheque PF"/>
    <s v="Sales of batteries - local"/>
    <s v="P/BT+MEL BOUZELFA-9165"/>
    <s v="TND"/>
    <n v="1020.03"/>
    <n v="1"/>
    <n v="1020.03"/>
    <x v="0"/>
    <d v="2022-08-15T00:00:00"/>
    <n v="16"/>
    <d v="2022-08-31T00:00:00"/>
    <n v="-15"/>
    <s v="W35_2022"/>
    <x v="0"/>
  </r>
  <r>
    <x v="0"/>
    <x v="40"/>
    <n v="22125056"/>
    <x v="0"/>
    <s v="CH (Cheque)"/>
    <s v="II. Receipts form Clients - non matured"/>
    <s v="Cheque PF"/>
    <s v="Sales of batteries - local"/>
    <s v="P/STB+JEBENIANA-000001"/>
    <s v="TND"/>
    <n v="11121.263999999999"/>
    <n v="1"/>
    <n v="11121.263999999999"/>
    <x v="0"/>
    <d v="2022-08-15T00:00:00"/>
    <n v="26"/>
    <d v="2022-09-10T00:00:00"/>
    <n v="-25"/>
    <s v="W37_2022"/>
    <x v="0"/>
  </r>
  <r>
    <x v="0"/>
    <x v="41"/>
    <n v="22125029"/>
    <x v="0"/>
    <s v="CH (Cheque)"/>
    <s v="II. Receipts form Clients - non matured"/>
    <s v="Cheque PF"/>
    <s v="Sales of batteries - local"/>
    <s v="P/STB+TN-0004515"/>
    <s v="TND"/>
    <n v="2968.2890000000002"/>
    <n v="1"/>
    <n v="2968.2890000000002"/>
    <x v="0"/>
    <d v="2022-08-10T00:00:00"/>
    <n v="36"/>
    <d v="2022-09-15T00:00:00"/>
    <n v="-30"/>
    <s v="W37_2022"/>
    <x v="0"/>
  </r>
  <r>
    <x v="0"/>
    <x v="42"/>
    <n v="22125068"/>
    <x v="0"/>
    <s v="CH (Cheque)"/>
    <s v="II. Receipts form Clients - non matured"/>
    <s v="Cheque PF"/>
    <s v="Sales of batteries - local"/>
    <s v="P/BIAT+TN-0009604"/>
    <s v="TND"/>
    <n v="2018.5029999999999"/>
    <n v="1"/>
    <n v="2018.5029999999999"/>
    <x v="0"/>
    <d v="2022-08-15T00:00:00"/>
    <n v="31"/>
    <d v="2022-09-15T00:00:00"/>
    <n v="-30"/>
    <s v="W37_2022"/>
    <x v="0"/>
  </r>
  <r>
    <x v="0"/>
    <x v="43"/>
    <n v="22125067"/>
    <x v="0"/>
    <s v="CH (Cheque)"/>
    <s v="II. Receipts form Clients - non matured"/>
    <s v="Cheque PF"/>
    <s v="Sales of batteries - local"/>
    <s v="P/UBCI+MEL BOUZELFA-88"/>
    <s v="TND"/>
    <n v="249.38499999999999"/>
    <n v="1"/>
    <n v="249.38499999999999"/>
    <x v="0"/>
    <d v="2022-08-15T00:00:00"/>
    <n v="31"/>
    <d v="2022-09-15T00:00:00"/>
    <n v="-30"/>
    <s v="W37_2022"/>
    <x v="0"/>
  </r>
  <r>
    <x v="0"/>
    <x v="44"/>
    <n v="22125015"/>
    <x v="0"/>
    <s v="CH (Cheque)"/>
    <s v="II. Receipts form Clients - non matured"/>
    <s v="Cheque PF"/>
    <s v="Sales of batteries - local"/>
    <s v="P/UBCI+TN-9213573"/>
    <s v="TND"/>
    <n v="763.69100000000003"/>
    <n v="1"/>
    <n v="763.69100000000003"/>
    <x v="0"/>
    <d v="2022-08-09T00:00:00"/>
    <n v="37"/>
    <d v="2022-09-15T00:00:00"/>
    <n v="-30"/>
    <s v="W37_2022"/>
    <x v="0"/>
  </r>
  <r>
    <x v="0"/>
    <x v="45"/>
    <n v="22125023"/>
    <x v="0"/>
    <s v="CH (Cheque)"/>
    <s v="II. Receipts form Clients - non matured"/>
    <s v="Cheque PF"/>
    <s v="Sales of batteries - local"/>
    <s v="P/BT+TN-8847518"/>
    <s v="TND"/>
    <n v="2332.2060000000001"/>
    <n v="1"/>
    <n v="2332.2060000000001"/>
    <x v="0"/>
    <d v="2022-08-10T00:00:00"/>
    <n v="41"/>
    <d v="2022-09-20T00:00:00"/>
    <n v="-35"/>
    <s v="W38_2022"/>
    <x v="0"/>
  </r>
  <r>
    <x v="0"/>
    <x v="40"/>
    <n v="22125057"/>
    <x v="0"/>
    <s v="CH (Cheque)"/>
    <s v="II. Receipts form Clients - non matured"/>
    <s v="Cheque PF"/>
    <s v="Sales of batteries - local"/>
    <s v="P/STB+JEBENIANA-000001"/>
    <s v="TND"/>
    <n v="12000"/>
    <n v="1"/>
    <n v="12000"/>
    <x v="0"/>
    <d v="2022-08-15T00:00:00"/>
    <n v="36"/>
    <d v="2022-09-20T00:00:00"/>
    <n v="-35"/>
    <s v="W38_2022"/>
    <x v="0"/>
  </r>
  <r>
    <x v="0"/>
    <x v="46"/>
    <n v="22125025"/>
    <x v="0"/>
    <s v="CH (Cheque)"/>
    <s v="II. Receipts form Clients - non matured"/>
    <s v="Cheque PF"/>
    <s v="Sales of batteries - local"/>
    <s v="P/BIAT+TN-0000869"/>
    <s v="TND"/>
    <n v="802.947"/>
    <n v="1"/>
    <n v="802.947"/>
    <x v="0"/>
    <d v="2022-08-10T00:00:00"/>
    <n v="51"/>
    <d v="2022-09-30T00:00:00"/>
    <n v="-45"/>
    <s v="W39_2022"/>
    <x v="0"/>
  </r>
  <r>
    <x v="0"/>
    <x v="47"/>
    <n v="22125014"/>
    <x v="0"/>
    <s v="CH (Cheque)"/>
    <s v="II. Receipts form Clients - non matured"/>
    <s v="Cheque PF"/>
    <s v="Sales of batteries - local"/>
    <s v="P/AB+TN-1616488"/>
    <s v="TND"/>
    <n v="282.80900000000003"/>
    <n v="1"/>
    <n v="282.80900000000003"/>
    <x v="0"/>
    <d v="2022-08-09T00:00:00"/>
    <n v="52"/>
    <d v="2022-09-30T00:00:00"/>
    <n v="-45"/>
    <s v="W39_2022"/>
    <x v="0"/>
  </r>
  <r>
    <x v="0"/>
    <x v="41"/>
    <n v="22125028"/>
    <x v="0"/>
    <s v="CH (Cheque)"/>
    <s v="II. Receipts form Clients - non matured"/>
    <s v="Cheque PF"/>
    <s v="Sales of batteries - local"/>
    <s v="P/STB+TN-0004513"/>
    <s v="TND"/>
    <n v="3000"/>
    <n v="1"/>
    <n v="3000"/>
    <x v="0"/>
    <d v="2022-08-10T00:00:00"/>
    <n v="51"/>
    <d v="2022-09-30T00:00:00"/>
    <n v="-45"/>
    <s v="W39_2022"/>
    <x v="0"/>
  </r>
  <r>
    <x v="0"/>
    <x v="48"/>
    <n v="22125060"/>
    <x v="0"/>
    <s v="CH (Cheque)"/>
    <s v="II. Receipts form Clients - non matured"/>
    <s v="Cheque PF"/>
    <s v="Sales of batteries - local"/>
    <s v="P/BIAT+TN-0004127"/>
    <s v="TND"/>
    <n v="1118.1400000000001"/>
    <n v="1"/>
    <n v="1118.1400000000001"/>
    <x v="0"/>
    <d v="2022-08-15T00:00:00"/>
    <n v="46"/>
    <d v="2022-09-30T00:00:00"/>
    <n v="-45"/>
    <s v="W39_2022"/>
    <x v="0"/>
  </r>
  <r>
    <x v="0"/>
    <x v="49"/>
    <n v="22125049"/>
    <x v="0"/>
    <s v="CH (Cheque)"/>
    <s v="II. Receipts form Clients - non matured"/>
    <s v="Cheque PF"/>
    <s v="Sales of batteries - local"/>
    <s v="P/ATTJ+TN-0042427"/>
    <s v="TND"/>
    <n v="928.23800000000006"/>
    <n v="1"/>
    <n v="928.23800000000006"/>
    <x v="0"/>
    <d v="2022-08-12T00:00:00"/>
    <n v="49"/>
    <d v="2022-09-30T00:00:00"/>
    <n v="-45"/>
    <s v="W39_2022"/>
    <x v="0"/>
  </r>
  <r>
    <x v="0"/>
    <x v="50"/>
    <n v="22125036"/>
    <x v="0"/>
    <s v="CH (Cheque)"/>
    <s v="II. Receipts form Clients - non matured"/>
    <s v="Cheque PF"/>
    <s v="Sales of batteries - local"/>
    <s v="P/BTL+TN-3017065"/>
    <s v="TND"/>
    <n v="1360.645"/>
    <n v="1"/>
    <n v="1360.645"/>
    <x v="0"/>
    <d v="2022-08-10T00:00:00"/>
    <n v="51"/>
    <d v="2022-09-30T00:00:00"/>
    <n v="-45"/>
    <s v="W39_2022"/>
    <x v="0"/>
  </r>
  <r>
    <x v="0"/>
    <x v="51"/>
    <n v="22125010"/>
    <x v="0"/>
    <s v="CH (Cheque)"/>
    <s v="II. Receipts form Clients - non matured"/>
    <s v="Cheque PF"/>
    <s v="Sales of batteries - local"/>
    <s v="P/BT+TN-8385909"/>
    <s v="TND"/>
    <n v="598.48800000000006"/>
    <n v="1"/>
    <n v="598.48800000000006"/>
    <x v="0"/>
    <d v="2022-08-09T00:00:00"/>
    <n v="52"/>
    <d v="2022-09-30T00:00:00"/>
    <n v="-45"/>
    <s v="W39_2022"/>
    <x v="0"/>
  </r>
  <r>
    <x v="0"/>
    <x v="52"/>
    <n v="22125024"/>
    <x v="0"/>
    <s v="CH (Cheque)"/>
    <s v="II. Receipts form Clients - non matured"/>
    <s v="Cheque PF"/>
    <s v="Sales of batteries - local"/>
    <s v="P/BIAT+TN-0000097"/>
    <s v="TND"/>
    <n v="532.88"/>
    <n v="1"/>
    <n v="532.88"/>
    <x v="0"/>
    <d v="2022-08-10T00:00:00"/>
    <n v="52"/>
    <d v="2022-10-01T00:00:00"/>
    <n v="-46"/>
    <s v="W40_2022"/>
    <x v="0"/>
  </r>
  <r>
    <x v="0"/>
    <x v="53"/>
    <n v="22125022"/>
    <x v="0"/>
    <s v="CH (Cheque)"/>
    <s v="II. Receipts form Clients - non matured"/>
    <s v="Cheque PF"/>
    <s v="Sales of batteries - local"/>
    <s v="P/AB+TN-2004728"/>
    <s v="TND"/>
    <n v="1845.654"/>
    <n v="1"/>
    <n v="1845.654"/>
    <x v="0"/>
    <d v="2022-08-10T00:00:00"/>
    <n v="56"/>
    <d v="2022-10-05T00:00:00"/>
    <n v="-50"/>
    <s v="W40_2022"/>
    <x v="0"/>
  </r>
  <r>
    <x v="0"/>
    <x v="54"/>
    <n v="22125007"/>
    <x v="0"/>
    <s v="CH (Cheque)"/>
    <s v="II. Receipts form Clients - non matured"/>
    <s v="Cheque PF"/>
    <s v="Sales of batteries - local"/>
    <s v="P/ATTJ+TN-0251224"/>
    <s v="TND"/>
    <n v="3789.7950000000001"/>
    <n v="1"/>
    <n v="3789.7950000000001"/>
    <x v="0"/>
    <d v="2022-08-09T00:00:00"/>
    <n v="60"/>
    <d v="2022-10-08T00:00:00"/>
    <n v="-53"/>
    <s v="W41_2022"/>
    <x v="0"/>
  </r>
  <r>
    <x v="0"/>
    <x v="40"/>
    <n v="22125058"/>
    <x v="0"/>
    <s v="CH (Cheque)"/>
    <s v="II. Receipts form Clients - non matured"/>
    <s v="Cheque PF"/>
    <s v="Sales of batteries - local"/>
    <s v="P/STB+JEBENIANA-000001"/>
    <s v="TND"/>
    <n v="12000"/>
    <n v="1"/>
    <n v="12000"/>
    <x v="0"/>
    <d v="2022-08-15T00:00:00"/>
    <n v="56"/>
    <d v="2022-10-10T00:00:00"/>
    <n v="-55"/>
    <s v="W41_2022"/>
    <x v="0"/>
  </r>
  <r>
    <x v="0"/>
    <x v="55"/>
    <n v="22125012"/>
    <x v="0"/>
    <s v="CH (Cheque)"/>
    <s v="II. Receipts form Clients - non matured"/>
    <s v="Cheque PF"/>
    <s v="Sales of batteries - local"/>
    <s v="P/TSB+TN-8806168"/>
    <s v="TND"/>
    <n v="1483.28"/>
    <n v="1"/>
    <n v="1483.28"/>
    <x v="0"/>
    <d v="2022-08-09T00:00:00"/>
    <n v="64"/>
    <d v="2022-10-12T00:00:00"/>
    <n v="-57"/>
    <s v="W41_2022"/>
    <x v="0"/>
  </r>
  <r>
    <x v="0"/>
    <x v="55"/>
    <n v="22125013"/>
    <x v="0"/>
    <s v="CH (Cheque)"/>
    <s v="II. Receipts form Clients - non matured"/>
    <s v="Cheque PF"/>
    <s v="Sales of batteries - local"/>
    <s v="P/TSB+TN-8806169"/>
    <s v="TND"/>
    <n v="1483.28"/>
    <n v="1"/>
    <n v="1483.28"/>
    <x v="0"/>
    <d v="2022-08-09T00:00:00"/>
    <n v="71"/>
    <d v="2022-10-19T00:00:00"/>
    <n v="-64"/>
    <s v="W42_2022"/>
    <x v="0"/>
  </r>
  <r>
    <x v="0"/>
    <x v="40"/>
    <n v="22125059"/>
    <x v="0"/>
    <s v="CH (Cheque)"/>
    <s v="II. Receipts form Clients - non matured"/>
    <s v="Cheque PF"/>
    <s v="Sales of batteries - local"/>
    <s v="P/STB+JEBENIANA-000001"/>
    <s v="TND"/>
    <n v="12000"/>
    <n v="1"/>
    <n v="12000"/>
    <x v="0"/>
    <d v="2022-08-15T00:00:00"/>
    <n v="66"/>
    <d v="2022-10-20T00:00:00"/>
    <n v="-65"/>
    <s v="W42_2022"/>
    <x v="0"/>
  </r>
  <r>
    <x v="0"/>
    <x v="56"/>
    <n v="22125017"/>
    <x v="0"/>
    <s v="CH (Cheque)"/>
    <s v="II. Receipts form Clients - non matured"/>
    <s v="Cheque PF"/>
    <s v="Sales of batteries - local"/>
    <s v="P/BIAT+TN-0002530"/>
    <s v="TND"/>
    <n v="645.49199999999996"/>
    <n v="1"/>
    <n v="645.49199999999996"/>
    <x v="0"/>
    <d v="2022-08-09T00:00:00"/>
    <n v="72"/>
    <d v="2022-10-20T00:00:00"/>
    <n v="-65"/>
    <s v="W42_2022"/>
    <x v="0"/>
  </r>
  <r>
    <x v="0"/>
    <x v="50"/>
    <n v="22125038"/>
    <x v="0"/>
    <s v="CH (Cheque)"/>
    <s v="II. Receipts form Clients - non matured"/>
    <s v="Cheque PF"/>
    <s v="Sales of batteries - local"/>
    <s v="P/BTL+TN-3017067"/>
    <s v="TND"/>
    <n v="89.055999999999997"/>
    <n v="1"/>
    <n v="89.055999999999997"/>
    <x v="0"/>
    <d v="2022-08-10T00:00:00"/>
    <n v="81"/>
    <d v="2022-10-30T00:00:00"/>
    <n v="-75"/>
    <s v="W44_2022"/>
    <x v="0"/>
  </r>
  <r>
    <x v="0"/>
    <x v="57"/>
    <n v="22125026"/>
    <x v="0"/>
    <s v="CH (Cheque)"/>
    <s v="II. Receipts form Clients - non matured"/>
    <s v="Cheque PF"/>
    <s v="Sales of batteries - local"/>
    <s v="P/ATTJ+TN-0087684"/>
    <s v="TND"/>
    <n v="4047.3820000000001"/>
    <n v="1"/>
    <n v="4047.3820000000001"/>
    <x v="0"/>
    <d v="2022-08-10T00:00:00"/>
    <n v="81"/>
    <d v="2022-10-30T00:00:00"/>
    <n v="-75"/>
    <s v="W44_2022"/>
    <x v="0"/>
  </r>
  <r>
    <x v="0"/>
    <x v="58"/>
    <n v="22125027"/>
    <x v="0"/>
    <s v="CH (Cheque)"/>
    <s v="II. Receipts form Clients - non matured"/>
    <s v="Cheque PF"/>
    <s v="Sales of batteries - local"/>
    <s v="P/BIAT+TN-0001953"/>
    <s v="TND"/>
    <n v="4750.9650000000001"/>
    <n v="1"/>
    <n v="4750.9650000000001"/>
    <x v="0"/>
    <d v="2022-08-10T00:00:00"/>
    <n v="81"/>
    <d v="2022-10-30T00:00:00"/>
    <n v="-75"/>
    <s v="W44_2022"/>
    <x v="0"/>
  </r>
  <r>
    <x v="0"/>
    <x v="59"/>
    <n v="22125061"/>
    <x v="0"/>
    <s v="CH (Cheque)"/>
    <s v="II. Receipts form Clients - non matured"/>
    <s v="Cheque PF"/>
    <s v="Sales of batteries - local"/>
    <s v="P/BNA+BENI KHALLED-529"/>
    <s v="TND"/>
    <n v="6222.317"/>
    <n v="1"/>
    <n v="6222.317"/>
    <x v="0"/>
    <d v="2022-08-15T00:00:00"/>
    <n v="76"/>
    <d v="2022-10-30T00:00:00"/>
    <n v="-75"/>
    <s v="W44_2022"/>
    <x v="0"/>
  </r>
  <r>
    <x v="0"/>
    <x v="60"/>
    <n v="22125050"/>
    <x v="0"/>
    <s v="CH (Cheque)"/>
    <s v="II. Receipts form Clients - non matured"/>
    <s v="Cheque PF"/>
    <s v="Sales of batteries - local"/>
    <s v="P/ATTJ+TN-0080588"/>
    <s v="TND"/>
    <n v="2030.652"/>
    <n v="1"/>
    <n v="2030.652"/>
    <x v="0"/>
    <d v="2022-08-12T00:00:00"/>
    <n v="79"/>
    <d v="2022-10-30T00:00:00"/>
    <n v="-75"/>
    <s v="W44_2022"/>
    <x v="0"/>
  </r>
  <r>
    <x v="0"/>
    <x v="50"/>
    <n v="22125034"/>
    <x v="0"/>
    <s v="CH (Cheque)"/>
    <s v="II. Receipts form Clients - non matured"/>
    <s v="Cheque PF"/>
    <s v="Sales of batteries - local"/>
    <s v="P/BTL+T-3017066"/>
    <s v="TND"/>
    <n v="4183.5680000000002"/>
    <n v="1"/>
    <n v="4183.5680000000002"/>
    <x v="0"/>
    <d v="2022-08-10T00:00:00"/>
    <n v="81"/>
    <d v="2022-10-30T00:00:00"/>
    <n v="-75"/>
    <s v="W44_2022"/>
    <x v="0"/>
  </r>
  <r>
    <x v="0"/>
    <x v="61"/>
    <n v="22125063"/>
    <x v="0"/>
    <s v="CH (Cheque)"/>
    <s v="II. Receipts form Clients - non matured"/>
    <s v="Cheque PF"/>
    <s v="Sales of batteries - local"/>
    <s v="P/ATB+BENI KHALLED-502"/>
    <s v="TND"/>
    <n v="2385.9259999999999"/>
    <n v="1"/>
    <n v="2385.9259999999999"/>
    <x v="0"/>
    <d v="2022-08-15T00:00:00"/>
    <n v="76"/>
    <d v="2022-10-30T00:00:00"/>
    <n v="-75"/>
    <s v="W44_2022"/>
    <x v="0"/>
  </r>
  <r>
    <x v="0"/>
    <x v="62"/>
    <n v="22125008"/>
    <x v="0"/>
    <s v="CH (Cheque)"/>
    <s v="II. Receipts form Clients - non matured"/>
    <s v="Cheque PF"/>
    <s v="Sales of batteries - local"/>
    <s v="P/BTE+TN-6359373"/>
    <s v="TND"/>
    <n v="1203.6310000000001"/>
    <n v="1"/>
    <n v="1203.6310000000001"/>
    <x v="0"/>
    <d v="2022-08-09T00:00:00"/>
    <n v="82"/>
    <d v="2022-10-30T00:00:00"/>
    <n v="-75"/>
    <s v="W44_2022"/>
    <x v="0"/>
  </r>
  <r>
    <x v="0"/>
    <x v="63"/>
    <n v="22125018"/>
    <x v="0"/>
    <s v="CH (Cheque)"/>
    <s v="II. Receipts form Clients - non matured"/>
    <s v="Cheque PF"/>
    <s v="Sales of batteries - local"/>
    <s v="P/ATB+TN-5844105"/>
    <s v="TND"/>
    <n v="306.13299999999998"/>
    <n v="1"/>
    <n v="306.13299999999998"/>
    <x v="0"/>
    <d v="2022-08-09T00:00:00"/>
    <n v="82"/>
    <d v="2022-10-30T00:00:00"/>
    <n v="-75"/>
    <s v="W44_2022"/>
    <x v="0"/>
  </r>
  <r>
    <x v="0"/>
    <x v="64"/>
    <n v="22401681"/>
    <x v="0"/>
    <s v="CH (Cheque)"/>
    <s v="II. Receipts form Clients - non matured"/>
    <s v="Cheque PF"/>
    <s v="Sales of batteries - local"/>
    <s v="D/BNA+HAFFOUZ-5960416"/>
    <s v="TND"/>
    <n v="6000"/>
    <n v="1"/>
    <n v="6000"/>
    <x v="0"/>
    <d v="2022-08-10T00:00:00"/>
    <n v="82"/>
    <d v="2022-10-31T00:00:00"/>
    <n v="-76"/>
    <s v="W44_2022"/>
    <x v="0"/>
  </r>
  <r>
    <x v="0"/>
    <x v="65"/>
    <n v="22125040"/>
    <x v="0"/>
    <s v="CH (Cheque)"/>
    <s v="II. Receipts form Clients - non matured"/>
    <s v="Cheque PF"/>
    <s v="Sales of batteries - local"/>
    <s v="p/atb+tn-6159803"/>
    <s v="TND"/>
    <n v="22412.432000000001"/>
    <n v="1"/>
    <n v="22412.432000000001"/>
    <x v="0"/>
    <d v="2022-08-12T00:00:00"/>
    <n v="80"/>
    <d v="2022-10-31T00:00:00"/>
    <n v="-76"/>
    <s v="W44_2022"/>
    <x v="0"/>
  </r>
  <r>
    <x v="0"/>
    <x v="66"/>
    <n v="22125051"/>
    <x v="0"/>
    <s v="CH (Cheque)"/>
    <s v="II. Receipts form Clients - non matured"/>
    <s v="Cheque PF"/>
    <s v="Sales of batteries - local"/>
    <s v="P/STB+TN-0001700"/>
    <s v="TND"/>
    <n v="4170.1580000000004"/>
    <n v="1"/>
    <n v="4170.1580000000004"/>
    <x v="0"/>
    <d v="2022-08-12T00:00:00"/>
    <n v="80"/>
    <d v="2022-10-31T00:00:00"/>
    <n v="-76"/>
    <s v="W44_2022"/>
    <x v="0"/>
  </r>
  <r>
    <x v="0"/>
    <x v="67"/>
    <n v="22125064"/>
    <x v="0"/>
    <s v="CH (Cheque)"/>
    <s v="II. Receipts form Clients - non matured"/>
    <s v="Cheque PF"/>
    <s v="Sales of batteries - local"/>
    <s v="P/STB+SOLIMAN-0000158"/>
    <s v="TND"/>
    <n v="1270.22"/>
    <n v="1"/>
    <n v="1270.22"/>
    <x v="0"/>
    <d v="2022-08-15T00:00:00"/>
    <n v="77"/>
    <d v="2022-10-31T00:00:00"/>
    <n v="-76"/>
    <s v="W44_2022"/>
    <x v="0"/>
  </r>
  <r>
    <x v="0"/>
    <x v="51"/>
    <n v="22125009"/>
    <x v="0"/>
    <s v="CH (Cheque)"/>
    <s v="II. Receipts form Clients - non matured"/>
    <s v="Cheque PF"/>
    <s v="Sales of batteries - local"/>
    <s v="P/BT+TN-8385910"/>
    <s v="TND"/>
    <n v="867.16300000000001"/>
    <n v="1"/>
    <n v="867.16300000000001"/>
    <x v="0"/>
    <d v="2022-08-09T00:00:00"/>
    <n v="83"/>
    <d v="2022-10-31T00:00:00"/>
    <n v="-76"/>
    <s v="W44_2022"/>
    <x v="0"/>
  </r>
  <r>
    <x v="0"/>
    <x v="68"/>
    <n v="22125053"/>
    <x v="0"/>
    <s v="CH (Cheque)"/>
    <s v="II. Receipts form Clients - non matured"/>
    <s v="Cheque PF"/>
    <s v="Sales of batteries - local"/>
    <s v="P/STB+TN-0002259"/>
    <s v="TND"/>
    <n v="2200"/>
    <n v="1"/>
    <n v="2200"/>
    <x v="0"/>
    <d v="2022-08-12T00:00:00"/>
    <n v="85"/>
    <d v="2022-11-05T00:00:00"/>
    <n v="-81"/>
    <s v="W45_2022"/>
    <x v="0"/>
  </r>
  <r>
    <x v="0"/>
    <x v="53"/>
    <n v="22125021"/>
    <x v="0"/>
    <s v="CH (Cheque)"/>
    <s v="II. Receipts form Clients - non matured"/>
    <s v="Cheque PF"/>
    <s v="Sales of batteries - local"/>
    <s v="P/AB+TN-2004729"/>
    <s v="TND"/>
    <n v="2000"/>
    <n v="1"/>
    <n v="2000"/>
    <x v="0"/>
    <d v="2022-08-10T00:00:00"/>
    <n v="97"/>
    <d v="2022-11-15T00:00:00"/>
    <n v="-91"/>
    <s v="W46_2022"/>
    <x v="0"/>
  </r>
  <r>
    <x v="0"/>
    <x v="68"/>
    <n v="22125054"/>
    <x v="0"/>
    <s v="CH (Cheque)"/>
    <s v="II. Receipts form Clients - non matured"/>
    <s v="Cheque PF"/>
    <s v="Sales of batteries - local"/>
    <s v="P/STB+TN-0002260"/>
    <s v="TND"/>
    <n v="1369.7950000000001"/>
    <n v="1"/>
    <n v="1369.7950000000001"/>
    <x v="0"/>
    <d v="2022-08-12T00:00:00"/>
    <n v="99"/>
    <d v="2022-11-19T00:00:00"/>
    <n v="-95"/>
    <s v="W47_2022"/>
    <x v="0"/>
  </r>
  <r>
    <x v="0"/>
    <x v="64"/>
    <n v="22401682"/>
    <x v="0"/>
    <s v="CH (Cheque)"/>
    <s v="II. Receipts form Clients - non matured"/>
    <s v="Cheque PF"/>
    <s v="Sales of batteries - local"/>
    <s v="D/BNA+HAFFOUZ-5960417"/>
    <s v="TND"/>
    <n v="6959.6059999999998"/>
    <n v="1"/>
    <n v="6959.6059999999998"/>
    <x v="0"/>
    <d v="2022-08-10T00:00:00"/>
    <n v="112"/>
    <d v="2022-11-30T00:00:00"/>
    <n v="-106"/>
    <s v="W48_2022"/>
    <x v="0"/>
  </r>
  <r>
    <x v="0"/>
    <x v="59"/>
    <n v="22125062"/>
    <x v="0"/>
    <s v="CH (Cheque)"/>
    <s v="II. Receipts form Clients - non matured"/>
    <s v="Cheque PF"/>
    <s v="Sales of batteries - local"/>
    <s v="P/BNA+BENI KHALLED-529"/>
    <s v="TND"/>
    <n v="5000"/>
    <n v="1"/>
    <n v="5000"/>
    <x v="0"/>
    <d v="2022-08-15T00:00:00"/>
    <n v="107"/>
    <d v="2022-11-30T00:00:00"/>
    <n v="-106"/>
    <s v="W48_2022"/>
    <x v="0"/>
  </r>
  <r>
    <x v="0"/>
    <x v="69"/>
    <n v="22125046"/>
    <x v="0"/>
    <s v="CH (Cheque)"/>
    <s v="II. Receipts form Clients - non matured"/>
    <s v="Cheque PF"/>
    <s v="Sales of batteries - local"/>
    <s v="P/UBCI+TN-9196284"/>
    <s v="TND"/>
    <n v="13687.383"/>
    <n v="1"/>
    <n v="13687.383"/>
    <x v="0"/>
    <d v="2022-08-12T00:00:00"/>
    <n v="110"/>
    <d v="2022-11-30T00:00:00"/>
    <n v="-106"/>
    <s v="W48_2022"/>
    <x v="0"/>
  </r>
  <r>
    <x v="0"/>
    <x v="70"/>
    <n v="22125039"/>
    <x v="0"/>
    <s v="CH (Cheque)"/>
    <s v="II. Receipts form Clients - non matured"/>
    <s v="Cheque PF"/>
    <s v="Sales of batteries - local"/>
    <s v="P/ATTJ+TN-0070506"/>
    <s v="TND"/>
    <n v="7772.5640000000003"/>
    <n v="1"/>
    <n v="7772.5640000000003"/>
    <x v="0"/>
    <d v="2022-08-11T00:00:00"/>
    <n v="116"/>
    <d v="2022-12-05T00:00:00"/>
    <n v="-111"/>
    <s v="W49_2022"/>
    <x v="0"/>
  </r>
  <r>
    <x v="0"/>
    <x v="71"/>
    <n v="22125042"/>
    <x v="0"/>
    <s v="CH (Cheque)"/>
    <s v="II. Receipts form Clients - non matured"/>
    <s v="Cheque PF"/>
    <s v="Sales of batteries - local"/>
    <s v="p/ubci+tn-9492168"/>
    <s v="TND"/>
    <n v="1146.932"/>
    <n v="1"/>
    <n v="1146.932"/>
    <x v="0"/>
    <d v="2022-08-12T00:00:00"/>
    <n v="120"/>
    <d v="2022-12-10T00:00:00"/>
    <n v="-116"/>
    <s v="W50_2022"/>
    <x v="0"/>
  </r>
  <r>
    <x v="0"/>
    <x v="72"/>
    <n v="22125032"/>
    <x v="0"/>
    <s v="CH (Cheque)"/>
    <s v="II. Receipts form Clients - non matured"/>
    <s v="Cheque PF"/>
    <s v="Sales of batteries - local"/>
    <s v="P/TSB+TN-8776821"/>
    <s v="TND"/>
    <n v="7000"/>
    <n v="1"/>
    <n v="7000"/>
    <x v="0"/>
    <d v="2022-08-10T00:00:00"/>
    <n v="127"/>
    <d v="2022-12-15T00:00:00"/>
    <n v="-121"/>
    <s v="W50_2022"/>
    <x v="0"/>
  </r>
  <r>
    <x v="0"/>
    <x v="72"/>
    <n v="22125033"/>
    <x v="0"/>
    <s v="CH (Cheque)"/>
    <s v="II. Receipts form Clients - non matured"/>
    <s v="Cheque PF"/>
    <s v="Sales of batteries - local"/>
    <s v="P/TSB+TN-8776822"/>
    <s v="TND"/>
    <n v="6121.915"/>
    <n v="1"/>
    <n v="6121.915"/>
    <x v="0"/>
    <d v="2022-08-10T00:00:00"/>
    <n v="142"/>
    <d v="2022-12-30T00:00:00"/>
    <n v="-136"/>
    <s v="W52_2022"/>
    <x v="0"/>
  </r>
  <r>
    <x v="0"/>
    <x v="73"/>
    <n v="22801293"/>
    <x v="0"/>
    <s v="CH (Cheque)"/>
    <s v="II. Receipts form Clients - non matured"/>
    <s v="Cheque PF"/>
    <s v="Sales of batteries - local"/>
    <s v="P/BQ ZIT+BOUSALEM-4000"/>
    <s v="TND"/>
    <n v="2156.2069999999999"/>
    <n v="1"/>
    <n v="2156.2069999999999"/>
    <x v="0"/>
    <d v="2022-06-13T00:00:00"/>
    <n v="65"/>
    <d v="2022-08-17T00:00:00"/>
    <n v="-1"/>
    <s v="W33_2022"/>
    <x v="0"/>
  </r>
  <r>
    <x v="0"/>
    <x v="74"/>
    <n v="22401368"/>
    <x v="0"/>
    <s v="CH (Cheque)"/>
    <s v="II. Receipts form Clients - non matured"/>
    <s v="Cheque PF"/>
    <s v="Sales of batteries - local"/>
    <s v="D/BIAT+MONASTIR-000766"/>
    <s v="TND"/>
    <n v="1363.261"/>
    <n v="1"/>
    <n v="1363.261"/>
    <x v="0"/>
    <d v="2022-05-16T00:00:00"/>
    <n v="93"/>
    <d v="2022-08-17T00:00:00"/>
    <n v="-1"/>
    <s v="W33_2022"/>
    <x v="0"/>
  </r>
  <r>
    <x v="0"/>
    <x v="75"/>
    <n v="22124113"/>
    <x v="0"/>
    <s v="CH (Cheque)"/>
    <s v="II. Receipts form Clients - non matured"/>
    <s v="Cheque PF"/>
    <s v="Sales of batteries - local"/>
    <s v="P/STB+KELIBIA-0007839"/>
    <s v="TND"/>
    <n v="820"/>
    <n v="1"/>
    <n v="820"/>
    <x v="0"/>
    <d v="2022-03-26T00:00:00"/>
    <n v="144"/>
    <d v="2022-08-17T00:00:00"/>
    <n v="-1"/>
    <s v="W33_2022"/>
    <x v="0"/>
  </r>
  <r>
    <x v="0"/>
    <x v="76"/>
    <n v="22124481"/>
    <x v="0"/>
    <s v="CH (Cheque)"/>
    <s v="II. Receipts form Clients - non matured"/>
    <s v="Cheque PF"/>
    <s v="Sales of batteries - local"/>
    <s v="p/bna+tn-5403342"/>
    <s v="TND"/>
    <n v="1727.2550000000001"/>
    <n v="1"/>
    <n v="1727.2550000000001"/>
    <x v="0"/>
    <d v="2022-05-24T00:00:00"/>
    <n v="85"/>
    <d v="2022-08-17T00:00:00"/>
    <n v="-1"/>
    <s v="W33_2022"/>
    <x v="0"/>
  </r>
  <r>
    <x v="0"/>
    <x v="77"/>
    <n v="22301318"/>
    <x v="0"/>
    <s v="CH (Cheque)"/>
    <s v="II. Receipts form Clients - non matured"/>
    <s v="Cheque PF"/>
    <s v="Sales of batteries - local"/>
    <s v="P/BH+SFAX-1479975"/>
    <s v="TND"/>
    <n v="1583"/>
    <n v="1"/>
    <n v="1583"/>
    <x v="0"/>
    <d v="2022-04-07T00:00:00"/>
    <n v="132"/>
    <d v="2022-08-17T00:00:00"/>
    <n v="-1"/>
    <s v="W33_2022"/>
    <x v="0"/>
  </r>
  <r>
    <x v="0"/>
    <x v="78"/>
    <n v="22301490"/>
    <x v="0"/>
    <s v="CH (Cheque)"/>
    <s v="II. Receipts form Clients - non matured"/>
    <s v="Cheque PF"/>
    <s v="Sales of batteries - local"/>
    <s v="P/BIAT+SFAX-0007525"/>
    <s v="TND"/>
    <n v="2691.998"/>
    <n v="1"/>
    <n v="2691.998"/>
    <x v="0"/>
    <d v="2022-05-25T00:00:00"/>
    <n v="84"/>
    <d v="2022-08-17T00:00:00"/>
    <n v="-1"/>
    <s v="W33_2022"/>
    <x v="0"/>
  </r>
  <r>
    <x v="0"/>
    <x v="79"/>
    <n v="22301612"/>
    <x v="0"/>
    <s v="CH (Cheque)"/>
    <s v="II. Receipts form Clients - non matured"/>
    <s v="Cheque PF"/>
    <s v="Sales of batteries - local"/>
    <s v="P/BH+SFAX-0422233"/>
    <s v="TND"/>
    <n v="1900"/>
    <n v="1"/>
    <n v="1900"/>
    <x v="0"/>
    <d v="2022-06-29T00:00:00"/>
    <n v="49"/>
    <d v="2022-08-17T00:00:00"/>
    <n v="-1"/>
    <s v="W33_2022"/>
    <x v="0"/>
  </r>
  <r>
    <x v="0"/>
    <x v="80"/>
    <n v="22301703"/>
    <x v="0"/>
    <s v="CH (Cheque)"/>
    <s v="II. Receipts form Clients - non matured"/>
    <s v="Cheque PF"/>
    <s v="Sales of batteries - local"/>
    <s v="P/ALBA+SFAX-7922218"/>
    <s v="TND"/>
    <n v="5236.4160000000002"/>
    <n v="1"/>
    <n v="5236.4160000000002"/>
    <x v="0"/>
    <d v="2022-07-21T00:00:00"/>
    <n v="27"/>
    <d v="2022-08-17T00:00:00"/>
    <n v="-1"/>
    <s v="W33_2022"/>
    <x v="0"/>
  </r>
  <r>
    <x v="0"/>
    <x v="14"/>
    <n v="22601275"/>
    <x v="0"/>
    <s v="CH (Cheque)"/>
    <s v="II. Receipts form Clients - non matured"/>
    <s v="Cheque PF"/>
    <s v="Sales of batteries - local"/>
    <s v="p/ubci+gabes-7427040"/>
    <s v="TND"/>
    <n v="1150"/>
    <n v="1"/>
    <n v="1150"/>
    <x v="0"/>
    <d v="2022-04-28T00:00:00"/>
    <n v="112"/>
    <d v="2022-08-18T00:00:00"/>
    <n v="-2"/>
    <s v="W33_2022"/>
    <x v="0"/>
  </r>
  <r>
    <x v="0"/>
    <x v="81"/>
    <n v="22801209"/>
    <x v="0"/>
    <s v="CH (Cheque)"/>
    <s v="II. Receipts form Clients - non matured"/>
    <s v="Cheque PF"/>
    <s v="Sales of batteries - local"/>
    <s v="P/STB+JEND-0451612"/>
    <s v="TND"/>
    <n v="1999.739"/>
    <n v="1"/>
    <n v="1999.739"/>
    <x v="0"/>
    <d v="2022-04-27T00:00:00"/>
    <n v="113"/>
    <d v="2022-08-18T00:00:00"/>
    <n v="-2"/>
    <s v="W33_2022"/>
    <x v="0"/>
  </r>
  <r>
    <x v="0"/>
    <x v="6"/>
    <n v="22401262"/>
    <x v="0"/>
    <s v="CH (Cheque)"/>
    <s v="II. Receipts form Clients - non matured"/>
    <s v="Cheque PF"/>
    <s v="Sales of batteries - local"/>
    <s v="D/BH+MOKNINE-1615481"/>
    <s v="TND"/>
    <n v="1916.9870000000001"/>
    <n v="1"/>
    <n v="1916.9870000000001"/>
    <x v="0"/>
    <d v="2022-03-29T00:00:00"/>
    <n v="142"/>
    <d v="2022-08-18T00:00:00"/>
    <n v="-2"/>
    <s v="W33_2022"/>
    <x v="0"/>
  </r>
  <r>
    <x v="0"/>
    <x v="82"/>
    <n v="22124629"/>
    <x v="0"/>
    <s v="CH (Cheque)"/>
    <s v="II. Receipts form Clients - non matured"/>
    <s v="Cheque PF"/>
    <s v="Sales of batteries - local"/>
    <s v="P/UIB+SIDI BELHASSEN-1"/>
    <s v="TND"/>
    <n v="902.28700000000003"/>
    <n v="1"/>
    <n v="902.28700000000003"/>
    <x v="0"/>
    <d v="2022-06-15T00:00:00"/>
    <n v="64"/>
    <d v="2022-08-18T00:00:00"/>
    <n v="-2"/>
    <s v="W33_2022"/>
    <x v="0"/>
  </r>
  <r>
    <x v="0"/>
    <x v="55"/>
    <n v="22124823"/>
    <x v="0"/>
    <s v="CH (Cheque)"/>
    <s v="II. Receipts form Clients - non matured"/>
    <s v="Cheque PF"/>
    <s v="Sales of batteries - local"/>
    <s v="P/TSB+EL MENZAH 5-8899"/>
    <s v="TND"/>
    <n v="764.82"/>
    <n v="1"/>
    <n v="764.82"/>
    <x v="0"/>
    <d v="2022-07-12T00:00:00"/>
    <n v="37"/>
    <d v="2022-08-18T00:00:00"/>
    <n v="-2"/>
    <s v="W33_2022"/>
    <x v="0"/>
  </r>
  <r>
    <x v="0"/>
    <x v="83"/>
    <n v="22601293"/>
    <x v="0"/>
    <s v="CH (Cheque)"/>
    <s v="II. Receipts form Clients - non matured"/>
    <s v="Cheque PF"/>
    <s v="Sales of batteries - local"/>
    <s v="P/ATB+GABES-6021868"/>
    <s v="TND"/>
    <n v="1500"/>
    <n v="1"/>
    <n v="1500"/>
    <x v="0"/>
    <d v="2022-05-16T00:00:00"/>
    <n v="95"/>
    <d v="2022-08-19T00:00:00"/>
    <n v="-3"/>
    <s v="W33_2022"/>
    <x v="0"/>
  </r>
  <r>
    <x v="0"/>
    <x v="84"/>
    <n v="22301359"/>
    <x v="0"/>
    <s v="CH (Cheque)"/>
    <s v="II. Receipts form Clients - non matured"/>
    <s v="Cheque PF"/>
    <s v="Sales of batteries - local"/>
    <s v="P/UIB+SFAX-2492104"/>
    <s v="TND"/>
    <n v="7614.9269999999997"/>
    <n v="1"/>
    <n v="7614.9269999999997"/>
    <x v="0"/>
    <d v="2022-04-16T00:00:00"/>
    <n v="125"/>
    <d v="2022-08-19T00:00:00"/>
    <n v="-3"/>
    <s v="W33_2022"/>
    <x v="0"/>
  </r>
  <r>
    <x v="0"/>
    <x v="8"/>
    <n v="22301425"/>
    <x v="0"/>
    <s v="CH (Cheque)"/>
    <s v="II. Receipts form Clients - non matured"/>
    <s v="Cheque PF"/>
    <s v="Sales of batteries - local"/>
    <s v="P/BZ+SFAX-4000684"/>
    <s v="TND"/>
    <n v="6200"/>
    <n v="1"/>
    <n v="6200"/>
    <x v="0"/>
    <d v="2022-05-05T00:00:00"/>
    <n v="106"/>
    <d v="2022-08-19T00:00:00"/>
    <n v="-3"/>
    <s v="W33_2022"/>
    <x v="0"/>
  </r>
  <r>
    <x v="0"/>
    <x v="14"/>
    <n v="22601276"/>
    <x v="0"/>
    <s v="CH (Cheque)"/>
    <s v="II. Receipts form Clients - non matured"/>
    <s v="Cheque PF"/>
    <s v="Sales of batteries - local"/>
    <s v="p/ubci+gabes-7427047"/>
    <s v="TND"/>
    <n v="1150"/>
    <n v="1"/>
    <n v="1150"/>
    <x v="0"/>
    <d v="2022-04-28T00:00:00"/>
    <n v="114"/>
    <d v="2022-08-20T00:00:00"/>
    <n v="-4"/>
    <s v="W34_2022"/>
    <x v="0"/>
  </r>
  <r>
    <x v="0"/>
    <x v="14"/>
    <n v="22601274"/>
    <x v="0"/>
    <s v="CH (Cheque)"/>
    <s v="II. Receipts form Clients - non matured"/>
    <s v="Cheque PF"/>
    <s v="Sales of batteries - local"/>
    <s v="p/ubci+gabes-7427042"/>
    <s v="TND"/>
    <n v="1150"/>
    <n v="1"/>
    <n v="1150"/>
    <x v="0"/>
    <d v="2022-04-28T00:00:00"/>
    <n v="114"/>
    <d v="2022-08-20T00:00:00"/>
    <n v="-4"/>
    <s v="W34_2022"/>
    <x v="0"/>
  </r>
  <r>
    <x v="0"/>
    <x v="9"/>
    <n v="22601304"/>
    <x v="0"/>
    <s v="CH (Cheque)"/>
    <s v="II. Receipts form Clients - non matured"/>
    <s v="Cheque PF"/>
    <s v="Sales of batteries - local"/>
    <s v="P/BTL+GABES-2993922"/>
    <s v="TND"/>
    <n v="487.86"/>
    <n v="1"/>
    <n v="487.86"/>
    <x v="0"/>
    <d v="2022-05-23T00:00:00"/>
    <n v="89"/>
    <d v="2022-08-20T00:00:00"/>
    <n v="-4"/>
    <s v="W34_2022"/>
    <x v="0"/>
  </r>
  <r>
    <x v="0"/>
    <x v="9"/>
    <n v="22601352"/>
    <x v="0"/>
    <s v="CH (Cheque)"/>
    <s v="II. Receipts form Clients - non matured"/>
    <s v="Cheque PF"/>
    <s v="Sales of batteries - local"/>
    <s v="P/BTL+GABES-3010827"/>
    <s v="TND"/>
    <n v="582.37199999999996"/>
    <n v="1"/>
    <n v="582.37199999999996"/>
    <x v="0"/>
    <d v="2022-06-15T00:00:00"/>
    <n v="66"/>
    <d v="2022-08-20T00:00:00"/>
    <n v="-4"/>
    <s v="W34_2022"/>
    <x v="0"/>
  </r>
  <r>
    <x v="0"/>
    <x v="85"/>
    <n v="22301724"/>
    <x v="0"/>
    <s v="CH (Cheque)"/>
    <s v="II. Receipts form Clients - non matured"/>
    <s v="Cheque PF"/>
    <s v="Sales of batteries - local"/>
    <s v="P/STB+SFAX-0000219"/>
    <s v="TND"/>
    <n v="500"/>
    <n v="1"/>
    <n v="500"/>
    <x v="0"/>
    <d v="2022-07-27T00:00:00"/>
    <n v="24"/>
    <d v="2022-08-20T00:00:00"/>
    <n v="-4"/>
    <s v="W34_2022"/>
    <x v="0"/>
  </r>
  <r>
    <x v="0"/>
    <x v="86"/>
    <n v="22401674"/>
    <x v="0"/>
    <s v="CH (Cheque)"/>
    <s v="II. Receipts form Clients - non matured"/>
    <s v="Cheque PF"/>
    <s v="Sales of batteries - local"/>
    <s v="D/STB+MOKNINE-0000189"/>
    <s v="TND"/>
    <n v="1000"/>
    <n v="1"/>
    <n v="1000"/>
    <x v="0"/>
    <d v="2022-08-04T00:00:00"/>
    <n v="16"/>
    <d v="2022-08-20T00:00:00"/>
    <n v="-4"/>
    <s v="W34_2022"/>
    <x v="0"/>
  </r>
  <r>
    <x v="0"/>
    <x v="86"/>
    <n v="22401673"/>
    <x v="0"/>
    <s v="CH (Cheque)"/>
    <s v="II. Receipts form Clients - non matured"/>
    <s v="Cheque PF"/>
    <s v="Sales of batteries - local"/>
    <s v="D/STB+SAKIET EDDAIER-0"/>
    <s v="TND"/>
    <n v="770"/>
    <n v="1"/>
    <n v="770"/>
    <x v="0"/>
    <d v="2022-08-04T00:00:00"/>
    <n v="16"/>
    <d v="2022-08-20T00:00:00"/>
    <n v="-4"/>
    <s v="W34_2022"/>
    <x v="0"/>
  </r>
  <r>
    <x v="0"/>
    <x v="0"/>
    <n v="22401668"/>
    <x v="0"/>
    <s v="CH (Cheque)"/>
    <s v="II. Receipts form Clients - non matured"/>
    <s v="Cheque PF"/>
    <s v="Sales of batteries - local"/>
    <s v="P/BT+SOUSSE-8955303"/>
    <s v="TND"/>
    <n v="477.53399999999999"/>
    <n v="1"/>
    <n v="477.53399999999999"/>
    <x v="0"/>
    <d v="2022-08-02T00:00:00"/>
    <n v="18"/>
    <d v="2022-08-20T00:00:00"/>
    <n v="-4"/>
    <s v="W34_2022"/>
    <x v="0"/>
  </r>
  <r>
    <x v="0"/>
    <x v="87"/>
    <n v="22601501"/>
    <x v="0"/>
    <s v="CH (Cheque)"/>
    <s v="II. Receipts form Clients - non matured"/>
    <s v="Cheque PF"/>
    <s v="Sales of batteries - local"/>
    <s v="P/ATTIJARI+DJERBA-0306"/>
    <s v="TND"/>
    <n v="615.20899999999995"/>
    <n v="1"/>
    <n v="615.20899999999995"/>
    <x v="0"/>
    <d v="2022-08-04T00:00:00"/>
    <n v="16"/>
    <d v="2022-08-20T00:00:00"/>
    <n v="-4"/>
    <s v="W34_2022"/>
    <x v="0"/>
  </r>
  <r>
    <x v="0"/>
    <x v="88"/>
    <n v="22601364"/>
    <x v="0"/>
    <s v="CH (Cheque)"/>
    <s v="II. Receipts form Clients - non matured"/>
    <s v="Cheque PF"/>
    <s v="Sales of batteries - local"/>
    <s v="P/BTE+DJERBA-6248998"/>
    <s v="TND"/>
    <n v="1184.806"/>
    <n v="1"/>
    <n v="1184.806"/>
    <x v="0"/>
    <d v="2022-06-15T00:00:00"/>
    <n v="66"/>
    <d v="2022-08-20T00:00:00"/>
    <n v="-4"/>
    <s v="W34_2022"/>
    <x v="0"/>
  </r>
  <r>
    <x v="0"/>
    <x v="89"/>
    <n v="22701189"/>
    <x v="0"/>
    <s v="CH (Cheque)"/>
    <s v="II. Receipts form Clients - non matured"/>
    <s v="Cheque PF"/>
    <s v="Sales of batteries - local"/>
    <s v="P/BNA+MEKNASY-3940515"/>
    <s v="TND"/>
    <n v="2000"/>
    <n v="1"/>
    <n v="2000"/>
    <x v="0"/>
    <d v="2022-06-01T00:00:00"/>
    <n v="80"/>
    <d v="2022-08-20T00:00:00"/>
    <n v="-4"/>
    <s v="W34_2022"/>
    <x v="0"/>
  </r>
  <r>
    <x v="0"/>
    <x v="31"/>
    <n v="22701250"/>
    <x v="0"/>
    <s v="CH (Cheque)"/>
    <s v="II. Receipts form Clients - non matured"/>
    <s v="Cheque PF"/>
    <s v="Sales of batteries - local"/>
    <s v="P/BIAT+GAFSA-0000279"/>
    <s v="TND"/>
    <n v="18000"/>
    <n v="1"/>
    <n v="18000"/>
    <x v="0"/>
    <d v="2022-07-21T00:00:00"/>
    <n v="30"/>
    <d v="2022-08-20T00:00:00"/>
    <n v="-4"/>
    <s v="W34_2022"/>
    <x v="0"/>
  </r>
  <r>
    <x v="0"/>
    <x v="90"/>
    <n v="22701230"/>
    <x v="0"/>
    <s v="CH (Cheque)"/>
    <s v="II. Receipts form Clients - non matured"/>
    <s v="Cheque PF"/>
    <s v="Sales of batteries - local"/>
    <s v="P/AMEN+TOZEUR-1195300"/>
    <s v="TND"/>
    <n v="305.59800000000001"/>
    <n v="1"/>
    <n v="305.59800000000001"/>
    <x v="0"/>
    <d v="2022-07-12T00:00:00"/>
    <n v="39"/>
    <d v="2022-08-20T00:00:00"/>
    <n v="-4"/>
    <s v="W34_2022"/>
    <x v="0"/>
  </r>
  <r>
    <x v="0"/>
    <x v="91"/>
    <n v="22801256"/>
    <x v="0"/>
    <s v="CH (Cheque)"/>
    <s v="II. Receipts form Clients - non matured"/>
    <s v="Cheque PF"/>
    <s v="Sales of batteries - local"/>
    <s v="P/UIB+BEJA-9895802"/>
    <s v="TND"/>
    <n v="2000"/>
    <n v="1"/>
    <n v="2000"/>
    <x v="0"/>
    <d v="2022-05-25T00:00:00"/>
    <n v="87"/>
    <d v="2022-08-20T00:00:00"/>
    <n v="-4"/>
    <s v="W34_2022"/>
    <x v="0"/>
  </r>
  <r>
    <x v="0"/>
    <x v="34"/>
    <n v="22801261"/>
    <x v="0"/>
    <s v="CH (Cheque)"/>
    <s v="II. Receipts form Clients - non matured"/>
    <s v="Cheque PF"/>
    <s v="Sales of batteries - local"/>
    <s v="P/BNA+BEJA-5352860"/>
    <s v="TND"/>
    <n v="1555"/>
    <n v="1"/>
    <n v="1555"/>
    <x v="0"/>
    <d v="2022-05-31T00:00:00"/>
    <n v="81"/>
    <d v="2022-08-20T00:00:00"/>
    <n v="-4"/>
    <s v="W34_2022"/>
    <x v="0"/>
  </r>
  <r>
    <x v="0"/>
    <x v="92"/>
    <n v="22801377"/>
    <x v="0"/>
    <s v="CH (Cheque)"/>
    <s v="II. Receipts form Clients - non matured"/>
    <s v="Cheque PF"/>
    <s v="Sales of batteries - local"/>
    <s v="P/BH+KEF-2224240"/>
    <s v="TND"/>
    <n v="1705.874"/>
    <n v="1"/>
    <n v="1705.874"/>
    <x v="0"/>
    <d v="2022-07-22T00:00:00"/>
    <n v="29"/>
    <d v="2022-08-20T00:00:00"/>
    <n v="-4"/>
    <s v="W34_2022"/>
    <x v="0"/>
  </r>
  <r>
    <x v="0"/>
    <x v="93"/>
    <n v="22401310"/>
    <x v="0"/>
    <s v="CH (Cheque)"/>
    <s v="II. Receipts form Clients - non matured"/>
    <s v="Cheque PF"/>
    <s v="Sales of batteries - local"/>
    <s v="D/BT+KAIROUAN-8742052"/>
    <s v="TND"/>
    <n v="1641.0719999999999"/>
    <n v="1"/>
    <n v="1641.0719999999999"/>
    <x v="0"/>
    <d v="2022-04-21T00:00:00"/>
    <n v="121"/>
    <d v="2022-08-20T00:00:00"/>
    <n v="-4"/>
    <s v="W34_2022"/>
    <x v="0"/>
  </r>
  <r>
    <x v="0"/>
    <x v="94"/>
    <n v="22401462"/>
    <x v="0"/>
    <s v="CH (Cheque)"/>
    <s v="II. Receipts form Clients - non matured"/>
    <s v="Cheque PF"/>
    <s v="Sales of batteries - local"/>
    <s v="P/UIB+SOUSSE-2490637"/>
    <s v="TND"/>
    <n v="816.66399999999999"/>
    <n v="1"/>
    <n v="816.66399999999999"/>
    <x v="0"/>
    <d v="2022-06-13T00:00:00"/>
    <n v="68"/>
    <d v="2022-08-20T00:00:00"/>
    <n v="-4"/>
    <s v="W34_2022"/>
    <x v="0"/>
  </r>
  <r>
    <x v="0"/>
    <x v="95"/>
    <n v="22401390"/>
    <x v="0"/>
    <s v="CH (Cheque)"/>
    <s v="II. Receipts form Clients - non matured"/>
    <s v="Cheque PF"/>
    <s v="Sales of batteries - local"/>
    <s v="D/BNA+HAFFOUZ-5667614"/>
    <s v="TND"/>
    <n v="1295"/>
    <n v="1"/>
    <n v="1295"/>
    <x v="0"/>
    <d v="2022-05-21T00:00:00"/>
    <n v="91"/>
    <d v="2022-08-20T00:00:00"/>
    <n v="-4"/>
    <s v="W34_2022"/>
    <x v="0"/>
  </r>
  <r>
    <x v="0"/>
    <x v="96"/>
    <n v="22401448"/>
    <x v="0"/>
    <s v="CH (Cheque)"/>
    <s v="II. Receipts form Clients - non matured"/>
    <s v="Cheque PF"/>
    <s v="Sales of batteries - local"/>
    <s v="P/UIB+KALAA KEBIRA-232"/>
    <s v="TND"/>
    <n v="974.81399999999996"/>
    <n v="1"/>
    <n v="974.81399999999996"/>
    <x v="0"/>
    <d v="2022-06-08T00:00:00"/>
    <n v="73"/>
    <d v="2022-08-20T00:00:00"/>
    <n v="-4"/>
    <s v="W34_2022"/>
    <x v="0"/>
  </r>
  <r>
    <x v="0"/>
    <x v="11"/>
    <n v="22401545"/>
    <x v="0"/>
    <s v="CH (Cheque)"/>
    <s v="II. Receipts form Clients - non matured"/>
    <s v="Cheque PF"/>
    <s v="Sales of batteries - local"/>
    <s v="D/BIAT+JEMMAL-0000430"/>
    <s v="TND"/>
    <n v="1540"/>
    <n v="1"/>
    <n v="1540"/>
    <x v="0"/>
    <d v="2022-06-30T00:00:00"/>
    <n v="51"/>
    <d v="2022-08-20T00:00:00"/>
    <n v="-4"/>
    <s v="W34_2022"/>
    <x v="0"/>
  </r>
  <r>
    <x v="0"/>
    <x v="97"/>
    <n v="22124172"/>
    <x v="0"/>
    <s v="CH (Cheque)"/>
    <s v="II. Receipts form Clients - non matured"/>
    <s v="Cheque PF"/>
    <s v="Sales of batteries - local"/>
    <s v="P/QNB+BEN AROUS-000968"/>
    <s v="TND"/>
    <n v="7571.3829999999998"/>
    <n v="1"/>
    <n v="7571.3829999999998"/>
    <x v="0"/>
    <d v="2022-04-04T00:00:00"/>
    <n v="138"/>
    <d v="2022-08-20T00:00:00"/>
    <n v="-4"/>
    <s v="W34_2022"/>
    <x v="0"/>
  </r>
  <r>
    <x v="0"/>
    <x v="75"/>
    <n v="22124112"/>
    <x v="0"/>
    <s v="CH (Cheque)"/>
    <s v="II. Receipts form Clients - non matured"/>
    <s v="Cheque PF"/>
    <s v="Sales of batteries - local"/>
    <s v="P/STB+KELIBIA-0007840"/>
    <s v="TND"/>
    <n v="810"/>
    <n v="1"/>
    <n v="810"/>
    <x v="0"/>
    <d v="2022-03-26T00:00:00"/>
    <n v="147"/>
    <d v="2022-08-20T00:00:00"/>
    <n v="-4"/>
    <s v="W34_2022"/>
    <x v="0"/>
  </r>
  <r>
    <x v="0"/>
    <x v="98"/>
    <n v="22124566"/>
    <x v="0"/>
    <s v="CH (Cheque)"/>
    <s v="II. Receipts form Clients - non matured"/>
    <s v="Cheque PF"/>
    <s v="Sales of batteries - local"/>
    <s v="P/BQ ZAIT+EZZAHRA-4003"/>
    <s v="TND"/>
    <n v="1918.4490000000001"/>
    <n v="1"/>
    <n v="1918.4490000000001"/>
    <x v="0"/>
    <d v="2022-05-31T00:00:00"/>
    <n v="81"/>
    <d v="2022-08-20T00:00:00"/>
    <n v="-4"/>
    <s v="W34_2022"/>
    <x v="0"/>
  </r>
  <r>
    <x v="0"/>
    <x v="99"/>
    <n v="22124315"/>
    <x v="0"/>
    <s v="CH (Cheque)"/>
    <s v="II. Receipts form Clients - non matured"/>
    <s v="Cheque PF"/>
    <s v="Sales of batteries - local"/>
    <s v="P/STB+FOUCHANA-0000448"/>
    <s v="TND"/>
    <n v="989.505"/>
    <n v="1"/>
    <n v="989.505"/>
    <x v="0"/>
    <d v="2022-04-25T00:00:00"/>
    <n v="117"/>
    <d v="2022-08-20T00:00:00"/>
    <n v="-4"/>
    <s v="W34_2022"/>
    <x v="0"/>
  </r>
  <r>
    <x v="0"/>
    <x v="100"/>
    <n v="22124543"/>
    <x v="0"/>
    <s v="CH (Cheque)"/>
    <s v="II. Receipts form Clients - non matured"/>
    <s v="Cheque PF"/>
    <s v="Sales of batteries - local"/>
    <s v="P/BNA+TN-4912953"/>
    <s v="TND"/>
    <n v="1268.1400000000001"/>
    <n v="1"/>
    <n v="1268.1400000000001"/>
    <x v="0"/>
    <d v="2022-05-30T00:00:00"/>
    <n v="82"/>
    <d v="2022-08-20T00:00:00"/>
    <n v="-4"/>
    <s v="W34_2022"/>
    <x v="0"/>
  </r>
  <r>
    <x v="0"/>
    <x v="101"/>
    <n v="22124400"/>
    <x v="0"/>
    <s v="CH (Cheque)"/>
    <s v="II. Receipts form Clients - non matured"/>
    <s v="Cheque PF"/>
    <s v="Sales of batteries - local"/>
    <s v="P/STB+FOUCHANA-0004392"/>
    <s v="TND"/>
    <n v="400"/>
    <n v="1"/>
    <n v="400"/>
    <x v="0"/>
    <d v="2022-05-13T00:00:00"/>
    <n v="99"/>
    <d v="2022-08-20T00:00:00"/>
    <n v="-4"/>
    <s v="W34_2022"/>
    <x v="0"/>
  </r>
  <r>
    <x v="0"/>
    <x v="102"/>
    <n v="22124427"/>
    <x v="0"/>
    <s v="CH (Cheque)"/>
    <s v="II. Receipts form Clients - non matured"/>
    <s v="Cheque PF"/>
    <s v="Sales of batteries - local"/>
    <s v="P/ATTJ BQ+BEN AROUS-01"/>
    <s v="TND"/>
    <n v="4584.567"/>
    <n v="1"/>
    <n v="4584.567"/>
    <x v="0"/>
    <d v="2022-05-19T00:00:00"/>
    <n v="93"/>
    <d v="2022-08-20T00:00:00"/>
    <n v="-4"/>
    <s v="W34_2022"/>
    <x v="0"/>
  </r>
  <r>
    <x v="0"/>
    <x v="103"/>
    <n v="22124564"/>
    <x v="0"/>
    <s v="CH (Cheque)"/>
    <s v="II. Receipts form Clients - non matured"/>
    <s v="Cheque PF"/>
    <s v="Sales of batteries - local"/>
    <s v="P/BIAT+MEDJEZ EL BAB-0"/>
    <s v="TND"/>
    <n v="2405.1210000000001"/>
    <n v="1"/>
    <n v="2405.1210000000001"/>
    <x v="0"/>
    <d v="2022-05-31T00:00:00"/>
    <n v="81"/>
    <d v="2022-08-20T00:00:00"/>
    <n v="-4"/>
    <s v="W34_2022"/>
    <x v="0"/>
  </r>
  <r>
    <x v="0"/>
    <x v="104"/>
    <n v="22124493"/>
    <x v="0"/>
    <s v="CH (Cheque)"/>
    <s v="II. Receipts form Clients - non matured"/>
    <s v="Cheque PF"/>
    <s v="Sales of batteries - local"/>
    <s v="P/BIAT+ARIANA-0001893"/>
    <s v="TND"/>
    <n v="1657.97"/>
    <n v="1"/>
    <n v="1657.97"/>
    <x v="0"/>
    <d v="2022-05-25T00:00:00"/>
    <n v="87"/>
    <d v="2022-08-20T00:00:00"/>
    <n v="-4"/>
    <s v="W34_2022"/>
    <x v="0"/>
  </r>
  <r>
    <x v="0"/>
    <x v="105"/>
    <n v="22124604"/>
    <x v="0"/>
    <s v="CH (Cheque)"/>
    <s v="II. Receipts form Clients - non matured"/>
    <s v="Cheque PF"/>
    <s v="Sales of batteries - local"/>
    <s v="P/STB+MEGRINE-0001968"/>
    <s v="TND"/>
    <n v="2185.2829999999999"/>
    <n v="1"/>
    <n v="2185.2829999999999"/>
    <x v="0"/>
    <d v="2022-06-11T00:00:00"/>
    <n v="70"/>
    <d v="2022-08-20T00:00:00"/>
    <n v="-4"/>
    <s v="W34_2022"/>
    <x v="0"/>
  </r>
  <r>
    <x v="0"/>
    <x v="106"/>
    <n v="22124654"/>
    <x v="0"/>
    <s v="CH (Cheque)"/>
    <s v="II. Receipts form Clients - non matured"/>
    <s v="Cheque PF"/>
    <s v="Sales of batteries - local"/>
    <s v="P/ATTJ+TN-3056679"/>
    <s v="TND"/>
    <n v="3783.79"/>
    <n v="1"/>
    <n v="3783.79"/>
    <x v="0"/>
    <d v="2022-06-17T00:00:00"/>
    <n v="64"/>
    <d v="2022-08-20T00:00:00"/>
    <n v="-4"/>
    <s v="W34_2022"/>
    <x v="0"/>
  </r>
  <r>
    <x v="0"/>
    <x v="107"/>
    <n v="22124707"/>
    <x v="0"/>
    <s v="CH (Cheque)"/>
    <s v="II. Receipts form Clients - non matured"/>
    <s v="Cheque PF"/>
    <s v="Sales of batteries - local"/>
    <s v="P/ATTJ BQ+BARRAKET ESS"/>
    <s v="TND"/>
    <n v="576.86900000000003"/>
    <n v="1"/>
    <n v="576.86900000000003"/>
    <x v="0"/>
    <d v="2022-06-23T00:00:00"/>
    <n v="58"/>
    <d v="2022-08-20T00:00:00"/>
    <n v="-4"/>
    <s v="W34_2022"/>
    <x v="0"/>
  </r>
  <r>
    <x v="0"/>
    <x v="108"/>
    <n v="22124805"/>
    <x v="0"/>
    <s v="CH (Cheque)"/>
    <s v="II. Receipts form Clients - non matured"/>
    <s v="Cheque PF"/>
    <s v="Sales of batteries - local"/>
    <s v="P/STB+TN-0006082"/>
    <s v="TND"/>
    <n v="1215.9000000000001"/>
    <n v="1"/>
    <n v="1215.9000000000001"/>
    <x v="0"/>
    <d v="2022-06-30T00:00:00"/>
    <n v="51"/>
    <d v="2022-08-20T00:00:00"/>
    <n v="-4"/>
    <s v="W34_2022"/>
    <x v="0"/>
  </r>
  <r>
    <x v="0"/>
    <x v="109"/>
    <n v="22124767"/>
    <x v="0"/>
    <s v="CH (Cheque)"/>
    <s v="II. Receipts form Clients - non matured"/>
    <s v="Cheque PF"/>
    <s v="Sales of batteries - local"/>
    <s v="P/BIAT+MEL JEMIL-00022"/>
    <s v="TND"/>
    <n v="2308.7669999999998"/>
    <n v="1"/>
    <n v="2308.7669999999998"/>
    <x v="0"/>
    <d v="2022-06-28T00:00:00"/>
    <n v="53"/>
    <d v="2022-08-20T00:00:00"/>
    <n v="-4"/>
    <s v="W34_2022"/>
    <x v="0"/>
  </r>
  <r>
    <x v="0"/>
    <x v="110"/>
    <n v="22124776"/>
    <x v="0"/>
    <s v="CH (Cheque)"/>
    <s v="II. Receipts form Clients - non matured"/>
    <s v="Cheque PF"/>
    <s v="Sales of batteries - local"/>
    <s v="P/BT+HAMMAM LIF-876692"/>
    <s v="TND"/>
    <n v="828.98400000000004"/>
    <n v="1"/>
    <n v="828.98400000000004"/>
    <x v="0"/>
    <d v="2022-06-29T00:00:00"/>
    <n v="52"/>
    <d v="2022-08-20T00:00:00"/>
    <n v="-4"/>
    <s v="W34_2022"/>
    <x v="0"/>
  </r>
  <r>
    <x v="0"/>
    <x v="111"/>
    <n v="22124933"/>
    <x v="0"/>
    <s v="CH (Cheque)"/>
    <s v="II. Receipts form Clients - non matured"/>
    <s v="Cheque PF"/>
    <s v="Sales of batteries - local"/>
    <s v="P/BH+TN-2352273"/>
    <s v="TND"/>
    <n v="4494.7370000000001"/>
    <n v="1"/>
    <n v="4494.7370000000001"/>
    <x v="0"/>
    <d v="2022-07-28T00:00:00"/>
    <n v="23"/>
    <d v="2022-08-20T00:00:00"/>
    <n v="-4"/>
    <s v="W34_2022"/>
    <x v="0"/>
  </r>
  <r>
    <x v="0"/>
    <x v="112"/>
    <n v="22301375"/>
    <x v="0"/>
    <s v="CH (Cheque)"/>
    <s v="II. Receipts form Clients - non matured"/>
    <s v="Cheque PF"/>
    <s v="Sales of batteries - local"/>
    <s v="P/BIAT+SFAX-0001548"/>
    <s v="TND"/>
    <n v="1350"/>
    <n v="1"/>
    <n v="1350"/>
    <x v="0"/>
    <d v="2022-04-20T00:00:00"/>
    <n v="122"/>
    <d v="2022-08-20T00:00:00"/>
    <n v="-4"/>
    <s v="W34_2022"/>
    <x v="0"/>
  </r>
  <r>
    <x v="0"/>
    <x v="12"/>
    <n v="22301309"/>
    <x v="0"/>
    <s v="CH (Cheque)"/>
    <s v="II. Receipts form Clients - non matured"/>
    <s v="Cheque PF"/>
    <s v="Sales of batteries - local"/>
    <s v="D/BIAT+BIR ALI-0002997"/>
    <s v="TND"/>
    <n v="3900"/>
    <n v="1"/>
    <n v="3900"/>
    <x v="0"/>
    <d v="2022-04-06T00:00:00"/>
    <n v="136"/>
    <d v="2022-08-20T00:00:00"/>
    <n v="-4"/>
    <s v="W34_2022"/>
    <x v="0"/>
  </r>
  <r>
    <x v="0"/>
    <x v="4"/>
    <n v="22301481"/>
    <x v="0"/>
    <s v="CH (Cheque)"/>
    <s v="II. Receipts form Clients - non matured"/>
    <s v="Cheque PF"/>
    <s v="Sales of batteries - local"/>
    <s v="D/BNA+CHEBBA-5136639"/>
    <s v="TND"/>
    <n v="1000"/>
    <n v="1"/>
    <n v="1000"/>
    <x v="0"/>
    <d v="2022-05-23T00:00:00"/>
    <n v="89"/>
    <d v="2022-08-20T00:00:00"/>
    <n v="-4"/>
    <s v="W34_2022"/>
    <x v="0"/>
  </r>
  <r>
    <x v="0"/>
    <x v="113"/>
    <n v="22301661"/>
    <x v="0"/>
    <s v="CH (Cheque)"/>
    <s v="II. Receipts form Clients - non matured"/>
    <s v="Cheque PF"/>
    <s v="Sales of batteries - local"/>
    <s v="D/ATB+CHORBEN-6393922"/>
    <s v="TND"/>
    <n v="3978.2869999999998"/>
    <n v="1"/>
    <n v="3978.2869999999998"/>
    <x v="0"/>
    <d v="2022-07-07T00:00:00"/>
    <n v="44"/>
    <d v="2022-08-20T00:00:00"/>
    <n v="-4"/>
    <s v="W34_2022"/>
    <x v="0"/>
  </r>
  <r>
    <x v="0"/>
    <x v="114"/>
    <n v="22301540"/>
    <x v="0"/>
    <s v="CH (Cheque)"/>
    <s v="II. Receipts form Clients - non matured"/>
    <s v="Cheque PF"/>
    <s v="Sales of batteries - local"/>
    <s v="P/UBCI+SFAX-8499439"/>
    <s v="TND"/>
    <n v="999.76099999999997"/>
    <n v="1"/>
    <n v="999.76099999999997"/>
    <x v="0"/>
    <d v="2022-06-03T00:00:00"/>
    <n v="78"/>
    <d v="2022-08-20T00:00:00"/>
    <n v="-4"/>
    <s v="W34_2022"/>
    <x v="0"/>
  </r>
  <r>
    <x v="0"/>
    <x v="115"/>
    <n v="22301510"/>
    <x v="0"/>
    <s v="CH (Cheque)"/>
    <s v="II. Receipts form Clients - non matured"/>
    <s v="Cheque PF"/>
    <s v="Sales of batteries - local"/>
    <s v="P/UIB+SFAX-0249305"/>
    <s v="TND"/>
    <n v="465"/>
    <n v="1"/>
    <n v="465"/>
    <x v="0"/>
    <d v="2022-05-27T00:00:00"/>
    <n v="85"/>
    <d v="2022-08-20T00:00:00"/>
    <n v="-4"/>
    <s v="W34_2022"/>
    <x v="0"/>
  </r>
  <r>
    <x v="0"/>
    <x v="116"/>
    <n v="22301558"/>
    <x v="0"/>
    <s v="CH (Cheque)"/>
    <s v="II. Receipts form Clients - non matured"/>
    <s v="Cheque PF"/>
    <s v="Sales of batteries - local"/>
    <s v="D/UBCI+MAHRES-8282650"/>
    <s v="TND"/>
    <n v="5000"/>
    <n v="1"/>
    <n v="5000"/>
    <x v="0"/>
    <d v="2022-06-14T00:00:00"/>
    <n v="67"/>
    <d v="2022-08-20T00:00:00"/>
    <n v="-4"/>
    <s v="W34_2022"/>
    <x v="0"/>
  </r>
  <r>
    <x v="0"/>
    <x v="117"/>
    <n v="22301662"/>
    <x v="0"/>
    <s v="CH (Cheque)"/>
    <s v="II. Receipts form Clients - non matured"/>
    <s v="Cheque PF"/>
    <s v="Sales of batteries - local"/>
    <s v="P/UIB+SFAX-1756463"/>
    <s v="TND"/>
    <n v="2000"/>
    <n v="1"/>
    <n v="2000"/>
    <x v="0"/>
    <d v="2022-07-07T00:00:00"/>
    <n v="44"/>
    <d v="2022-08-20T00:00:00"/>
    <n v="-4"/>
    <s v="W34_2022"/>
    <x v="0"/>
  </r>
  <r>
    <x v="0"/>
    <x v="118"/>
    <n v="22301588"/>
    <x v="0"/>
    <s v="CH (Cheque)"/>
    <s v="II. Receipts form Clients - non matured"/>
    <s v="Cheque PF"/>
    <s v="Sales of batteries - local"/>
    <s v="P/BZ+SFAX-4002978"/>
    <s v="TND"/>
    <n v="5291.4040000000005"/>
    <n v="1"/>
    <n v="5291.4040000000005"/>
    <x v="0"/>
    <d v="2022-06-27T00:00:00"/>
    <n v="54"/>
    <d v="2022-08-20T00:00:00"/>
    <n v="-4"/>
    <s v="W34_2022"/>
    <x v="0"/>
  </r>
  <r>
    <x v="0"/>
    <x v="27"/>
    <n v="22301698"/>
    <x v="0"/>
    <s v="CH (Cheque)"/>
    <s v="II. Receipts form Clients - non matured"/>
    <s v="Cheque PF"/>
    <s v="Sales of batteries - local"/>
    <s v="P/PT+SFAX-2230883"/>
    <s v="TND"/>
    <n v="1959.8610000000001"/>
    <n v="1"/>
    <n v="1959.8610000000001"/>
    <x v="0"/>
    <d v="2022-07-20T00:00:00"/>
    <n v="31"/>
    <d v="2022-08-20T00:00:00"/>
    <n v="-4"/>
    <s v="W34_2022"/>
    <x v="0"/>
  </r>
  <r>
    <x v="0"/>
    <x v="119"/>
    <n v="22301708"/>
    <x v="0"/>
    <s v="CH (Cheque)"/>
    <s v="II. Receipts form Clients - non matured"/>
    <s v="Cheque PF"/>
    <s v="Sales of batteries - local"/>
    <s v="P/UIB+SFAX-1729417"/>
    <s v="TND"/>
    <n v="500"/>
    <n v="1"/>
    <n v="500"/>
    <x v="0"/>
    <d v="2022-07-22T00:00:00"/>
    <n v="29"/>
    <d v="2022-08-20T00:00:00"/>
    <n v="-4"/>
    <s v="W34_2022"/>
    <x v="0"/>
  </r>
  <r>
    <x v="0"/>
    <x v="120"/>
    <n v="22401307"/>
    <x v="0"/>
    <s v="CH (Cheque)"/>
    <s v="II. Receipts form Clients - non matured"/>
    <s v="Cheque PF"/>
    <s v="Sales of batteries - local"/>
    <s v="D/BNA+TEBOULBA-4533563"/>
    <s v="TND"/>
    <n v="1995.6310000000001"/>
    <n v="1"/>
    <n v="1995.6310000000001"/>
    <x v="0"/>
    <d v="2022-04-20T00:00:00"/>
    <n v="123"/>
    <d v="2022-08-21T00:00:00"/>
    <n v="-5"/>
    <s v="W34_2022"/>
    <x v="0"/>
  </r>
  <r>
    <x v="0"/>
    <x v="121"/>
    <n v="22301503"/>
    <x v="0"/>
    <s v="CH (Cheque)"/>
    <s v="II. Receipts form Clients - non matured"/>
    <s v="Cheque PF"/>
    <s v="Sales of batteries - local"/>
    <s v="P/BNA+CHRARDA-5316558"/>
    <s v="TND"/>
    <n v="885.06200000000001"/>
    <n v="1"/>
    <n v="885.06200000000001"/>
    <x v="0"/>
    <d v="2022-05-26T00:00:00"/>
    <n v="87"/>
    <d v="2022-08-21T00:00:00"/>
    <n v="-5"/>
    <s v="W34_2022"/>
    <x v="0"/>
  </r>
  <r>
    <x v="0"/>
    <x v="121"/>
    <n v="22301614"/>
    <x v="0"/>
    <s v="CH (Cheque)"/>
    <s v="II. Receipts form Clients - non matured"/>
    <s v="Cheque PF"/>
    <s v="Sales of batteries - local"/>
    <s v="D/BNA+CHRARDA-5316603"/>
    <s v="TND"/>
    <n v="1155"/>
    <n v="1"/>
    <n v="1155"/>
    <x v="0"/>
    <d v="2022-06-30T00:00:00"/>
    <n v="52"/>
    <d v="2022-08-21T00:00:00"/>
    <n v="-5"/>
    <s v="W34_2022"/>
    <x v="0"/>
  </r>
  <r>
    <x v="0"/>
    <x v="122"/>
    <n v="22801320"/>
    <x v="0"/>
    <s v="CH (Cheque)"/>
    <s v="II. Receipts form Clients - non matured"/>
    <s v="Cheque PF"/>
    <s v="Sales of batteries - local"/>
    <s v="P/BIAT+TESTOUR-0000613"/>
    <s v="TND"/>
    <n v="1500"/>
    <n v="1"/>
    <n v="1500"/>
    <x v="0"/>
    <d v="2022-06-21T00:00:00"/>
    <n v="62"/>
    <d v="2022-08-22T00:00:00"/>
    <n v="-6"/>
    <s v="W34_2022"/>
    <x v="0"/>
  </r>
  <r>
    <x v="0"/>
    <x v="74"/>
    <n v="22401369"/>
    <x v="0"/>
    <s v="CH (Cheque)"/>
    <s v="II. Receipts form Clients - non matured"/>
    <s v="Cheque PF"/>
    <s v="Sales of batteries - local"/>
    <s v="D/BIAT+MONASTIR-000766"/>
    <s v="TND"/>
    <n v="1500"/>
    <n v="1"/>
    <n v="1500"/>
    <x v="0"/>
    <d v="2022-05-16T00:00:00"/>
    <n v="98"/>
    <d v="2022-08-22T00:00:00"/>
    <n v="-6"/>
    <s v="W34_2022"/>
    <x v="0"/>
  </r>
  <r>
    <x v="0"/>
    <x v="13"/>
    <n v="22401501"/>
    <x v="0"/>
    <s v="CH (Cheque)"/>
    <s v="II. Receipts form Clients - non matured"/>
    <s v="Cheque PF"/>
    <s v="Sales of batteries - local"/>
    <s v="D/AMEN+MOKNINE-1334471"/>
    <s v="TND"/>
    <n v="5500"/>
    <n v="1"/>
    <n v="5500"/>
    <x v="0"/>
    <d v="2022-06-23T00:00:00"/>
    <n v="60"/>
    <d v="2022-08-22T00:00:00"/>
    <n v="-6"/>
    <s v="W34_2022"/>
    <x v="0"/>
  </r>
  <r>
    <x v="0"/>
    <x v="75"/>
    <n v="22124353"/>
    <x v="0"/>
    <s v="CH (Cheque)"/>
    <s v="II. Receipts form Clients - non matured"/>
    <s v="Cheque PF"/>
    <s v="Sales of batteries - local"/>
    <s v="P/STB+KELIBIA-0008013"/>
    <s v="TND"/>
    <n v="895"/>
    <n v="1"/>
    <n v="895"/>
    <x v="0"/>
    <d v="2022-04-28T00:00:00"/>
    <n v="116"/>
    <d v="2022-08-22T00:00:00"/>
    <n v="-6"/>
    <s v="W34_2022"/>
    <x v="0"/>
  </r>
  <r>
    <x v="0"/>
    <x v="7"/>
    <n v="22124373"/>
    <x v="0"/>
    <s v="CH (Cheque)"/>
    <s v="II. Receipts form Clients - non matured"/>
    <s v="Cheque PF"/>
    <s v="Sales of batteries - local"/>
    <s v="P/BIAT+RAOUED-0003479"/>
    <s v="TND"/>
    <n v="963.80100000000004"/>
    <n v="1"/>
    <n v="963.80100000000004"/>
    <x v="0"/>
    <d v="2022-05-09T00:00:00"/>
    <n v="105"/>
    <d v="2022-08-22T00:00:00"/>
    <n v="-6"/>
    <s v="W34_2022"/>
    <x v="0"/>
  </r>
  <r>
    <x v="0"/>
    <x v="12"/>
    <n v="22301310"/>
    <x v="0"/>
    <s v="CH (Cheque)"/>
    <s v="II. Receipts form Clients - non matured"/>
    <s v="Cheque PF"/>
    <s v="Sales of batteries - local"/>
    <s v="D/BIAT+BIR ALI-0002996"/>
    <s v="TND"/>
    <n v="3900"/>
    <n v="1"/>
    <n v="3900"/>
    <x v="0"/>
    <d v="2022-04-06T00:00:00"/>
    <n v="138"/>
    <d v="2022-08-22T00:00:00"/>
    <n v="-6"/>
    <s v="W34_2022"/>
    <x v="0"/>
  </r>
  <r>
    <x v="0"/>
    <x v="123"/>
    <n v="22601346"/>
    <x v="0"/>
    <s v="CH (Cheque)"/>
    <s v="II. Receipts form Clients - non matured"/>
    <s v="Cheque PF"/>
    <s v="Sales of batteries - local"/>
    <s v="P/BH+TATOUINE-1916532"/>
    <s v="TND"/>
    <n v="2500"/>
    <n v="1"/>
    <n v="2500"/>
    <x v="0"/>
    <d v="2022-06-13T00:00:00"/>
    <n v="71"/>
    <d v="2022-08-23T00:00:00"/>
    <n v="-7"/>
    <s v="W34_2022"/>
    <x v="0"/>
  </r>
  <r>
    <x v="0"/>
    <x v="31"/>
    <n v="22701249"/>
    <x v="0"/>
    <s v="CH (Cheque)"/>
    <s v="II. Receipts form Clients - non matured"/>
    <s v="Cheque PF"/>
    <s v="Sales of batteries - local"/>
    <s v="P/BIAT+GAFSA-0000280"/>
    <s v="TND"/>
    <n v="17000"/>
    <n v="1"/>
    <n v="17000"/>
    <x v="0"/>
    <d v="2022-07-21T00:00:00"/>
    <n v="33"/>
    <d v="2022-08-23T00:00:00"/>
    <n v="-7"/>
    <s v="W34_2022"/>
    <x v="0"/>
  </r>
  <r>
    <x v="0"/>
    <x v="75"/>
    <n v="22124352"/>
    <x v="0"/>
    <s v="CH (Cheque)"/>
    <s v="II. Receipts form Clients - non matured"/>
    <s v="Cheque PF"/>
    <s v="Sales of batteries - local"/>
    <s v="P/STB+KELIBIA-0008014"/>
    <s v="TND"/>
    <n v="890"/>
    <n v="1"/>
    <n v="890"/>
    <x v="0"/>
    <d v="2022-04-28T00:00:00"/>
    <n v="117"/>
    <d v="2022-08-23T00:00:00"/>
    <n v="-7"/>
    <s v="W34_2022"/>
    <x v="0"/>
  </r>
  <r>
    <x v="0"/>
    <x v="124"/>
    <n v="22124748"/>
    <x v="0"/>
    <s v="CH (Cheque)"/>
    <s v="II. Receipts form Clients - non matured"/>
    <s v="Cheque PF"/>
    <s v="Sales of batteries - local"/>
    <s v="P/BNA+BOUARGOUB-558518"/>
    <s v="TND"/>
    <n v="4179.0479999999998"/>
    <n v="1"/>
    <n v="4179.0479999999998"/>
    <x v="0"/>
    <d v="2022-06-27T00:00:00"/>
    <n v="57"/>
    <d v="2022-08-23T00:00:00"/>
    <n v="-7"/>
    <s v="W34_2022"/>
    <x v="0"/>
  </r>
  <r>
    <x v="0"/>
    <x v="77"/>
    <n v="22301319"/>
    <x v="0"/>
    <s v="CH (Cheque)"/>
    <s v="II. Receipts form Clients - non matured"/>
    <s v="Cheque PF"/>
    <s v="Sales of batteries - local"/>
    <s v="P/BH+SFAX-1479976"/>
    <s v="TND"/>
    <n v="1583"/>
    <n v="1"/>
    <n v="1583"/>
    <x v="0"/>
    <d v="2022-04-07T00:00:00"/>
    <n v="138"/>
    <d v="2022-08-23T00:00:00"/>
    <n v="-7"/>
    <s v="W34_2022"/>
    <x v="0"/>
  </r>
  <r>
    <x v="0"/>
    <x v="125"/>
    <n v="22301405"/>
    <x v="0"/>
    <s v="CH (Cheque)"/>
    <s v="II. Receipts form Clients - non matured"/>
    <s v="Cheque PF"/>
    <s v="Sales of batteries - local"/>
    <s v="P/BIAT+SFAX-0007359"/>
    <s v="TND"/>
    <n v="830"/>
    <n v="1"/>
    <n v="830"/>
    <x v="0"/>
    <d v="2022-04-27T00:00:00"/>
    <n v="118"/>
    <d v="2022-08-23T00:00:00"/>
    <n v="-7"/>
    <s v="W34_2022"/>
    <x v="0"/>
  </r>
  <r>
    <x v="0"/>
    <x v="34"/>
    <n v="22801262"/>
    <x v="0"/>
    <s v="CH (Cheque)"/>
    <s v="II. Receipts form Clients - non matured"/>
    <s v="Cheque PF"/>
    <s v="Sales of batteries - local"/>
    <s v="P/BNA+BEJA-5352859"/>
    <s v="TND"/>
    <n v="1565"/>
    <n v="1"/>
    <n v="1565"/>
    <x v="0"/>
    <d v="2022-05-31T00:00:00"/>
    <n v="85"/>
    <d v="2022-08-24T00:00:00"/>
    <n v="-8"/>
    <s v="W34_2022"/>
    <x v="0"/>
  </r>
  <r>
    <x v="0"/>
    <x v="126"/>
    <n v="22124501"/>
    <x v="0"/>
    <s v="CH (Cheque)"/>
    <s v="II. Receipts form Clients - non matured"/>
    <s v="Cheque PF"/>
    <s v="Sales of batteries - local"/>
    <s v="P/BNA+MEL TEMIME-54252"/>
    <s v="TND"/>
    <n v="1010.098"/>
    <n v="1"/>
    <n v="1010.098"/>
    <x v="0"/>
    <d v="2022-05-25T00:00:00"/>
    <n v="91"/>
    <d v="2022-08-24T00:00:00"/>
    <n v="-8"/>
    <s v="W34_2022"/>
    <x v="0"/>
  </r>
  <r>
    <x v="0"/>
    <x v="127"/>
    <n v="22124497"/>
    <x v="0"/>
    <s v="CH (Cheque)"/>
    <s v="II. Receipts form Clients - non matured"/>
    <s v="Cheque PF"/>
    <s v="Sales of batteries - local"/>
    <s v="P/BIAT+KELIBIA-0002219"/>
    <s v="TND"/>
    <n v="626.01"/>
    <n v="1"/>
    <n v="626.01"/>
    <x v="0"/>
    <d v="2022-05-25T00:00:00"/>
    <n v="91"/>
    <d v="2022-08-24T00:00:00"/>
    <n v="-8"/>
    <s v="W34_2022"/>
    <x v="0"/>
  </r>
  <r>
    <x v="0"/>
    <x v="12"/>
    <n v="22301311"/>
    <x v="0"/>
    <s v="CH (Cheque)"/>
    <s v="II. Receipts form Clients - non matured"/>
    <s v="Cheque PF"/>
    <s v="Sales of batteries - local"/>
    <s v="D/BIAT+BIR ALI-0002995"/>
    <s v="TND"/>
    <n v="3900"/>
    <n v="1"/>
    <n v="3900"/>
    <x v="0"/>
    <d v="2022-04-06T00:00:00"/>
    <n v="140"/>
    <d v="2022-08-24T00:00:00"/>
    <n v="-8"/>
    <s v="W34_2022"/>
    <x v="0"/>
  </r>
  <r>
    <x v="0"/>
    <x v="85"/>
    <n v="22301725"/>
    <x v="0"/>
    <s v="CH (Cheque)"/>
    <s v="II. Receipts form Clients - non matured"/>
    <s v="Cheque PF"/>
    <s v="Sales of batteries - local"/>
    <s v="P/STB+SAKIET EDAYER-00"/>
    <s v="TND"/>
    <n v="650"/>
    <n v="1"/>
    <n v="650"/>
    <x v="0"/>
    <d v="2022-07-29T00:00:00"/>
    <n v="27"/>
    <d v="2022-08-25T00:00:00"/>
    <n v="-9"/>
    <s v="W34_2022"/>
    <x v="0"/>
  </r>
  <r>
    <x v="0"/>
    <x v="128"/>
    <n v="22601458"/>
    <x v="0"/>
    <s v="CH (Cheque)"/>
    <s v="II. Receipts form Clients - non matured"/>
    <s v="Cheque PF"/>
    <s v="Sales of batteries - local"/>
    <s v="P/BZ+DJERBA-4000209"/>
    <s v="TND"/>
    <n v="1319.692"/>
    <n v="1"/>
    <n v="1319.692"/>
    <x v="0"/>
    <d v="2022-07-26T00:00:00"/>
    <n v="30"/>
    <d v="2022-08-25T00:00:00"/>
    <n v="-9"/>
    <s v="W34_2022"/>
    <x v="0"/>
  </r>
  <r>
    <x v="0"/>
    <x v="129"/>
    <n v="22601327"/>
    <x v="0"/>
    <s v="CH (Cheque)"/>
    <s v="II. Receipts form Clients - non matured"/>
    <s v="Cheque PF"/>
    <s v="Sales of batteries - local"/>
    <s v="P/BZ+MEDNINE-4000553"/>
    <s v="TND"/>
    <n v="1067.2280000000001"/>
    <n v="1"/>
    <n v="1067.2280000000001"/>
    <x v="0"/>
    <d v="2022-06-01T00:00:00"/>
    <n v="85"/>
    <d v="2022-08-25T00:00:00"/>
    <n v="-9"/>
    <s v="W34_2022"/>
    <x v="0"/>
  </r>
  <r>
    <x v="0"/>
    <x v="14"/>
    <n v="22601270"/>
    <x v="0"/>
    <s v="CH (Cheque)"/>
    <s v="II. Receipts form Clients - non matured"/>
    <s v="Cheque PF"/>
    <s v="Sales of batteries - local"/>
    <s v="p/ubci+gabes-7427044"/>
    <s v="TND"/>
    <n v="1150"/>
    <n v="1"/>
    <n v="1150"/>
    <x v="0"/>
    <d v="2022-04-28T00:00:00"/>
    <n v="119"/>
    <d v="2022-08-25T00:00:00"/>
    <n v="-9"/>
    <s v="W34_2022"/>
    <x v="0"/>
  </r>
  <r>
    <x v="0"/>
    <x v="14"/>
    <n v="22601272"/>
    <x v="0"/>
    <s v="CH (Cheque)"/>
    <s v="II. Receipts form Clients - non matured"/>
    <s v="Cheque PF"/>
    <s v="Sales of batteries - local"/>
    <s v="p/ubci+gabes-7427043"/>
    <s v="TND"/>
    <n v="1150"/>
    <n v="1"/>
    <n v="1150"/>
    <x v="0"/>
    <d v="2022-04-28T00:00:00"/>
    <n v="119"/>
    <d v="2022-08-25T00:00:00"/>
    <n v="-9"/>
    <s v="W34_2022"/>
    <x v="0"/>
  </r>
  <r>
    <x v="0"/>
    <x v="14"/>
    <n v="22601278"/>
    <x v="0"/>
    <s v="CH (Cheque)"/>
    <s v="II. Receipts form Clients - non matured"/>
    <s v="Cheque PF"/>
    <s v="Sales of batteries - local"/>
    <s v="p/ubci+gabes-7427048"/>
    <s v="TND"/>
    <n v="901.22299999999996"/>
    <n v="1"/>
    <n v="901.22299999999996"/>
    <x v="0"/>
    <d v="2022-04-28T00:00:00"/>
    <n v="119"/>
    <d v="2022-08-25T00:00:00"/>
    <n v="-9"/>
    <s v="W34_2022"/>
    <x v="0"/>
  </r>
  <r>
    <x v="0"/>
    <x v="6"/>
    <n v="22401256"/>
    <x v="0"/>
    <s v="CH (Cheque)"/>
    <s v="II. Receipts form Clients - non matured"/>
    <s v="Cheque PF"/>
    <s v="Sales of batteries - local"/>
    <s v="D/BH+MOKNINE-1843838"/>
    <s v="TND"/>
    <n v="2000"/>
    <n v="1"/>
    <n v="2000"/>
    <x v="0"/>
    <d v="2022-03-28T00:00:00"/>
    <n v="150"/>
    <d v="2022-08-25T00:00:00"/>
    <n v="-9"/>
    <s v="W34_2022"/>
    <x v="0"/>
  </r>
  <r>
    <x v="0"/>
    <x v="74"/>
    <n v="22401370"/>
    <x v="0"/>
    <s v="CH (Cheque)"/>
    <s v="II. Receipts form Clients - non matured"/>
    <s v="Cheque PF"/>
    <s v="Sales of batteries - local"/>
    <s v="D/BIAT+MONASTIR-000766"/>
    <s v="TND"/>
    <n v="1500"/>
    <n v="1"/>
    <n v="1500"/>
    <x v="0"/>
    <d v="2022-05-16T00:00:00"/>
    <n v="101"/>
    <d v="2022-08-25T00:00:00"/>
    <n v="-9"/>
    <s v="W34_2022"/>
    <x v="0"/>
  </r>
  <r>
    <x v="0"/>
    <x v="130"/>
    <n v="22401428"/>
    <x v="0"/>
    <s v="CH (Cheque)"/>
    <s v="II. Receipts form Clients - non matured"/>
    <s v="Cheque PF"/>
    <s v="Sales of batteries - local"/>
    <s v="D/STB+MOKNINE-0003459"/>
    <s v="TND"/>
    <n v="2514.0450000000001"/>
    <n v="1"/>
    <n v="2514.0450000000001"/>
    <x v="0"/>
    <d v="2022-05-31T00:00:00"/>
    <n v="86"/>
    <d v="2022-08-25T00:00:00"/>
    <n v="-9"/>
    <s v="W34_2022"/>
    <x v="0"/>
  </r>
  <r>
    <x v="0"/>
    <x v="131"/>
    <n v="22401592"/>
    <x v="0"/>
    <s v="CH (Cheque)"/>
    <s v="II. Receipts form Clients - non matured"/>
    <s v="Cheque PF"/>
    <s v="Sales of batteries - local"/>
    <s v="P/BH+SOUSSE-5467147"/>
    <s v="TND"/>
    <n v="500"/>
    <n v="1"/>
    <n v="500"/>
    <x v="0"/>
    <d v="2022-07-15T00:00:00"/>
    <n v="41"/>
    <d v="2022-08-25T00:00:00"/>
    <n v="-9"/>
    <s v="W34_2022"/>
    <x v="0"/>
  </r>
  <r>
    <x v="0"/>
    <x v="0"/>
    <n v="22401558"/>
    <x v="0"/>
    <s v="CH (Cheque)"/>
    <s v="II. Receipts form Clients - non matured"/>
    <s v="Cheque PF"/>
    <s v="Sales of batteries - local"/>
    <s v="P/BT+SOUSSE-8560824"/>
    <s v="TND"/>
    <n v="383"/>
    <n v="1"/>
    <n v="383"/>
    <x v="0"/>
    <d v="2022-06-30T00:00:00"/>
    <n v="56"/>
    <d v="2022-08-25T00:00:00"/>
    <n v="-9"/>
    <s v="W34_2022"/>
    <x v="0"/>
  </r>
  <r>
    <x v="0"/>
    <x v="132"/>
    <n v="22124261"/>
    <x v="0"/>
    <s v="CH (Cheque)"/>
    <s v="II. Receipts form Clients - non matured"/>
    <s v="Cheque PF"/>
    <s v="Sales of batteries - local"/>
    <s v="P/BIAT+BEN AROUS-00026"/>
    <s v="TND"/>
    <n v="6673.2049999999999"/>
    <n v="1"/>
    <n v="6673.2049999999999"/>
    <x v="0"/>
    <d v="2022-04-19T00:00:00"/>
    <n v="128"/>
    <d v="2022-08-25T00:00:00"/>
    <n v="-9"/>
    <s v="W34_2022"/>
    <x v="0"/>
  </r>
  <r>
    <x v="0"/>
    <x v="75"/>
    <n v="22124354"/>
    <x v="0"/>
    <s v="CH (Cheque)"/>
    <s v="II. Receipts form Clients - non matured"/>
    <s v="Cheque PF"/>
    <s v="Sales of batteries - local"/>
    <s v="P/STB+KELIBIA-0008015"/>
    <s v="TND"/>
    <n v="885"/>
    <n v="1"/>
    <n v="885"/>
    <x v="0"/>
    <d v="2022-04-28T00:00:00"/>
    <n v="119"/>
    <d v="2022-08-25T00:00:00"/>
    <n v="-9"/>
    <s v="W34_2022"/>
    <x v="0"/>
  </r>
  <r>
    <x v="0"/>
    <x v="100"/>
    <n v="22124544"/>
    <x v="0"/>
    <s v="CH (Cheque)"/>
    <s v="II. Receipts form Clients - non matured"/>
    <s v="Cheque PF"/>
    <s v="Sales of batteries - local"/>
    <s v="P/BNA+TN-4912959"/>
    <s v="TND"/>
    <n v="1268.1400000000001"/>
    <n v="1"/>
    <n v="1268.1400000000001"/>
    <x v="0"/>
    <d v="2022-05-30T00:00:00"/>
    <n v="87"/>
    <d v="2022-08-25T00:00:00"/>
    <n v="-9"/>
    <s v="W34_2022"/>
    <x v="0"/>
  </r>
  <r>
    <x v="0"/>
    <x v="133"/>
    <n v="22124588"/>
    <x v="0"/>
    <s v="CH (Cheque)"/>
    <s v="II. Receipts form Clients - non matured"/>
    <s v="Cheque PF"/>
    <s v="Sales of batteries - local"/>
    <s v="P/TSB+MANOUBA-8823877"/>
    <s v="TND"/>
    <n v="10000"/>
    <n v="1"/>
    <n v="10000"/>
    <x v="0"/>
    <d v="2022-06-09T00:00:00"/>
    <n v="77"/>
    <d v="2022-08-25T00:00:00"/>
    <n v="-9"/>
    <s v="W34_2022"/>
    <x v="0"/>
  </r>
  <r>
    <x v="0"/>
    <x v="76"/>
    <n v="22124532"/>
    <x v="0"/>
    <s v="CH (Cheque)"/>
    <s v="II. Receipts form Clients - non matured"/>
    <s v="Cheque PF"/>
    <s v="Sales of batteries - local"/>
    <s v="p/bna+tunis-5403340"/>
    <s v="TND"/>
    <n v="1079.0889999999999"/>
    <n v="1"/>
    <n v="1079.0889999999999"/>
    <x v="0"/>
    <d v="2022-05-27T00:00:00"/>
    <n v="90"/>
    <d v="2022-08-25T00:00:00"/>
    <n v="-9"/>
    <s v="W34_2022"/>
    <x v="0"/>
  </r>
  <r>
    <x v="0"/>
    <x v="134"/>
    <n v="22124534"/>
    <x v="0"/>
    <s v="CH (Cheque)"/>
    <s v="II. Receipts form Clients - non matured"/>
    <s v="Cheque PF"/>
    <s v="Sales of batteries - local"/>
    <s v="P/STB+EL MOUROUJ-00036"/>
    <s v="TND"/>
    <n v="1318.029"/>
    <n v="1"/>
    <n v="1318.029"/>
    <x v="0"/>
    <d v="2022-05-30T00:00:00"/>
    <n v="87"/>
    <d v="2022-08-25T00:00:00"/>
    <n v="-9"/>
    <s v="W34_2022"/>
    <x v="0"/>
  </r>
  <r>
    <x v="0"/>
    <x v="45"/>
    <n v="22124648"/>
    <x v="0"/>
    <s v="CH (Cheque)"/>
    <s v="II. Receipts form Clients - non matured"/>
    <s v="Cheque PF"/>
    <s v="Sales of batteries - local"/>
    <s v="P/BT+GROMBALIA-8847508"/>
    <s v="TND"/>
    <n v="1610.8810000000001"/>
    <n v="1"/>
    <n v="1610.8810000000001"/>
    <x v="0"/>
    <d v="2022-06-16T00:00:00"/>
    <n v="70"/>
    <d v="2022-08-25T00:00:00"/>
    <n v="-9"/>
    <s v="W34_2022"/>
    <x v="0"/>
  </r>
  <r>
    <x v="0"/>
    <x v="135"/>
    <n v="22124704"/>
    <x v="0"/>
    <s v="CH (Cheque)"/>
    <s v="II. Receipts form Clients - non matured"/>
    <s v="Cheque PF"/>
    <s v="Sales of batteries - local"/>
    <s v="P/ATB+EZZAHRA-5897792"/>
    <s v="TND"/>
    <n v="1033.981"/>
    <n v="1"/>
    <n v="1033.981"/>
    <x v="0"/>
    <d v="2022-06-23T00:00:00"/>
    <n v="63"/>
    <d v="2022-08-25T00:00:00"/>
    <n v="-9"/>
    <s v="W34_2022"/>
    <x v="0"/>
  </r>
  <r>
    <x v="0"/>
    <x v="136"/>
    <n v="22124709"/>
    <x v="0"/>
    <s v="CH (Cheque)"/>
    <s v="II. Receipts form Clients - non matured"/>
    <s v="Cheque PF"/>
    <s v="Sales of batteries - local"/>
    <s v="P/UBCI+EL AOUINA-86780"/>
    <s v="TND"/>
    <n v="1956.922"/>
    <n v="1"/>
    <n v="1956.922"/>
    <x v="0"/>
    <d v="2022-06-24T00:00:00"/>
    <n v="62"/>
    <d v="2022-08-25T00:00:00"/>
    <n v="-9"/>
    <s v="W34_2022"/>
    <x v="0"/>
  </r>
  <r>
    <x v="0"/>
    <x v="137"/>
    <n v="22124737"/>
    <x v="0"/>
    <s v="CH (Cheque)"/>
    <s v="II. Receipts form Clients - non matured"/>
    <s v="Cheque PF"/>
    <s v="Sales of batteries - local"/>
    <s v="P/AMEN B+BEN AROUS-130"/>
    <s v="TND"/>
    <n v="600"/>
    <n v="1"/>
    <n v="600"/>
    <x v="0"/>
    <d v="2022-06-27T00:00:00"/>
    <n v="59"/>
    <d v="2022-08-25T00:00:00"/>
    <n v="-9"/>
    <s v="W34_2022"/>
    <x v="0"/>
  </r>
  <r>
    <x v="0"/>
    <x v="8"/>
    <n v="22301427"/>
    <x v="0"/>
    <s v="CH (Cheque)"/>
    <s v="II. Receipts form Clients - non matured"/>
    <s v="Cheque PF"/>
    <s v="Sales of batteries - local"/>
    <s v="P/BZ+SFAX-4000685"/>
    <s v="TND"/>
    <n v="6200"/>
    <n v="1"/>
    <n v="6200"/>
    <x v="0"/>
    <d v="2022-05-05T00:00:00"/>
    <n v="112"/>
    <d v="2022-08-25T00:00:00"/>
    <n v="-9"/>
    <s v="W34_2022"/>
    <x v="0"/>
  </r>
  <r>
    <x v="0"/>
    <x v="138"/>
    <n v="22301520"/>
    <x v="0"/>
    <s v="CH (Cheque)"/>
    <s v="II. Receipts form Clients - non matured"/>
    <s v="Cheque PF"/>
    <s v="Sales of batteries - local"/>
    <s v="D/UIB+CHEBBA-1037810"/>
    <s v="TND"/>
    <n v="2000"/>
    <n v="1"/>
    <n v="2000"/>
    <x v="0"/>
    <d v="2022-05-31T00:00:00"/>
    <n v="86"/>
    <d v="2022-08-25T00:00:00"/>
    <n v="-9"/>
    <s v="W34_2022"/>
    <x v="0"/>
  </r>
  <r>
    <x v="0"/>
    <x v="139"/>
    <n v="22301553"/>
    <x v="0"/>
    <s v="CH (Cheque)"/>
    <s v="II. Receipts form Clients - non matured"/>
    <s v="Cheque PF"/>
    <s v="Sales of batteries - local"/>
    <s v="P/BNA+SFAX-5462949"/>
    <s v="TND"/>
    <n v="1804.2639999999999"/>
    <n v="1"/>
    <n v="1804.2639999999999"/>
    <x v="0"/>
    <d v="2022-06-13T00:00:00"/>
    <n v="73"/>
    <d v="2022-08-25T00:00:00"/>
    <n v="-9"/>
    <s v="W34_2022"/>
    <x v="0"/>
  </r>
  <r>
    <x v="0"/>
    <x v="140"/>
    <n v="22301530"/>
    <x v="0"/>
    <s v="CH (Cheque)"/>
    <s v="II. Receipts form Clients - non matured"/>
    <s v="Cheque PF"/>
    <s v="Sales of batteries - local"/>
    <s v="P/BIAT+SFAX-0001846"/>
    <s v="TND"/>
    <n v="192.114"/>
    <n v="1"/>
    <n v="192.114"/>
    <x v="0"/>
    <d v="2022-06-01T00:00:00"/>
    <n v="85"/>
    <d v="2022-08-25T00:00:00"/>
    <n v="-9"/>
    <s v="W34_2022"/>
    <x v="0"/>
  </r>
  <r>
    <x v="0"/>
    <x v="114"/>
    <n v="22301622"/>
    <x v="0"/>
    <s v="CH (Cheque)"/>
    <s v="II. Receipts form Clients - non matured"/>
    <s v="Cheque PF"/>
    <s v="Sales of batteries - local"/>
    <s v="P/UBCI+SFAX-8499458"/>
    <s v="TND"/>
    <n v="207.00700000000001"/>
    <n v="1"/>
    <n v="207.00700000000001"/>
    <x v="0"/>
    <d v="2022-06-30T00:00:00"/>
    <n v="56"/>
    <d v="2022-08-25T00:00:00"/>
    <n v="-9"/>
    <s v="W34_2022"/>
    <x v="0"/>
  </r>
  <r>
    <x v="0"/>
    <x v="141"/>
    <n v="22401645"/>
    <x v="0"/>
    <s v="CH (Cheque)"/>
    <s v="II. Receipts form Clients - non matured"/>
    <s v="Cheque PF"/>
    <s v="Sales of batteries - local"/>
    <s v="D/BIAT+TEBOULBA-000233"/>
    <s v="TND"/>
    <n v="1914.8409999999999"/>
    <n v="1"/>
    <n v="1914.8409999999999"/>
    <x v="0"/>
    <d v="2022-07-28T00:00:00"/>
    <n v="29"/>
    <d v="2022-08-26T00:00:00"/>
    <n v="-10"/>
    <s v="W34_2022"/>
    <x v="0"/>
  </r>
  <r>
    <x v="0"/>
    <x v="83"/>
    <n v="22601294"/>
    <x v="0"/>
    <s v="CH (Cheque)"/>
    <s v="II. Receipts form Clients - non matured"/>
    <s v="Cheque PF"/>
    <s v="Sales of batteries - local"/>
    <s v="P/ATB+GABES-6021869"/>
    <s v="TND"/>
    <n v="1426.328"/>
    <n v="1"/>
    <n v="1426.328"/>
    <x v="0"/>
    <d v="2022-05-16T00:00:00"/>
    <n v="102"/>
    <d v="2022-08-26T00:00:00"/>
    <n v="-10"/>
    <s v="W34_2022"/>
    <x v="0"/>
  </r>
  <r>
    <x v="0"/>
    <x v="31"/>
    <n v="22701248"/>
    <x v="0"/>
    <s v="CH (Cheque)"/>
    <s v="II. Receipts form Clients - non matured"/>
    <s v="Cheque PF"/>
    <s v="Sales of batteries - local"/>
    <s v="P/BIAT+GAFSA-0000281"/>
    <s v="TND"/>
    <n v="20000"/>
    <n v="1"/>
    <n v="20000"/>
    <x v="0"/>
    <d v="2022-07-21T00:00:00"/>
    <n v="36"/>
    <d v="2022-08-26T00:00:00"/>
    <n v="-10"/>
    <s v="W34_2022"/>
    <x v="0"/>
  </r>
  <r>
    <x v="0"/>
    <x v="142"/>
    <n v="22801282"/>
    <x v="0"/>
    <s v="CH (Cheque)"/>
    <s v="II. Receipts form Clients - non matured"/>
    <s v="Cheque PF"/>
    <s v="Sales of batteries - local"/>
    <s v="P/BNA+ERROUHIA-5597843"/>
    <s v="TND"/>
    <n v="1940.299"/>
    <n v="1"/>
    <n v="1940.299"/>
    <x v="0"/>
    <d v="2022-06-07T00:00:00"/>
    <n v="80"/>
    <d v="2022-08-26T00:00:00"/>
    <n v="-10"/>
    <s v="W34_2022"/>
    <x v="0"/>
  </r>
  <r>
    <x v="0"/>
    <x v="13"/>
    <n v="22401502"/>
    <x v="0"/>
    <s v="CH (Cheque)"/>
    <s v="II. Receipts form Clients - non matured"/>
    <s v="Cheque PF"/>
    <s v="Sales of batteries - local"/>
    <s v="D/AMEN+MOKNINE-1334472"/>
    <s v="TND"/>
    <n v="5500"/>
    <n v="1"/>
    <n v="5500"/>
    <x v="0"/>
    <d v="2022-06-23T00:00:00"/>
    <n v="64"/>
    <d v="2022-08-26T00:00:00"/>
    <n v="-10"/>
    <s v="W34_2022"/>
    <x v="0"/>
  </r>
  <r>
    <x v="0"/>
    <x v="7"/>
    <n v="22124371"/>
    <x v="0"/>
    <s v="CH (Cheque)"/>
    <s v="II. Receipts form Clients - non matured"/>
    <s v="Cheque PF"/>
    <s v="Sales of batteries - local"/>
    <s v="P/BIAT+RAOUED-0003480"/>
    <s v="TND"/>
    <n v="963.80100000000004"/>
    <n v="1"/>
    <n v="963.80100000000004"/>
    <x v="0"/>
    <d v="2022-05-09T00:00:00"/>
    <n v="109"/>
    <d v="2022-08-26T00:00:00"/>
    <n v="-10"/>
    <s v="W34_2022"/>
    <x v="0"/>
  </r>
  <r>
    <x v="0"/>
    <x v="143"/>
    <n v="22124691"/>
    <x v="0"/>
    <s v="CH (Cheque)"/>
    <s v="II. Receipts form Clients - non matured"/>
    <s v="Cheque PF"/>
    <s v="Sales of batteries - local"/>
    <s v="P/BIAT+NABEUL-0002648"/>
    <s v="TND"/>
    <n v="1000"/>
    <n v="1"/>
    <n v="1000"/>
    <x v="0"/>
    <d v="2022-06-21T00:00:00"/>
    <n v="66"/>
    <d v="2022-08-26T00:00:00"/>
    <n v="-10"/>
    <s v="W34_2022"/>
    <x v="0"/>
  </r>
  <r>
    <x v="0"/>
    <x v="12"/>
    <n v="22301312"/>
    <x v="0"/>
    <s v="CH (Cheque)"/>
    <s v="II. Receipts form Clients - non matured"/>
    <s v="Cheque PF"/>
    <s v="Sales of batteries - local"/>
    <s v="D/BIAT+BIR ALI-0002993"/>
    <s v="TND"/>
    <n v="3900"/>
    <n v="1"/>
    <n v="3900"/>
    <x v="0"/>
    <d v="2022-04-06T00:00:00"/>
    <n v="142"/>
    <d v="2022-08-26T00:00:00"/>
    <n v="-10"/>
    <s v="W34_2022"/>
    <x v="0"/>
  </r>
  <r>
    <x v="0"/>
    <x v="79"/>
    <n v="22301460"/>
    <x v="0"/>
    <s v="CH (Cheque)"/>
    <s v="II. Receipts form Clients - non matured"/>
    <s v="Cheque PF"/>
    <s v="Sales of batteries - local"/>
    <s v="P/BH+SFAX-0845030"/>
    <s v="TND"/>
    <n v="1099.366"/>
    <n v="1"/>
    <n v="1099.366"/>
    <x v="0"/>
    <d v="2022-05-16T00:00:00"/>
    <n v="102"/>
    <d v="2022-08-26T00:00:00"/>
    <n v="-10"/>
    <s v="W34_2022"/>
    <x v="0"/>
  </r>
  <r>
    <x v="0"/>
    <x v="144"/>
    <n v="22401265"/>
    <x v="0"/>
    <s v="CH (Cheque)"/>
    <s v="II. Receipts form Clients - non matured"/>
    <s v="Cheque PF"/>
    <s v="Sales of batteries - local"/>
    <s v="P/UIB+SOUSSE-1052357"/>
    <s v="TND"/>
    <n v="10094.264999999999"/>
    <n v="1"/>
    <n v="10094.264999999999"/>
    <x v="0"/>
    <d v="2022-03-30T00:00:00"/>
    <n v="150"/>
    <d v="2022-08-27T00:00:00"/>
    <n v="-11"/>
    <s v="W35_2022"/>
    <x v="0"/>
  </r>
  <r>
    <x v="0"/>
    <x v="11"/>
    <n v="22401546"/>
    <x v="0"/>
    <s v="CH (Cheque)"/>
    <s v="II. Receipts form Clients - non matured"/>
    <s v="Cheque PF"/>
    <s v="Sales of batteries - local"/>
    <s v="D/BIAT+JEMMAL-0000431"/>
    <s v="TND"/>
    <n v="1540"/>
    <n v="1"/>
    <n v="1540"/>
    <x v="0"/>
    <d v="2022-06-30T00:00:00"/>
    <n v="58"/>
    <d v="2022-08-27T00:00:00"/>
    <n v="-11"/>
    <s v="W35_2022"/>
    <x v="0"/>
  </r>
  <r>
    <x v="0"/>
    <x v="145"/>
    <n v="22401566"/>
    <x v="0"/>
    <s v="CH (Cheque)"/>
    <s v="II. Receipts form Clients - non matured"/>
    <s v="Cheque PF"/>
    <s v="Sales of batteries - local"/>
    <s v="D/STB+TEBOULBA-0002615"/>
    <s v="TND"/>
    <n v="4015.3139999999999"/>
    <n v="1"/>
    <n v="4015.3139999999999"/>
    <x v="0"/>
    <d v="2022-06-30T00:00:00"/>
    <n v="58"/>
    <d v="2022-08-27T00:00:00"/>
    <n v="-11"/>
    <s v="W35_2022"/>
    <x v="0"/>
  </r>
  <r>
    <x v="0"/>
    <x v="75"/>
    <n v="22124355"/>
    <x v="0"/>
    <s v="CH (Cheque)"/>
    <s v="II. Receipts form Clients - non matured"/>
    <s v="Cheque PF"/>
    <s v="Sales of batteries - local"/>
    <s v="P/STB+KELIBIA-0008016"/>
    <s v="TND"/>
    <n v="880"/>
    <n v="1"/>
    <n v="880"/>
    <x v="0"/>
    <d v="2022-04-28T00:00:00"/>
    <n v="121"/>
    <d v="2022-08-27T00:00:00"/>
    <n v="-11"/>
    <s v="W35_2022"/>
    <x v="0"/>
  </r>
  <r>
    <x v="0"/>
    <x v="82"/>
    <n v="22124630"/>
    <x v="0"/>
    <s v="CH (Cheque)"/>
    <s v="II. Receipts form Clients - non matured"/>
    <s v="Cheque PF"/>
    <s v="Sales of batteries - local"/>
    <s v="P/UIB+SIDI BELHASSEN-1"/>
    <s v="TND"/>
    <n v="902.28700000000003"/>
    <n v="1"/>
    <n v="902.28700000000003"/>
    <x v="0"/>
    <d v="2022-06-15T00:00:00"/>
    <n v="73"/>
    <d v="2022-08-27T00:00:00"/>
    <n v="-11"/>
    <s v="W35_2022"/>
    <x v="0"/>
  </r>
  <r>
    <x v="0"/>
    <x v="146"/>
    <n v="22301479"/>
    <x v="0"/>
    <s v="CH (Cheque)"/>
    <s v="II. Receipts form Clients - non matured"/>
    <s v="Cheque PF"/>
    <s v="Sales of batteries - local"/>
    <s v="D/BNA+CHEBBA-5652146"/>
    <s v="TND"/>
    <n v="4279.473"/>
    <n v="1"/>
    <n v="4279.473"/>
    <x v="0"/>
    <d v="2022-05-23T00:00:00"/>
    <n v="96"/>
    <d v="2022-08-27T00:00:00"/>
    <n v="-11"/>
    <s v="W35_2022"/>
    <x v="0"/>
  </r>
  <r>
    <x v="0"/>
    <x v="115"/>
    <n v="22301632"/>
    <x v="0"/>
    <s v="CH (Cheque)"/>
    <s v="II. Receipts form Clients - non matured"/>
    <s v="Cheque PF"/>
    <s v="Sales of batteries - local"/>
    <s v="P/UIB+SFAX-2493040"/>
    <s v="TND"/>
    <n v="1670"/>
    <n v="1"/>
    <n v="1670"/>
    <x v="0"/>
    <d v="2022-06-30T00:00:00"/>
    <n v="58"/>
    <d v="2022-08-27T00:00:00"/>
    <n v="-11"/>
    <s v="W35_2022"/>
    <x v="0"/>
  </r>
  <r>
    <x v="0"/>
    <x v="147"/>
    <n v="22601336"/>
    <x v="0"/>
    <s v="CH (Cheque)"/>
    <s v="II. Receipts form Clients - non matured"/>
    <s v="Cheque PF"/>
    <s v="Sales of batteries - local"/>
    <s v="P/BIAT+DJERBA-0002258"/>
    <s v="TND"/>
    <n v="2150.1950000000002"/>
    <n v="1"/>
    <n v="2150.1950000000002"/>
    <x v="0"/>
    <d v="2022-06-01T00:00:00"/>
    <n v="88"/>
    <d v="2022-08-28T00:00:00"/>
    <n v="-12"/>
    <s v="W35_2022"/>
    <x v="0"/>
  </r>
  <r>
    <x v="0"/>
    <x v="148"/>
    <n v="22801273"/>
    <x v="0"/>
    <s v="CH (Cheque)"/>
    <s v="II. Receipts form Clients - non matured"/>
    <s v="Cheque PF"/>
    <s v="Sales of batteries - local"/>
    <s v="P/BNA+SERS-5025805"/>
    <s v="TND"/>
    <n v="1301.4169999999999"/>
    <n v="1"/>
    <n v="1301.4169999999999"/>
    <x v="0"/>
    <d v="2022-06-06T00:00:00"/>
    <n v="83"/>
    <d v="2022-08-28T00:00:00"/>
    <n v="-12"/>
    <s v="W35_2022"/>
    <x v="0"/>
  </r>
  <r>
    <x v="0"/>
    <x v="61"/>
    <n v="22124620"/>
    <x v="0"/>
    <s v="CH (Cheque)"/>
    <s v="II. Receipts form Clients - non matured"/>
    <s v="Cheque PF"/>
    <s v="Sales of batteries - local"/>
    <s v="P/ATB+BENI KHALLED-492"/>
    <s v="TND"/>
    <n v="1002.903"/>
    <n v="1"/>
    <n v="1002.903"/>
    <x v="0"/>
    <d v="2022-06-14T00:00:00"/>
    <n v="75"/>
    <d v="2022-08-28T00:00:00"/>
    <n v="-12"/>
    <s v="W35_2022"/>
    <x v="0"/>
  </r>
  <r>
    <x v="0"/>
    <x v="43"/>
    <n v="22124833"/>
    <x v="0"/>
    <s v="CH (Cheque)"/>
    <s v="II. Receipts form Clients - non matured"/>
    <s v="Cheque PF"/>
    <s v="Sales of batteries - local"/>
    <s v="P/UBCI+MEL BOUZELFA-69"/>
    <s v="TND"/>
    <n v="1408.7919999999999"/>
    <n v="1"/>
    <n v="1408.7919999999999"/>
    <x v="0"/>
    <d v="2022-07-12T00:00:00"/>
    <n v="47"/>
    <d v="2022-08-28T00:00:00"/>
    <n v="-12"/>
    <s v="W35_2022"/>
    <x v="0"/>
  </r>
  <r>
    <x v="0"/>
    <x v="149"/>
    <n v="22124906"/>
    <x v="0"/>
    <s v="CH (Cheque)"/>
    <s v="II. Receipts form Clients - non matured"/>
    <s v="Cheque PF"/>
    <s v="Sales of batteries - local"/>
    <s v="P/UIB+MATEUR-2248246"/>
    <s v="TND"/>
    <n v="4323.7529999999997"/>
    <n v="1"/>
    <n v="4323.7529999999997"/>
    <x v="0"/>
    <d v="2022-07-28T00:00:00"/>
    <n v="31"/>
    <d v="2022-08-28T00:00:00"/>
    <n v="-12"/>
    <s v="W35_2022"/>
    <x v="0"/>
  </r>
  <r>
    <x v="0"/>
    <x v="12"/>
    <n v="22301313"/>
    <x v="0"/>
    <s v="CH (Cheque)"/>
    <s v="II. Receipts form Clients - non matured"/>
    <s v="Cheque PF"/>
    <s v="Sales of batteries - local"/>
    <s v="D/BIAT+BIR ALI-0002992"/>
    <s v="TND"/>
    <n v="3900"/>
    <n v="1"/>
    <n v="3900"/>
    <x v="0"/>
    <d v="2022-04-06T00:00:00"/>
    <n v="144"/>
    <d v="2022-08-28T00:00:00"/>
    <n v="-12"/>
    <s v="W35_2022"/>
    <x v="0"/>
  </r>
  <r>
    <x v="0"/>
    <x v="138"/>
    <n v="22301740"/>
    <x v="0"/>
    <s v="CH (Cheque)"/>
    <s v="II. Receipts form Clients - non matured"/>
    <s v="Cheque PF"/>
    <s v="Sales of batteries - local"/>
    <s v="D/BIAT+SOUSSE-0003908"/>
    <s v="TND"/>
    <n v="3000"/>
    <n v="1"/>
    <n v="3000"/>
    <x v="0"/>
    <d v="2022-07-30T00:00:00"/>
    <n v="30"/>
    <d v="2022-08-29T00:00:00"/>
    <n v="-13"/>
    <s v="W35_2022"/>
    <x v="0"/>
  </r>
  <r>
    <x v="0"/>
    <x v="9"/>
    <n v="22601307"/>
    <x v="0"/>
    <s v="CH (Cheque)"/>
    <s v="II. Receipts form Clients - non matured"/>
    <s v="Cheque PF"/>
    <s v="Sales of batteries - local"/>
    <s v="P/BTL+GABES-2993912"/>
    <s v="TND"/>
    <n v="519"/>
    <n v="1"/>
    <n v="519"/>
    <x v="0"/>
    <d v="2022-05-23T00:00:00"/>
    <n v="98"/>
    <d v="2022-08-29T00:00:00"/>
    <n v="-13"/>
    <s v="W35_2022"/>
    <x v="0"/>
  </r>
  <r>
    <x v="0"/>
    <x v="29"/>
    <n v="22601396"/>
    <x v="0"/>
    <s v="CH (Cheque)"/>
    <s v="II. Receipts form Clients - non matured"/>
    <s v="Cheque PF"/>
    <s v="Sales of batteries - local"/>
    <s v="P/BIAT+ZERZIS-0003293"/>
    <s v="TND"/>
    <n v="750"/>
    <n v="1"/>
    <n v="750"/>
    <x v="0"/>
    <d v="2022-06-29T00:00:00"/>
    <n v="61"/>
    <d v="2022-08-29T00:00:00"/>
    <n v="-13"/>
    <s v="W35_2022"/>
    <x v="0"/>
  </r>
  <r>
    <x v="0"/>
    <x v="122"/>
    <n v="22801321"/>
    <x v="0"/>
    <s v="CH (Cheque)"/>
    <s v="II. Receipts form Clients - non matured"/>
    <s v="Cheque PF"/>
    <s v="Sales of batteries - local"/>
    <s v="P/BIAT+TESTOUR-0000614"/>
    <s v="TND"/>
    <n v="1500"/>
    <n v="1"/>
    <n v="1500"/>
    <x v="0"/>
    <d v="2022-06-21T00:00:00"/>
    <n v="69"/>
    <d v="2022-08-29T00:00:00"/>
    <n v="-13"/>
    <s v="W35_2022"/>
    <x v="0"/>
  </r>
  <r>
    <x v="0"/>
    <x v="34"/>
    <n v="22801263"/>
    <x v="0"/>
    <s v="CH (Cheque)"/>
    <s v="II. Receipts form Clients - non matured"/>
    <s v="Cheque PF"/>
    <s v="Sales of batteries - local"/>
    <s v="P/BNA+BEJA-5352858"/>
    <s v="TND"/>
    <n v="1560"/>
    <n v="1"/>
    <n v="1560"/>
    <x v="0"/>
    <d v="2022-05-31T00:00:00"/>
    <n v="90"/>
    <d v="2022-08-29T00:00:00"/>
    <n v="-13"/>
    <s v="W35_2022"/>
    <x v="0"/>
  </r>
  <r>
    <x v="0"/>
    <x v="74"/>
    <n v="22401160"/>
    <x v="0"/>
    <s v="CH (Cheque)"/>
    <s v="II. Receipts form Clients - non matured"/>
    <s v="Cheque PF"/>
    <s v="Sales of batteries - local"/>
    <s v="D/BIAT+MONASTIR-000750"/>
    <s v="TND"/>
    <n v="1500"/>
    <n v="1"/>
    <n v="1500"/>
    <x v="0"/>
    <d v="2022-02-24T00:00:00"/>
    <n v="186"/>
    <d v="2022-08-29T00:00:00"/>
    <n v="-13"/>
    <s v="W35_2022"/>
    <x v="0"/>
  </r>
  <r>
    <x v="0"/>
    <x v="62"/>
    <n v="22124398"/>
    <x v="0"/>
    <s v="CH (Cheque)"/>
    <s v="II. Receipts form Clients - non matured"/>
    <s v="Cheque PF"/>
    <s v="Sales of batteries - local"/>
    <s v="P/BTE+SFAX-6211742"/>
    <s v="TND"/>
    <n v="712.32899999999995"/>
    <n v="1"/>
    <n v="712.32899999999995"/>
    <x v="0"/>
    <d v="2022-05-13T00:00:00"/>
    <n v="108"/>
    <d v="2022-08-29T00:00:00"/>
    <n v="-13"/>
    <s v="W35_2022"/>
    <x v="0"/>
  </r>
  <r>
    <x v="0"/>
    <x v="150"/>
    <n v="22124667"/>
    <x v="0"/>
    <s v="CH (Cheque)"/>
    <s v="II. Receipts form Clients - non matured"/>
    <s v="Cheque PF"/>
    <s v="Sales of batteries - local"/>
    <s v="P/BT+BEN AROUS-9055451"/>
    <s v="TND"/>
    <n v="4439.0540000000001"/>
    <n v="1"/>
    <n v="4439.0540000000001"/>
    <x v="0"/>
    <d v="2022-06-20T00:00:00"/>
    <n v="70"/>
    <d v="2022-08-29T00:00:00"/>
    <n v="-13"/>
    <s v="W35_2022"/>
    <x v="0"/>
  </r>
  <r>
    <x v="0"/>
    <x v="146"/>
    <n v="22301455"/>
    <x v="0"/>
    <s v="CH (Cheque)"/>
    <s v="II. Receipts form Clients - non matured"/>
    <s v="Cheque PF"/>
    <s v="Sales of batteries - local"/>
    <s v="P/BNA+CHEBBA-5652122"/>
    <s v="TND"/>
    <n v="4260.1580000000004"/>
    <n v="1"/>
    <n v="4260.1580000000004"/>
    <x v="0"/>
    <d v="2022-05-15T00:00:00"/>
    <n v="106"/>
    <d v="2022-08-29T00:00:00"/>
    <n v="-13"/>
    <s v="W35_2022"/>
    <x v="0"/>
  </r>
  <r>
    <x v="0"/>
    <x v="151"/>
    <n v="22301675"/>
    <x v="0"/>
    <s v="CH (Cheque)"/>
    <s v="II. Receipts form Clients - non matured"/>
    <s v="Cheque PF"/>
    <s v="Sales of batteries - local"/>
    <s v="P/BNA+SFAX-5087567"/>
    <s v="TND"/>
    <n v="187.95"/>
    <n v="1"/>
    <n v="187.95"/>
    <x v="0"/>
    <d v="2022-07-14T00:00:00"/>
    <n v="46"/>
    <d v="2022-08-29T00:00:00"/>
    <n v="-13"/>
    <s v="W35_2022"/>
    <x v="0"/>
  </r>
  <r>
    <x v="0"/>
    <x v="48"/>
    <n v="22124993"/>
    <x v="0"/>
    <s v="CH (Cheque)"/>
    <s v="II. Receipts form Clients - non matured"/>
    <s v="Cheque PF"/>
    <s v="Sales of batteries - local"/>
    <s v="P/BIAT+TN-0004114"/>
    <s v="TND"/>
    <n v="1997.0889999999999"/>
    <n v="1"/>
    <n v="1997.0889999999999"/>
    <x v="0"/>
    <d v="2022-08-05T00:00:00"/>
    <n v="25"/>
    <d v="2022-08-30T00:00:00"/>
    <n v="-14"/>
    <s v="W35_2022"/>
    <x v="0"/>
  </r>
  <r>
    <x v="0"/>
    <x v="22"/>
    <n v="22401603"/>
    <x v="0"/>
    <s v="CH (Cheque)"/>
    <s v="II. Receipts form Clients - non matured"/>
    <s v="Cheque PF"/>
    <s v="Sales of batteries - local"/>
    <s v="D/BH+MAHDIA-2294986"/>
    <s v="TND"/>
    <n v="1800"/>
    <n v="1"/>
    <n v="1800"/>
    <x v="0"/>
    <d v="2022-07-20T00:00:00"/>
    <n v="41"/>
    <d v="2022-08-30T00:00:00"/>
    <n v="-14"/>
    <s v="W35_2022"/>
    <x v="0"/>
  </r>
  <r>
    <x v="0"/>
    <x v="123"/>
    <n v="22601347"/>
    <x v="0"/>
    <s v="CH (Cheque)"/>
    <s v="II. Receipts form Clients - non matured"/>
    <s v="Cheque PF"/>
    <s v="Sales of batteries - local"/>
    <s v="P/BH+TATOUINE-1916533"/>
    <s v="TND"/>
    <n v="2500"/>
    <n v="1"/>
    <n v="2500"/>
    <x v="0"/>
    <d v="2022-06-13T00:00:00"/>
    <n v="78"/>
    <d v="2022-08-30T00:00:00"/>
    <n v="-14"/>
    <s v="W35_2022"/>
    <x v="0"/>
  </r>
  <r>
    <x v="0"/>
    <x v="152"/>
    <n v="22601453"/>
    <x v="0"/>
    <s v="CH (Cheque)"/>
    <s v="II. Receipts form Clients - non matured"/>
    <s v="Cheque PF"/>
    <s v="Sales of batteries - local"/>
    <s v="P/BZ+GABES-4000381"/>
    <s v="TND"/>
    <n v="358.64100000000002"/>
    <n v="1"/>
    <n v="358.64100000000002"/>
    <x v="0"/>
    <d v="2022-07-21T00:00:00"/>
    <n v="40"/>
    <d v="2022-08-30T00:00:00"/>
    <n v="-14"/>
    <s v="W35_2022"/>
    <x v="0"/>
  </r>
  <r>
    <x v="0"/>
    <x v="153"/>
    <n v="22601367"/>
    <x v="0"/>
    <s v="CH (Cheque)"/>
    <s v="II. Receipts form Clients - non matured"/>
    <s v="Cheque PF"/>
    <s v="Sales of batteries - local"/>
    <s v="P/STB+GABES-0000006"/>
    <s v="TND"/>
    <n v="571.96699999999998"/>
    <n v="1"/>
    <n v="571.96699999999998"/>
    <x v="0"/>
    <d v="2022-06-15T00:00:00"/>
    <n v="76"/>
    <d v="2022-08-30T00:00:00"/>
    <n v="-14"/>
    <s v="W35_2022"/>
    <x v="0"/>
  </r>
  <r>
    <x v="0"/>
    <x v="154"/>
    <n v="22601380"/>
    <x v="0"/>
    <s v="CH (Cheque)"/>
    <s v="II. Receipts form Clients - non matured"/>
    <s v="Cheque PF"/>
    <s v="Sales of batteries - local"/>
    <s v="P/AMEN+GABES-9607556"/>
    <s v="TND"/>
    <n v="1258.951"/>
    <n v="1"/>
    <n v="1258.951"/>
    <x v="0"/>
    <d v="2022-06-24T00:00:00"/>
    <n v="67"/>
    <d v="2022-08-30T00:00:00"/>
    <n v="-14"/>
    <s v="W35_2022"/>
    <x v="0"/>
  </r>
  <r>
    <x v="0"/>
    <x v="155"/>
    <n v="22601339"/>
    <x v="0"/>
    <s v="CH (Cheque)"/>
    <s v="II. Receipts form Clients - non matured"/>
    <s v="Cheque PF"/>
    <s v="Sales of batteries - local"/>
    <s v="P/STB+TATOUINE-0000976"/>
    <s v="TND"/>
    <n v="2218.2849999999999"/>
    <n v="1"/>
    <n v="2218.2849999999999"/>
    <x v="0"/>
    <d v="2022-06-02T00:00:00"/>
    <n v="89"/>
    <d v="2022-08-30T00:00:00"/>
    <n v="-14"/>
    <s v="W35_2022"/>
    <x v="0"/>
  </r>
  <r>
    <x v="0"/>
    <x v="89"/>
    <n v="22701190"/>
    <x v="0"/>
    <s v="CH (Cheque)"/>
    <s v="II. Receipts form Clients - non matured"/>
    <s v="Cheque PF"/>
    <s v="Sales of batteries - local"/>
    <s v="P/BNA+MEKNASY-3940516"/>
    <s v="TND"/>
    <n v="2315"/>
    <n v="1"/>
    <n v="2315"/>
    <x v="0"/>
    <d v="2022-06-01T00:00:00"/>
    <n v="90"/>
    <d v="2022-08-30T00:00:00"/>
    <n v="-14"/>
    <s v="W35_2022"/>
    <x v="0"/>
  </r>
  <r>
    <x v="0"/>
    <x v="156"/>
    <n v="22701204"/>
    <x v="0"/>
    <s v="CH (Cheque)"/>
    <s v="II. Receipts form Clients - non matured"/>
    <s v="Cheque PF"/>
    <s v="Sales of batteries - local"/>
    <s v="P/ZITOUNA+BBEITLA-4000"/>
    <s v="TND"/>
    <n v="1866.7270000000001"/>
    <n v="1"/>
    <n v="1866.7270000000001"/>
    <x v="0"/>
    <d v="2022-06-13T00:00:00"/>
    <n v="78"/>
    <d v="2022-08-30T00:00:00"/>
    <n v="-14"/>
    <s v="W35_2022"/>
    <x v="0"/>
  </r>
  <r>
    <x v="0"/>
    <x v="89"/>
    <n v="22701187"/>
    <x v="0"/>
    <s v="CH (Cheque)"/>
    <s v="II. Receipts form Clients - non matured"/>
    <s v="Cheque PF"/>
    <s v="Sales of batteries - local"/>
    <s v="P/BNA+MEKNASY-3940508"/>
    <s v="TND"/>
    <n v="3237.0610000000001"/>
    <n v="1"/>
    <n v="3237.0610000000001"/>
    <x v="0"/>
    <d v="2022-06-01T00:00:00"/>
    <n v="90"/>
    <d v="2022-08-30T00:00:00"/>
    <n v="-14"/>
    <s v="W35_2022"/>
    <x v="0"/>
  </r>
  <r>
    <x v="0"/>
    <x v="89"/>
    <n v="22701188"/>
    <x v="0"/>
    <s v="CH (Cheque)"/>
    <s v="II. Receipts form Clients - non matured"/>
    <s v="Cheque PF"/>
    <s v="Sales of batteries - local"/>
    <s v="P/BNA+MEKNASY-3940501"/>
    <s v="TND"/>
    <n v="3839"/>
    <n v="1"/>
    <n v="3839"/>
    <x v="0"/>
    <d v="2022-06-01T00:00:00"/>
    <n v="90"/>
    <d v="2022-08-30T00:00:00"/>
    <n v="-14"/>
    <s v="W35_2022"/>
    <x v="0"/>
  </r>
  <r>
    <x v="0"/>
    <x v="157"/>
    <n v="22701191"/>
    <x v="0"/>
    <s v="CH (Cheque)"/>
    <s v="II. Receipts form Clients - non matured"/>
    <s v="Cheque PF"/>
    <s v="Sales of batteries - local"/>
    <s v="P/BNA+METLAOUI-5348264"/>
    <s v="TND"/>
    <n v="6998.9"/>
    <n v="1"/>
    <n v="6998.9"/>
    <x v="0"/>
    <d v="2022-06-01T00:00:00"/>
    <n v="90"/>
    <d v="2022-08-30T00:00:00"/>
    <n v="-14"/>
    <s v="W35_2022"/>
    <x v="0"/>
  </r>
  <r>
    <x v="0"/>
    <x v="158"/>
    <n v="22701219"/>
    <x v="0"/>
    <s v="CH (Cheque)"/>
    <s v="II. Receipts form Clients - non matured"/>
    <s v="Cheque PF"/>
    <s v="Sales of batteries - local"/>
    <s v="P/ATTIJARI+MOULARES-05"/>
    <s v="TND"/>
    <n v="1581.5150000000001"/>
    <n v="1"/>
    <n v="1581.5150000000001"/>
    <x v="0"/>
    <d v="2022-07-05T00:00:00"/>
    <n v="56"/>
    <d v="2022-08-30T00:00:00"/>
    <n v="-14"/>
    <s v="W35_2022"/>
    <x v="0"/>
  </r>
  <r>
    <x v="0"/>
    <x v="159"/>
    <n v="22701194"/>
    <x v="0"/>
    <s v="CH (Cheque)"/>
    <s v="II. Receipts form Clients - non matured"/>
    <s v="Cheque PF"/>
    <s v="Sales of batteries - local"/>
    <s v="P/ATTIJARI+REDEYEF-004"/>
    <s v="TND"/>
    <n v="3818.0340000000001"/>
    <n v="1"/>
    <n v="3818.0340000000001"/>
    <x v="0"/>
    <d v="2022-06-01T00:00:00"/>
    <n v="90"/>
    <d v="2022-08-30T00:00:00"/>
    <n v="-14"/>
    <s v="W35_2022"/>
    <x v="0"/>
  </r>
  <r>
    <x v="0"/>
    <x v="18"/>
    <n v="22701238"/>
    <x v="0"/>
    <s v="CH (Cheque)"/>
    <s v="II. Receipts form Clients - non matured"/>
    <s v="Cheque PF"/>
    <s v="Sales of batteries - local"/>
    <s v="P/UIB+NAFTA-2281107"/>
    <s v="TND"/>
    <n v="1615.097"/>
    <n v="1"/>
    <n v="1615.097"/>
    <x v="0"/>
    <d v="2022-07-14T00:00:00"/>
    <n v="47"/>
    <d v="2022-08-30T00:00:00"/>
    <n v="-14"/>
    <s v="W35_2022"/>
    <x v="0"/>
  </r>
  <r>
    <x v="0"/>
    <x v="158"/>
    <n v="22701197"/>
    <x v="0"/>
    <s v="CH (Cheque)"/>
    <s v="II. Receipts form Clients - non matured"/>
    <s v="Cheque PF"/>
    <s v="Sales of batteries - local"/>
    <s v="P/ATTIJARI+MOULARES-05"/>
    <s v="TND"/>
    <n v="1756.787"/>
    <n v="1"/>
    <n v="1756.787"/>
    <x v="0"/>
    <d v="2022-06-08T00:00:00"/>
    <n v="83"/>
    <d v="2022-08-30T00:00:00"/>
    <n v="-14"/>
    <s v="W35_2022"/>
    <x v="0"/>
  </r>
  <r>
    <x v="0"/>
    <x v="160"/>
    <n v="22701226"/>
    <x v="0"/>
    <s v="CH (Cheque)"/>
    <s v="II. Receipts form Clients - non matured"/>
    <s v="Cheque PF"/>
    <s v="Sales of batteries - local"/>
    <s v="P/STB+FERIANA-0000943"/>
    <s v="TND"/>
    <n v="4021.596"/>
    <n v="1"/>
    <n v="4021.596"/>
    <x v="0"/>
    <d v="2022-07-11T00:00:00"/>
    <n v="50"/>
    <d v="2022-08-30T00:00:00"/>
    <n v="-14"/>
    <s v="W35_2022"/>
    <x v="0"/>
  </r>
  <r>
    <x v="0"/>
    <x v="161"/>
    <n v="22801254"/>
    <x v="0"/>
    <s v="CH (Cheque)"/>
    <s v="II. Receipts form Clients - non matured"/>
    <s v="Cheque PF"/>
    <s v="Sales of batteries - local"/>
    <s v="P/STB+NEFZA-0001273"/>
    <s v="TND"/>
    <n v="1000"/>
    <n v="1"/>
    <n v="1000"/>
    <x v="0"/>
    <d v="2022-05-25T00:00:00"/>
    <n v="97"/>
    <d v="2022-08-30T00:00:00"/>
    <n v="-14"/>
    <s v="W35_2022"/>
    <x v="0"/>
  </r>
  <r>
    <x v="0"/>
    <x v="162"/>
    <n v="22801276"/>
    <x v="0"/>
    <s v="CH (Cheque)"/>
    <s v="II. Receipts form Clients - non matured"/>
    <s v="Cheque PF"/>
    <s v="Sales of batteries - local"/>
    <s v="P/BT+SILIANA-8799540"/>
    <s v="TND"/>
    <n v="5169.6660000000002"/>
    <n v="1"/>
    <n v="5169.6660000000002"/>
    <x v="0"/>
    <d v="2022-06-07T00:00:00"/>
    <n v="84"/>
    <d v="2022-08-30T00:00:00"/>
    <n v="-14"/>
    <s v="W35_2022"/>
    <x v="0"/>
  </r>
  <r>
    <x v="0"/>
    <x v="19"/>
    <n v="22801279"/>
    <x v="0"/>
    <s v="CH (Cheque)"/>
    <s v="II. Receipts form Clients - non matured"/>
    <s v="Cheque PF"/>
    <s v="Sales of batteries - local"/>
    <s v="P/BNA+TESTOUR-4118661"/>
    <s v="TND"/>
    <n v="2332.8229999999999"/>
    <n v="1"/>
    <n v="2332.8229999999999"/>
    <x v="0"/>
    <d v="2022-06-07T00:00:00"/>
    <n v="84"/>
    <d v="2022-08-30T00:00:00"/>
    <n v="-14"/>
    <s v="W35_2022"/>
    <x v="0"/>
  </r>
  <r>
    <x v="0"/>
    <x v="163"/>
    <n v="22801246"/>
    <x v="0"/>
    <s v="CH (Cheque)"/>
    <s v="II. Receipts form Clients - non matured"/>
    <s v="Cheque PF"/>
    <s v="Sales of batteries - local"/>
    <s v="P/BH+SILI-0160076"/>
    <s v="TND"/>
    <n v="326.67599999999999"/>
    <n v="1"/>
    <n v="326.67599999999999"/>
    <x v="0"/>
    <d v="2022-05-20T00:00:00"/>
    <n v="102"/>
    <d v="2022-08-30T00:00:00"/>
    <n v="-14"/>
    <s v="W35_2022"/>
    <x v="0"/>
  </r>
  <r>
    <x v="0"/>
    <x v="10"/>
    <n v="22801325"/>
    <x v="0"/>
    <s v="CH (Cheque)"/>
    <s v="II. Receipts form Clients - non matured"/>
    <s v="Cheque PF"/>
    <s v="Sales of batteries - local"/>
    <s v="P/ATTIJ BQ+TAJER-00419"/>
    <s v="TND"/>
    <n v="2139.7930000000001"/>
    <n v="1"/>
    <n v="2139.7930000000001"/>
    <x v="0"/>
    <d v="2022-06-22T00:00:00"/>
    <n v="69"/>
    <d v="2022-08-30T00:00:00"/>
    <n v="-14"/>
    <s v="W35_2022"/>
    <x v="0"/>
  </r>
  <r>
    <x v="0"/>
    <x v="164"/>
    <n v="22801281"/>
    <x v="0"/>
    <s v="CH (Cheque)"/>
    <s v="II. Receipts form Clients - non matured"/>
    <s v="Cheque PF"/>
    <s v="Sales of batteries - local"/>
    <s v="P/BNA+ERROUHIA-5794207"/>
    <s v="TND"/>
    <n v="3000"/>
    <n v="1"/>
    <n v="3000"/>
    <x v="0"/>
    <d v="2022-06-07T00:00:00"/>
    <n v="84"/>
    <d v="2022-08-30T00:00:00"/>
    <n v="-14"/>
    <s v="W35_2022"/>
    <x v="0"/>
  </r>
  <r>
    <x v="0"/>
    <x v="165"/>
    <n v="22801245"/>
    <x v="0"/>
    <s v="CH (Cheque)"/>
    <s v="II. Receipts form Clients - non matured"/>
    <s v="Cheque PF"/>
    <s v="Sales of batteries - local"/>
    <s v="P/BT+SILI-8884057"/>
    <s v="TND"/>
    <n v="2686.125"/>
    <n v="1"/>
    <n v="2686.125"/>
    <x v="0"/>
    <d v="2022-05-20T00:00:00"/>
    <n v="102"/>
    <d v="2022-08-30T00:00:00"/>
    <n v="-14"/>
    <s v="W35_2022"/>
    <x v="0"/>
  </r>
  <r>
    <x v="0"/>
    <x v="166"/>
    <n v="22801275"/>
    <x v="0"/>
    <s v="CH (Cheque)"/>
    <s v="II. Receipts form Clients - non matured"/>
    <s v="Cheque PF"/>
    <s v="Sales of batteries - local"/>
    <s v="P/STB+SEDJ-0000150"/>
    <s v="TND"/>
    <n v="2370.279"/>
    <n v="1"/>
    <n v="2370.279"/>
    <x v="0"/>
    <d v="2022-06-06T00:00:00"/>
    <n v="85"/>
    <d v="2022-08-30T00:00:00"/>
    <n v="-14"/>
    <s v="W35_2022"/>
    <x v="0"/>
  </r>
  <r>
    <x v="0"/>
    <x v="162"/>
    <n v="22801233"/>
    <x v="0"/>
    <s v="CH (Cheque)"/>
    <s v="II. Receipts form Clients - non matured"/>
    <s v="Cheque PF"/>
    <s v="Sales of batteries - local"/>
    <s v="P/BT+SILI-8637373"/>
    <s v="TND"/>
    <n v="4264.9629999999997"/>
    <n v="1"/>
    <n v="4264.9629999999997"/>
    <x v="0"/>
    <d v="2022-05-14T00:00:00"/>
    <n v="108"/>
    <d v="2022-08-30T00:00:00"/>
    <n v="-14"/>
    <s v="W35_2022"/>
    <x v="0"/>
  </r>
  <r>
    <x v="0"/>
    <x v="167"/>
    <n v="22801272"/>
    <x v="0"/>
    <s v="CH (Cheque)"/>
    <s v="II. Receipts form Clients - non matured"/>
    <s v="Cheque PF"/>
    <s v="Sales of batteries - local"/>
    <s v="P/BNA+MAKTHAR-3507039"/>
    <s v="TND"/>
    <n v="2024.817"/>
    <n v="1"/>
    <n v="2024.817"/>
    <x v="0"/>
    <d v="2022-06-06T00:00:00"/>
    <n v="85"/>
    <d v="2022-08-30T00:00:00"/>
    <n v="-14"/>
    <s v="W35_2022"/>
    <x v="0"/>
  </r>
  <r>
    <x v="0"/>
    <x v="168"/>
    <n v="22401426"/>
    <x v="0"/>
    <s v="CH (Cheque)"/>
    <s v="II. Receipts form Clients - non matured"/>
    <s v="Cheque PF"/>
    <s v="Sales of batteries - local"/>
    <s v="D/UIB+BENBLA-7479686"/>
    <s v="TND"/>
    <n v="2491.556"/>
    <n v="1"/>
    <n v="2491.556"/>
    <x v="0"/>
    <d v="2022-05-30T00:00:00"/>
    <n v="92"/>
    <d v="2022-08-30T00:00:00"/>
    <n v="-14"/>
    <s v="W35_2022"/>
    <x v="0"/>
  </r>
  <r>
    <x v="0"/>
    <x v="169"/>
    <n v="22401392"/>
    <x v="0"/>
    <s v="CH (Cheque)"/>
    <s v="II. Receipts form Clients - non matured"/>
    <s v="Cheque PF"/>
    <s v="Sales of batteries - local"/>
    <s v="D/BT+BOUHAJLA-8571002"/>
    <s v="TND"/>
    <n v="2572.7170000000001"/>
    <n v="1"/>
    <n v="2572.7170000000001"/>
    <x v="0"/>
    <d v="2022-05-24T00:00:00"/>
    <n v="98"/>
    <d v="2022-08-30T00:00:00"/>
    <n v="-14"/>
    <s v="W35_2022"/>
    <x v="0"/>
  </r>
  <r>
    <x v="0"/>
    <x v="13"/>
    <n v="22401503"/>
    <x v="0"/>
    <s v="CH (Cheque)"/>
    <s v="II. Receipts form Clients - non matured"/>
    <s v="Cheque PF"/>
    <s v="Sales of batteries - local"/>
    <s v="D/AMEN+MOKNINE-1334473"/>
    <s v="TND"/>
    <n v="5500"/>
    <n v="1"/>
    <n v="5500"/>
    <x v="0"/>
    <d v="2022-06-23T00:00:00"/>
    <n v="68"/>
    <d v="2022-08-30T00:00:00"/>
    <n v="-14"/>
    <s v="W35_2022"/>
    <x v="0"/>
  </r>
  <r>
    <x v="0"/>
    <x v="170"/>
    <n v="22401590"/>
    <x v="0"/>
    <s v="CH (Cheque)"/>
    <s v="II. Receipts form Clients - non matured"/>
    <s v="Cheque PF"/>
    <s v="Sales of batteries - local"/>
    <s v="D/BH+MAHDIA-8801719"/>
    <s v="TND"/>
    <n v="429.55799999999999"/>
    <n v="1"/>
    <n v="429.55799999999999"/>
    <x v="0"/>
    <d v="2022-07-14T00:00:00"/>
    <n v="47"/>
    <d v="2022-08-30T00:00:00"/>
    <n v="-14"/>
    <s v="W35_2022"/>
    <x v="0"/>
  </r>
  <r>
    <x v="0"/>
    <x v="171"/>
    <n v="22401515"/>
    <x v="0"/>
    <s v="CH (Cheque)"/>
    <s v="II. Receipts form Clients - non matured"/>
    <s v="Cheque PF"/>
    <s v="Sales of batteries - local"/>
    <s v="D/TSB+KAIROUAN-8804467"/>
    <s v="TND"/>
    <n v="519.298"/>
    <n v="1"/>
    <n v="519.298"/>
    <x v="0"/>
    <d v="2022-06-28T00:00:00"/>
    <n v="63"/>
    <d v="2022-08-30T00:00:00"/>
    <n v="-14"/>
    <s v="W35_2022"/>
    <x v="0"/>
  </r>
  <r>
    <x v="0"/>
    <x v="172"/>
    <n v="22401555"/>
    <x v="0"/>
    <s v="CH (Cheque)"/>
    <s v="II. Receipts form Clients - non matured"/>
    <s v="Cheque PF"/>
    <s v="Sales of batteries - local"/>
    <s v="D/UIB+BEMBLA-9368429"/>
    <s v="TND"/>
    <n v="2000"/>
    <n v="1"/>
    <n v="2000"/>
    <x v="0"/>
    <d v="2022-06-30T00:00:00"/>
    <n v="61"/>
    <d v="2022-08-30T00:00:00"/>
    <n v="-14"/>
    <s v="W35_2022"/>
    <x v="0"/>
  </r>
  <r>
    <x v="0"/>
    <x v="173"/>
    <n v="22124190"/>
    <x v="0"/>
    <s v="CH (Cheque)"/>
    <s v="II. Receipts form Clients - non matured"/>
    <s v="Cheque PF"/>
    <s v="Sales of batteries - local"/>
    <s v="P/AMEN B+MORNAGUIA-679"/>
    <s v="TND"/>
    <n v="3392.8919999999998"/>
    <n v="1"/>
    <n v="3392.8919999999998"/>
    <x v="0"/>
    <d v="2022-04-11T00:00:00"/>
    <n v="141"/>
    <d v="2022-08-30T00:00:00"/>
    <n v="-14"/>
    <s v="W35_2022"/>
    <x v="0"/>
  </r>
  <r>
    <x v="0"/>
    <x v="174"/>
    <n v="22124607"/>
    <x v="0"/>
    <s v="CH (Cheque)"/>
    <s v="II. Receipts form Clients - non matured"/>
    <s v="Cheque PF"/>
    <s v="Sales of batteries - local"/>
    <s v="P/ATTJ BJ+BEN AROUS-02"/>
    <s v="TND"/>
    <n v="598.68799999999999"/>
    <n v="1"/>
    <n v="598.68799999999999"/>
    <x v="0"/>
    <d v="2022-06-11T00:00:00"/>
    <n v="80"/>
    <d v="2022-08-30T00:00:00"/>
    <n v="-14"/>
    <s v="W35_2022"/>
    <x v="0"/>
  </r>
  <r>
    <x v="0"/>
    <x v="57"/>
    <n v="22124581"/>
    <x v="0"/>
    <s v="CH (Cheque)"/>
    <s v="II. Receipts form Clients - non matured"/>
    <s v="Cheque PF"/>
    <s v="Sales of batteries - local"/>
    <s v="P/ATTJ BQ+KORBA-008764"/>
    <s v="TND"/>
    <n v="2456.5279999999998"/>
    <n v="1"/>
    <n v="2456.5279999999998"/>
    <x v="0"/>
    <d v="2022-06-03T00:00:00"/>
    <n v="88"/>
    <d v="2022-08-30T00:00:00"/>
    <n v="-14"/>
    <s v="W35_2022"/>
    <x v="0"/>
  </r>
  <r>
    <x v="0"/>
    <x v="100"/>
    <n v="22124545"/>
    <x v="0"/>
    <s v="CH (Cheque)"/>
    <s v="II. Receipts form Clients - non matured"/>
    <s v="Cheque PF"/>
    <s v="Sales of batteries - local"/>
    <s v="P/BNA+TN-4912954"/>
    <s v="TND"/>
    <n v="1268.1400000000001"/>
    <n v="1"/>
    <n v="1268.1400000000001"/>
    <x v="0"/>
    <d v="2022-05-30T00:00:00"/>
    <n v="92"/>
    <d v="2022-08-30T00:00:00"/>
    <n v="-14"/>
    <s v="W35_2022"/>
    <x v="0"/>
  </r>
  <r>
    <x v="0"/>
    <x v="175"/>
    <n v="22124804"/>
    <x v="0"/>
    <s v="CH (Cheque)"/>
    <s v="II. Receipts form Clients - non matured"/>
    <s v="Cheque PF"/>
    <s v="Sales of batteries - local"/>
    <s v="P/STB+FAHS-0003951"/>
    <s v="TND"/>
    <n v="3200"/>
    <n v="1"/>
    <n v="3200"/>
    <x v="0"/>
    <d v="2022-06-30T00:00:00"/>
    <n v="61"/>
    <d v="2022-08-30T00:00:00"/>
    <n v="-14"/>
    <s v="W35_2022"/>
    <x v="0"/>
  </r>
  <r>
    <x v="0"/>
    <x v="55"/>
    <n v="22124569"/>
    <x v="0"/>
    <s v="CH (Cheque)"/>
    <s v="II. Receipts form Clients - non matured"/>
    <s v="Cheque PF"/>
    <s v="Sales of batteries - local"/>
    <s v="P/TSB+MENZAH 5-8899632"/>
    <s v="TND"/>
    <n v="1505.931"/>
    <n v="1"/>
    <n v="1505.931"/>
    <x v="0"/>
    <d v="2022-06-02T00:00:00"/>
    <n v="89"/>
    <d v="2022-08-30T00:00:00"/>
    <n v="-14"/>
    <s v="W35_2022"/>
    <x v="0"/>
  </r>
  <r>
    <x v="0"/>
    <x v="176"/>
    <n v="22124552"/>
    <x v="0"/>
    <s v="CH (Cheque)"/>
    <s v="II. Receipts form Clients - non matured"/>
    <s v="Cheque PF"/>
    <s v="Sales of batteries - local"/>
    <s v="P/ATB+HAMMAMET-6006945"/>
    <s v="TND"/>
    <n v="1970"/>
    <n v="1"/>
    <n v="1970"/>
    <x v="0"/>
    <d v="2022-05-30T00:00:00"/>
    <n v="92"/>
    <d v="2022-08-30T00:00:00"/>
    <n v="-14"/>
    <s v="W35_2022"/>
    <x v="0"/>
  </r>
  <r>
    <x v="0"/>
    <x v="101"/>
    <n v="22124401"/>
    <x v="0"/>
    <s v="CH (Cheque)"/>
    <s v="II. Receipts form Clients - non matured"/>
    <s v="Cheque PF"/>
    <s v="Sales of batteries - local"/>
    <s v="P/STB+FOUCHANA-0004393"/>
    <s v="TND"/>
    <n v="500"/>
    <n v="1"/>
    <n v="500"/>
    <x v="0"/>
    <d v="2022-05-13T00:00:00"/>
    <n v="109"/>
    <d v="2022-08-30T00:00:00"/>
    <n v="-14"/>
    <s v="W35_2022"/>
    <x v="0"/>
  </r>
  <r>
    <x v="0"/>
    <x v="101"/>
    <n v="22124843"/>
    <x v="0"/>
    <s v="CH (Cheque)"/>
    <s v="II. Receipts form Clients - non matured"/>
    <s v="Cheque PF"/>
    <s v="Sales of batteries - local"/>
    <s v="P/STB+FOUCHANA-0004412"/>
    <s v="TND"/>
    <n v="821.43299999999999"/>
    <n v="1"/>
    <n v="821.43299999999999"/>
    <x v="0"/>
    <d v="2022-07-15T00:00:00"/>
    <n v="46"/>
    <d v="2022-08-30T00:00:00"/>
    <n v="-14"/>
    <s v="W35_2022"/>
    <x v="0"/>
  </r>
  <r>
    <x v="0"/>
    <x v="177"/>
    <n v="22124418"/>
    <x v="0"/>
    <s v="CH (Cheque)"/>
    <s v="II. Receipts form Clients - non matured"/>
    <s v="Cheque PF"/>
    <s v="Sales of batteries - local"/>
    <s v="P/ATTJ+TN-0080569"/>
    <s v="TND"/>
    <n v="827.49800000000005"/>
    <n v="1"/>
    <n v="827.49800000000005"/>
    <x v="0"/>
    <d v="2022-05-17T00:00:00"/>
    <n v="105"/>
    <d v="2022-08-30T00:00:00"/>
    <n v="-14"/>
    <s v="W35_2022"/>
    <x v="0"/>
  </r>
  <r>
    <x v="0"/>
    <x v="178"/>
    <n v="22124437"/>
    <x v="0"/>
    <s v="CH (Cheque)"/>
    <s v="II. Receipts form Clients - non matured"/>
    <s v="Cheque PF"/>
    <s v="Sales of batteries - local"/>
    <s v="P/ATB+CITE EL KHADRA-6"/>
    <s v="TND"/>
    <n v="4572.5060000000003"/>
    <n v="1"/>
    <n v="4572.5060000000003"/>
    <x v="0"/>
    <d v="2022-05-20T00:00:00"/>
    <n v="102"/>
    <d v="2022-08-30T00:00:00"/>
    <n v="-14"/>
    <s v="W35_2022"/>
    <x v="0"/>
  </r>
  <r>
    <x v="0"/>
    <x v="133"/>
    <n v="22124589"/>
    <x v="0"/>
    <s v="CH (Cheque)"/>
    <s v="II. Receipts form Clients - non matured"/>
    <s v="Cheque PF"/>
    <s v="Sales of batteries - local"/>
    <s v="P/TSB+MANOUBA-8823878"/>
    <s v="TND"/>
    <n v="11025.548000000001"/>
    <n v="1"/>
    <n v="11025.548000000001"/>
    <x v="0"/>
    <d v="2022-06-09T00:00:00"/>
    <n v="82"/>
    <d v="2022-08-30T00:00:00"/>
    <n v="-14"/>
    <s v="W35_2022"/>
    <x v="0"/>
  </r>
  <r>
    <x v="0"/>
    <x v="179"/>
    <n v="22124524"/>
    <x v="0"/>
    <s v="CH (Cheque)"/>
    <s v="II. Receipts form Clients - non matured"/>
    <s v="Cheque PF"/>
    <s v="Sales of batteries - local"/>
    <s v="P/BNA+OUED ELLIL-50617"/>
    <s v="TND"/>
    <n v="2090.2840000000001"/>
    <n v="1"/>
    <n v="2090.2840000000001"/>
    <x v="0"/>
    <d v="2022-05-26T00:00:00"/>
    <n v="96"/>
    <d v="2022-08-30T00:00:00"/>
    <n v="-14"/>
    <s v="W35_2022"/>
    <x v="0"/>
  </r>
  <r>
    <x v="0"/>
    <x v="180"/>
    <n v="22124621"/>
    <x v="0"/>
    <s v="CH (Cheque)"/>
    <s v="II. Receipts form Clients - non matured"/>
    <s v="Cheque PF"/>
    <s v="Sales of batteries - local"/>
    <s v="P/BNA+LA GOULETTE-4143"/>
    <s v="TND"/>
    <n v="572.54399999999998"/>
    <n v="1"/>
    <n v="572.54399999999998"/>
    <x v="0"/>
    <d v="2022-06-15T00:00:00"/>
    <n v="76"/>
    <d v="2022-08-30T00:00:00"/>
    <n v="-14"/>
    <s v="W35_2022"/>
    <x v="0"/>
  </r>
  <r>
    <x v="0"/>
    <x v="63"/>
    <n v="22124622"/>
    <x v="0"/>
    <s v="CH (Cheque)"/>
    <s v="II. Receipts form Clients - non matured"/>
    <s v="Cheque PF"/>
    <s v="Sales of batteries - local"/>
    <s v="P/ATB+LE KRAM-5844080"/>
    <s v="TND"/>
    <n v="765.90200000000004"/>
    <n v="1"/>
    <n v="765.90200000000004"/>
    <x v="0"/>
    <d v="2022-06-15T00:00:00"/>
    <n v="76"/>
    <d v="2022-08-30T00:00:00"/>
    <n v="-14"/>
    <s v="W35_2022"/>
    <x v="0"/>
  </r>
  <r>
    <x v="0"/>
    <x v="181"/>
    <n v="22124633"/>
    <x v="0"/>
    <s v="CH (Cheque)"/>
    <s v="II. Receipts form Clients - non matured"/>
    <s v="Cheque PF"/>
    <s v="Sales of batteries - local"/>
    <s v="P/BT+BAB MENARA-820933"/>
    <s v="TND"/>
    <n v="880.10900000000004"/>
    <n v="1"/>
    <n v="880.10900000000004"/>
    <x v="0"/>
    <d v="2022-06-16T00:00:00"/>
    <n v="75"/>
    <d v="2022-08-30T00:00:00"/>
    <n v="-14"/>
    <s v="W35_2022"/>
    <x v="0"/>
  </r>
  <r>
    <x v="0"/>
    <x v="49"/>
    <n v="22124696"/>
    <x v="0"/>
    <s v="CH (Cheque)"/>
    <s v="II. Receipts form Clients - non matured"/>
    <s v="Cheque PF"/>
    <s v="Sales of batteries - local"/>
    <s v="P/ATTJ BQ+ETTADHAMEN-0"/>
    <s v="TND"/>
    <n v="772.75699999999995"/>
    <n v="1"/>
    <n v="772.75699999999995"/>
    <x v="0"/>
    <d v="2022-06-22T00:00:00"/>
    <n v="69"/>
    <d v="2022-08-30T00:00:00"/>
    <n v="-14"/>
    <s v="W35_2022"/>
    <x v="0"/>
  </r>
  <r>
    <x v="0"/>
    <x v="182"/>
    <n v="22124760"/>
    <x v="0"/>
    <s v="CH (Cheque)"/>
    <s v="II. Receipts form Clients - non matured"/>
    <s v="Cheque PF"/>
    <s v="Sales of batteries - local"/>
    <s v="P/BIAT+HAMMAM LIF-0003"/>
    <s v="TND"/>
    <n v="707.81500000000005"/>
    <n v="1"/>
    <n v="707.81500000000005"/>
    <x v="0"/>
    <d v="2022-06-28T00:00:00"/>
    <n v="63"/>
    <d v="2022-08-30T00:00:00"/>
    <n v="-14"/>
    <s v="W35_2022"/>
    <x v="0"/>
  </r>
  <r>
    <x v="0"/>
    <x v="183"/>
    <n v="22124762"/>
    <x v="0"/>
    <s v="CH (Cheque)"/>
    <s v="II. Receipts form Clients - non matured"/>
    <s v="Cheque PF"/>
    <s v="Sales of batteries - local"/>
    <s v="P/BIAT+RADES-0000328"/>
    <s v="TND"/>
    <n v="610.44899999999996"/>
    <n v="1"/>
    <n v="610.44899999999996"/>
    <x v="0"/>
    <d v="2022-06-28T00:00:00"/>
    <n v="63"/>
    <d v="2022-08-30T00:00:00"/>
    <n v="-14"/>
    <s v="W35_2022"/>
    <x v="0"/>
  </r>
  <r>
    <x v="0"/>
    <x v="46"/>
    <n v="22124771"/>
    <x v="0"/>
    <s v="CH (Cheque)"/>
    <s v="II. Receipts form Clients - non matured"/>
    <s v="Cheque PF"/>
    <s v="Sales of batteries - local"/>
    <s v="P/BIAT+KORBA-0000859"/>
    <s v="TND"/>
    <n v="2000"/>
    <n v="1"/>
    <n v="2000"/>
    <x v="0"/>
    <d v="2022-06-28T00:00:00"/>
    <n v="63"/>
    <d v="2022-08-30T00:00:00"/>
    <n v="-14"/>
    <s v="W35_2022"/>
    <x v="0"/>
  </r>
  <r>
    <x v="0"/>
    <x v="184"/>
    <n v="22124871"/>
    <x v="0"/>
    <s v="CH (Cheque)"/>
    <s v="II. Receipts form Clients - non matured"/>
    <s v="Cheque PF"/>
    <s v="Sales of batteries - local"/>
    <s v="P/BH+DJEBEL EL OUEST-2"/>
    <s v="TND"/>
    <n v="342.32"/>
    <n v="1"/>
    <n v="342.32"/>
    <x v="0"/>
    <d v="2022-07-22T00:00:00"/>
    <n v="39"/>
    <d v="2022-08-30T00:00:00"/>
    <n v="-14"/>
    <s v="W35_2022"/>
    <x v="0"/>
  </r>
  <r>
    <x v="0"/>
    <x v="185"/>
    <n v="22124960"/>
    <x v="0"/>
    <s v="CH (Cheque)"/>
    <s v="II. Receipts form Clients - non matured"/>
    <s v="Cheque PF"/>
    <s v="Sales of batteries - local"/>
    <s v="P/BT+TN-8686494"/>
    <s v="TND"/>
    <n v="622.58799999999997"/>
    <n v="1"/>
    <n v="622.58799999999997"/>
    <x v="0"/>
    <d v="2022-07-29T00:00:00"/>
    <n v="32"/>
    <d v="2022-08-30T00:00:00"/>
    <n v="-14"/>
    <s v="W35_2022"/>
    <x v="0"/>
  </r>
  <r>
    <x v="0"/>
    <x v="186"/>
    <n v="22124890"/>
    <x v="0"/>
    <s v="CH (Cheque)"/>
    <s v="II. Receipts form Clients - non matured"/>
    <s v="Cheque PF"/>
    <s v="Sales of batteries - local"/>
    <s v="P/STB+MEGRINE-0000157"/>
    <s v="TND"/>
    <n v="3000"/>
    <n v="1"/>
    <n v="3000"/>
    <x v="0"/>
    <d v="2022-07-27T00:00:00"/>
    <n v="34"/>
    <d v="2022-08-30T00:00:00"/>
    <n v="-14"/>
    <s v="W35_2022"/>
    <x v="0"/>
  </r>
  <r>
    <x v="0"/>
    <x v="187"/>
    <n v="22124901"/>
    <x v="0"/>
    <s v="CH (Cheque)"/>
    <s v="II. Receipts form Clients - non matured"/>
    <s v="Cheque PF"/>
    <s v="Sales of batteries - local"/>
    <s v="P/BIAT+TN-0002180"/>
    <s v="TND"/>
    <n v="1580"/>
    <n v="1"/>
    <n v="1580"/>
    <x v="0"/>
    <d v="2022-07-27T00:00:00"/>
    <n v="34"/>
    <d v="2022-08-30T00:00:00"/>
    <n v="-14"/>
    <s v="W35_2022"/>
    <x v="0"/>
  </r>
  <r>
    <x v="0"/>
    <x v="107"/>
    <n v="22124959"/>
    <x v="0"/>
    <s v="CH (Cheque)"/>
    <s v="II. Receipts form Clients - non matured"/>
    <s v="Cheque PF"/>
    <s v="Sales of batteries - local"/>
    <s v="P/ATJI+TN-0000169"/>
    <s v="TND"/>
    <n v="773.851"/>
    <n v="1"/>
    <n v="773.851"/>
    <x v="0"/>
    <d v="2022-07-29T00:00:00"/>
    <n v="32"/>
    <d v="2022-08-30T00:00:00"/>
    <n v="-14"/>
    <s v="W35_2022"/>
    <x v="0"/>
  </r>
  <r>
    <x v="0"/>
    <x v="188"/>
    <n v="22124973"/>
    <x v="0"/>
    <s v="CH (Cheque)"/>
    <s v="II. Receipts form Clients - non matured"/>
    <s v="Cheque PF"/>
    <s v="Sales of batteries - local"/>
    <s v="P/BTE+TN-6045889"/>
    <s v="TND"/>
    <n v="182.74600000000001"/>
    <n v="1"/>
    <n v="182.74600000000001"/>
    <x v="0"/>
    <d v="2022-07-29T00:00:00"/>
    <n v="32"/>
    <d v="2022-08-30T00:00:00"/>
    <n v="-14"/>
    <s v="W35_2022"/>
    <x v="0"/>
  </r>
  <r>
    <x v="0"/>
    <x v="189"/>
    <n v="22301395"/>
    <x v="0"/>
    <s v="CH (Cheque)"/>
    <s v="II. Receipts form Clients - non matured"/>
    <s v="Cheque PF"/>
    <s v="Sales of batteries - local"/>
    <s v="P/UBCI+SFAX-8624475"/>
    <s v="TND"/>
    <n v="200"/>
    <n v="1"/>
    <n v="200"/>
    <x v="0"/>
    <d v="2022-04-26T00:00:00"/>
    <n v="126"/>
    <d v="2022-08-30T00:00:00"/>
    <n v="-14"/>
    <s v="W35_2022"/>
    <x v="0"/>
  </r>
  <r>
    <x v="0"/>
    <x v="4"/>
    <n v="22301482"/>
    <x v="0"/>
    <s v="CH (Cheque)"/>
    <s v="II. Receipts form Clients - non matured"/>
    <s v="Cheque PF"/>
    <s v="Sales of batteries - local"/>
    <s v="D/BNA+CHEBBA-5136640"/>
    <s v="TND"/>
    <n v="1000"/>
    <n v="1"/>
    <n v="1000"/>
    <x v="0"/>
    <d v="2022-05-23T00:00:00"/>
    <n v="99"/>
    <d v="2022-08-30T00:00:00"/>
    <n v="-14"/>
    <s v="W35_2022"/>
    <x v="0"/>
  </r>
  <r>
    <x v="0"/>
    <x v="146"/>
    <n v="22301551"/>
    <x v="0"/>
    <s v="CH (Cheque)"/>
    <s v="II. Receipts form Clients - non matured"/>
    <s v="Cheque PF"/>
    <s v="Sales of batteries - local"/>
    <s v="D/BNA+CHEBBA-5858526"/>
    <s v="TND"/>
    <n v="2000"/>
    <n v="1"/>
    <n v="2000"/>
    <x v="0"/>
    <d v="2022-06-13T00:00:00"/>
    <n v="78"/>
    <d v="2022-08-30T00:00:00"/>
    <n v="-14"/>
    <s v="W35_2022"/>
    <x v="0"/>
  </r>
  <r>
    <x v="0"/>
    <x v="190"/>
    <n v="22301561"/>
    <x v="0"/>
    <s v="CH (Cheque)"/>
    <s v="II. Receipts form Clients - non matured"/>
    <s v="Cheque PF"/>
    <s v="Sales of batteries - local"/>
    <s v="P/UBCI+SFAX-6630737"/>
    <s v="TND"/>
    <n v="2065.1390000000001"/>
    <n v="1"/>
    <n v="2065.1390000000001"/>
    <x v="0"/>
    <d v="2022-06-15T00:00:00"/>
    <n v="76"/>
    <d v="2022-08-30T00:00:00"/>
    <n v="-14"/>
    <s v="W35_2022"/>
    <x v="0"/>
  </r>
  <r>
    <x v="0"/>
    <x v="191"/>
    <n v="22301668"/>
    <x v="0"/>
    <s v="CH (Cheque)"/>
    <s v="II. Receipts form Clients - non matured"/>
    <s v="Cheque PF"/>
    <s v="Sales of batteries - local"/>
    <s v="P/BIAT+SFAX-0000501"/>
    <s v="TND"/>
    <n v="2147.2719999999999"/>
    <n v="1"/>
    <n v="2147.2719999999999"/>
    <x v="0"/>
    <d v="2022-07-12T00:00:00"/>
    <n v="49"/>
    <d v="2022-08-30T00:00:00"/>
    <n v="-14"/>
    <s v="W35_2022"/>
    <x v="0"/>
  </r>
  <r>
    <x v="0"/>
    <x v="192"/>
    <n v="22301664"/>
    <x v="0"/>
    <s v="CH (Cheque)"/>
    <s v="II. Receipts form Clients - non matured"/>
    <s v="Cheque PF"/>
    <s v="Sales of batteries - local"/>
    <s v="D/BIAT+CHEBBA-0000265"/>
    <s v="TND"/>
    <n v="2615.3829999999998"/>
    <n v="1"/>
    <n v="2615.3829999999998"/>
    <x v="0"/>
    <d v="2022-07-08T00:00:00"/>
    <n v="53"/>
    <d v="2022-08-30T00:00:00"/>
    <n v="-14"/>
    <s v="W35_2022"/>
    <x v="0"/>
  </r>
  <r>
    <x v="0"/>
    <x v="193"/>
    <n v="22301570"/>
    <x v="0"/>
    <s v="CH (Cheque)"/>
    <s v="II. Receipts form Clients - non matured"/>
    <s v="Cheque PF"/>
    <s v="Sales of batteries - local"/>
    <s v="D/STB+KERKENNAH-000204"/>
    <s v="TND"/>
    <n v="551.21"/>
    <n v="1"/>
    <n v="551.21"/>
    <x v="0"/>
    <d v="2022-06-20T00:00:00"/>
    <n v="71"/>
    <d v="2022-08-30T00:00:00"/>
    <n v="-14"/>
    <s v="W35_2022"/>
    <x v="0"/>
  </r>
  <r>
    <x v="0"/>
    <x v="194"/>
    <n v="22301571"/>
    <x v="0"/>
    <s v="CH (Cheque)"/>
    <s v="II. Receipts form Clients - non matured"/>
    <s v="Cheque PF"/>
    <s v="Sales of batteries - local"/>
    <s v="P/UBCI+SFAX-8788284"/>
    <s v="TND"/>
    <n v="674.61800000000005"/>
    <n v="1"/>
    <n v="674.61800000000005"/>
    <x v="0"/>
    <d v="2022-06-20T00:00:00"/>
    <n v="71"/>
    <d v="2022-08-30T00:00:00"/>
    <n v="-14"/>
    <s v="W35_2022"/>
    <x v="0"/>
  </r>
  <r>
    <x v="0"/>
    <x v="195"/>
    <n v="22301607"/>
    <x v="0"/>
    <s v="CH (Cheque)"/>
    <s v="II. Receipts form Clients - non matured"/>
    <s v="Cheque PF"/>
    <s v="Sales of batteries - local"/>
    <s v="P/BIAT+SFAX-0001829"/>
    <s v="TND"/>
    <n v="2218.1170000000002"/>
    <n v="1"/>
    <n v="2218.1170000000002"/>
    <x v="0"/>
    <d v="2022-06-29T00:00:00"/>
    <n v="62"/>
    <d v="2022-08-30T00:00:00"/>
    <n v="-14"/>
    <s v="W35_2022"/>
    <x v="0"/>
  </r>
  <r>
    <x v="0"/>
    <x v="26"/>
    <n v="22301610"/>
    <x v="0"/>
    <s v="CH (Cheque)"/>
    <s v="II. Receipts form Clients - non matured"/>
    <s v="Cheque PF"/>
    <s v="Sales of batteries - local"/>
    <s v="P/UBCI+SFAX-9306503"/>
    <s v="TND"/>
    <n v="1000"/>
    <n v="1"/>
    <n v="1000"/>
    <x v="0"/>
    <d v="2022-06-29T00:00:00"/>
    <n v="62"/>
    <d v="2022-08-30T00:00:00"/>
    <n v="-14"/>
    <s v="W35_2022"/>
    <x v="0"/>
  </r>
  <r>
    <x v="0"/>
    <x v="196"/>
    <n v="22125006"/>
    <x v="0"/>
    <s v="CH (Cheque)"/>
    <s v="II. Receipts form Clients - non matured"/>
    <s v="Cheque PF"/>
    <s v="Sales of batteries - local"/>
    <s v="P/BNA+TN-5378603"/>
    <s v="TND"/>
    <n v="1071.664"/>
    <n v="1"/>
    <n v="1071.664"/>
    <x v="0"/>
    <d v="2022-08-08T00:00:00"/>
    <n v="23"/>
    <d v="2022-08-31T00:00:00"/>
    <n v="-15"/>
    <s v="W35_2022"/>
    <x v="0"/>
  </r>
  <r>
    <x v="0"/>
    <x v="197"/>
    <n v="22301709"/>
    <x v="0"/>
    <s v="CH (Cheque)"/>
    <s v="II. Receipts form Clients - non matured"/>
    <s v="Cheque PF"/>
    <s v="Sales of batteries - local"/>
    <s v="P/STB+SFAX-0005987"/>
    <s v="TND"/>
    <n v="489.60599999999999"/>
    <n v="1"/>
    <n v="489.60599999999999"/>
    <x v="0"/>
    <d v="2022-07-26T00:00:00"/>
    <n v="36"/>
    <d v="2022-08-31T00:00:00"/>
    <n v="-15"/>
    <s v="W35_2022"/>
    <x v="0"/>
  </r>
  <r>
    <x v="0"/>
    <x v="1"/>
    <n v="22601511"/>
    <x v="0"/>
    <s v="CH (Cheque)"/>
    <s v="II. Receipts form Clients - non matured"/>
    <s v="Cheque PF"/>
    <s v="Sales of batteries - local"/>
    <s v="P/BZ+TATOUINE-4001265"/>
    <s v="TND"/>
    <n v="1500"/>
    <n v="1"/>
    <n v="1500"/>
    <x v="0"/>
    <d v="2022-08-04T00:00:00"/>
    <n v="27"/>
    <d v="2022-08-31T00:00:00"/>
    <n v="-15"/>
    <s v="W35_2022"/>
    <x v="0"/>
  </r>
  <r>
    <x v="0"/>
    <x v="198"/>
    <n v="22801384"/>
    <x v="0"/>
    <s v="CH (Cheque)"/>
    <s v="II. Receipts form Clients - non matured"/>
    <s v="Cheque PF"/>
    <s v="Sales of batteries - local"/>
    <s v="P/BH+KEF-2476796"/>
    <s v="TND"/>
    <n v="4068.6790000000001"/>
    <n v="1"/>
    <n v="4068.6790000000001"/>
    <x v="0"/>
    <d v="2022-07-26T00:00:00"/>
    <n v="36"/>
    <d v="2022-08-31T00:00:00"/>
    <n v="-15"/>
    <s v="W35_2022"/>
    <x v="0"/>
  </r>
  <r>
    <x v="0"/>
    <x v="199"/>
    <n v="22601375"/>
    <x v="0"/>
    <s v="CH (Cheque)"/>
    <s v="II. Receipts form Clients - non matured"/>
    <s v="Cheque PF"/>
    <s v="Sales of batteries - local"/>
    <s v="P/BNA+GABES-3203447"/>
    <s v="TND"/>
    <n v="521.80700000000002"/>
    <n v="1"/>
    <n v="521.80700000000002"/>
    <x v="0"/>
    <d v="2022-06-23T00:00:00"/>
    <n v="69"/>
    <d v="2022-08-31T00:00:00"/>
    <n v="-15"/>
    <s v="W35_2022"/>
    <x v="0"/>
  </r>
  <r>
    <x v="0"/>
    <x v="200"/>
    <n v="22601345"/>
    <x v="0"/>
    <s v="CH (Cheque)"/>
    <s v="II. Receipts form Clients - non matured"/>
    <s v="Cheque PF"/>
    <s v="Sales of batteries - local"/>
    <s v="P/ATTIJARI+MEDNINE-014"/>
    <s v="TND"/>
    <n v="5647.5519999999997"/>
    <n v="1"/>
    <n v="5647.5519999999997"/>
    <x v="0"/>
    <d v="2022-06-06T00:00:00"/>
    <n v="86"/>
    <d v="2022-08-31T00:00:00"/>
    <n v="-15"/>
    <s v="W35_2022"/>
    <x v="0"/>
  </r>
  <r>
    <x v="0"/>
    <x v="201"/>
    <n v="22601377"/>
    <x v="0"/>
    <s v="CH (Cheque)"/>
    <s v="II. Receipts form Clients - non matured"/>
    <s v="Cheque PF"/>
    <s v="Sales of batteries - local"/>
    <s v="P/BH+DJERBA-1839688"/>
    <s v="TND"/>
    <n v="2087.1559999999999"/>
    <n v="1"/>
    <n v="2087.1559999999999"/>
    <x v="0"/>
    <d v="2022-06-23T00:00:00"/>
    <n v="69"/>
    <d v="2022-08-31T00:00:00"/>
    <n v="-15"/>
    <s v="W35_2022"/>
    <x v="0"/>
  </r>
  <r>
    <x v="0"/>
    <x v="202"/>
    <n v="22601318"/>
    <x v="0"/>
    <s v="CH (Cheque)"/>
    <s v="II. Receipts form Clients - non matured"/>
    <s v="Cheque PF"/>
    <s v="Sales of batteries - local"/>
    <s v="p/uib+gabes-2181506"/>
    <s v="TND"/>
    <n v="2961.28"/>
    <n v="1"/>
    <n v="2961.28"/>
    <x v="0"/>
    <d v="2022-05-25T00:00:00"/>
    <n v="98"/>
    <d v="2022-08-31T00:00:00"/>
    <n v="-15"/>
    <s v="W35_2022"/>
    <x v="0"/>
  </r>
  <r>
    <x v="0"/>
    <x v="203"/>
    <n v="22601366"/>
    <x v="0"/>
    <s v="CH (Cheque)"/>
    <s v="II. Receipts form Clients - non matured"/>
    <s v="Cheque PF"/>
    <s v="Sales of batteries - local"/>
    <s v="P/ATB+JERBA-6206641"/>
    <s v="TND"/>
    <n v="1753.962"/>
    <n v="1"/>
    <n v="1753.962"/>
    <x v="0"/>
    <d v="2022-06-15T00:00:00"/>
    <n v="77"/>
    <d v="2022-08-31T00:00:00"/>
    <n v="-15"/>
    <s v="W35_2022"/>
    <x v="0"/>
  </r>
  <r>
    <x v="0"/>
    <x v="204"/>
    <n v="22701202"/>
    <x v="0"/>
    <s v="CH (Cheque)"/>
    <s v="II. Receipts form Clients - non matured"/>
    <s v="Cheque PF"/>
    <s v="Sales of batteries - local"/>
    <s v="P/WIFAK BA+SAIDA-00000"/>
    <s v="TND"/>
    <n v="2000"/>
    <n v="1"/>
    <n v="2000"/>
    <x v="0"/>
    <d v="2022-06-08T00:00:00"/>
    <n v="84"/>
    <d v="2022-08-31T00:00:00"/>
    <n v="-15"/>
    <s v="W35_2022"/>
    <x v="0"/>
  </r>
  <r>
    <x v="0"/>
    <x v="205"/>
    <n v="22701224"/>
    <x v="0"/>
    <s v="CH (Cheque)"/>
    <s v="II. Receipts form Clients - non matured"/>
    <s v="Cheque PF"/>
    <s v="Sales of batteries - local"/>
    <s v="P/BNA+FERIANNA-5433563"/>
    <s v="TND"/>
    <n v="1970.69"/>
    <n v="1"/>
    <n v="1970.69"/>
    <x v="0"/>
    <d v="2022-07-11T00:00:00"/>
    <n v="51"/>
    <d v="2022-08-31T00:00:00"/>
    <n v="-15"/>
    <s v="W35_2022"/>
    <x v="0"/>
  </r>
  <r>
    <x v="0"/>
    <x v="206"/>
    <n v="22701199"/>
    <x v="0"/>
    <s v="CH (Cheque)"/>
    <s v="II. Receipts form Clients - non matured"/>
    <s v="Cheque PF"/>
    <s v="Sales of batteries - local"/>
    <s v="P/BIAT+KEBILI-0001959"/>
    <s v="TND"/>
    <n v="2826.5749999999998"/>
    <n v="1"/>
    <n v="2826.5749999999998"/>
    <x v="0"/>
    <d v="2022-06-08T00:00:00"/>
    <n v="84"/>
    <d v="2022-08-31T00:00:00"/>
    <n v="-15"/>
    <s v="W35_2022"/>
    <x v="0"/>
  </r>
  <r>
    <x v="0"/>
    <x v="30"/>
    <n v="22701210"/>
    <x v="0"/>
    <s v="CH (Cheque)"/>
    <s v="II. Receipts form Clients - non matured"/>
    <s v="Cheque PF"/>
    <s v="Sales of batteries - local"/>
    <s v="P/BNA+THALA-5940228"/>
    <s v="TND"/>
    <n v="4729.5720000000001"/>
    <n v="1"/>
    <n v="4729.5720000000001"/>
    <x v="0"/>
    <d v="2022-06-18T00:00:00"/>
    <n v="74"/>
    <d v="2022-08-31T00:00:00"/>
    <n v="-15"/>
    <s v="W35_2022"/>
    <x v="0"/>
  </r>
  <r>
    <x v="0"/>
    <x v="91"/>
    <n v="22801255"/>
    <x v="0"/>
    <s v="CH (Cheque)"/>
    <s v="II. Receipts form Clients - non matured"/>
    <s v="Cheque PF"/>
    <s v="Sales of batteries - local"/>
    <s v="P/UIB+BEJA-9895801"/>
    <s v="TND"/>
    <n v="2212.6579999999999"/>
    <n v="1"/>
    <n v="2212.6579999999999"/>
    <x v="0"/>
    <d v="2022-05-25T00:00:00"/>
    <n v="98"/>
    <d v="2022-08-31T00:00:00"/>
    <n v="-15"/>
    <s v="W35_2022"/>
    <x v="0"/>
  </r>
  <r>
    <x v="0"/>
    <x v="207"/>
    <n v="22801317"/>
    <x v="0"/>
    <s v="CH (Cheque)"/>
    <s v="II. Receipts form Clients - non matured"/>
    <s v="Cheque PF"/>
    <s v="Sales of batteries - local"/>
    <s v="P/BIAT+TESTOUR-0000326"/>
    <s v="TND"/>
    <n v="4033.011"/>
    <n v="1"/>
    <n v="4033.011"/>
    <x v="0"/>
    <d v="2022-06-21T00:00:00"/>
    <n v="71"/>
    <d v="2022-08-31T00:00:00"/>
    <n v="-15"/>
    <s v="W35_2022"/>
    <x v="0"/>
  </r>
  <r>
    <x v="0"/>
    <x v="208"/>
    <n v="22801292"/>
    <x v="0"/>
    <s v="CH (Cheque)"/>
    <s v="II. Receipts form Clients - non matured"/>
    <s v="Cheque PF"/>
    <s v="Sales of batteries - local"/>
    <s v="P/BT+KEF-8447464"/>
    <s v="TND"/>
    <n v="4508.2129999999997"/>
    <n v="1"/>
    <n v="4508.2129999999997"/>
    <x v="0"/>
    <d v="2022-06-10T00:00:00"/>
    <n v="82"/>
    <d v="2022-08-31T00:00:00"/>
    <n v="-15"/>
    <s v="W35_2022"/>
    <x v="0"/>
  </r>
  <r>
    <x v="0"/>
    <x v="209"/>
    <n v="22801353"/>
    <x v="0"/>
    <s v="CH (Cheque)"/>
    <s v="II. Receipts form Clients - non matured"/>
    <s v="Cheque PF"/>
    <s v="Sales of batteries - local"/>
    <s v="P/BQ ZIT+KEF-4001764"/>
    <s v="TND"/>
    <n v="4407.1480000000001"/>
    <n v="1"/>
    <n v="4407.1480000000001"/>
    <x v="0"/>
    <d v="2022-07-15T00:00:00"/>
    <n v="47"/>
    <d v="2022-08-31T00:00:00"/>
    <n v="-15"/>
    <s v="W35_2022"/>
    <x v="0"/>
  </r>
  <r>
    <x v="0"/>
    <x v="210"/>
    <n v="22801301"/>
    <x v="0"/>
    <s v="CH (Cheque)"/>
    <s v="II. Receipts form Clients - non matured"/>
    <s v="Cheque PF"/>
    <s v="Sales of batteries - local"/>
    <s v="P/BIAT+JEND-0002671"/>
    <s v="TND"/>
    <n v="355.09"/>
    <n v="1"/>
    <n v="355.09"/>
    <x v="0"/>
    <d v="2022-06-15T00:00:00"/>
    <n v="77"/>
    <d v="2022-08-31T00:00:00"/>
    <n v="-15"/>
    <s v="W35_2022"/>
    <x v="0"/>
  </r>
  <r>
    <x v="0"/>
    <x v="211"/>
    <n v="22401338"/>
    <x v="0"/>
    <s v="CH (Cheque)"/>
    <s v="II. Receipts form Clients - non matured"/>
    <s v="Cheque PF"/>
    <s v="Sales of batteries - local"/>
    <s v="D/UIB+TEBOULBA-1539110"/>
    <s v="TND"/>
    <n v="2035.086"/>
    <n v="1"/>
    <n v="2035.086"/>
    <x v="0"/>
    <d v="2022-04-26T00:00:00"/>
    <n v="127"/>
    <d v="2022-08-31T00:00:00"/>
    <n v="-15"/>
    <s v="W35_2022"/>
    <x v="0"/>
  </r>
  <r>
    <x v="0"/>
    <x v="212"/>
    <n v="22401344"/>
    <x v="0"/>
    <s v="CH (Cheque)"/>
    <s v="II. Receipts form Clients - non matured"/>
    <s v="Cheque PF"/>
    <s v="Sales of batteries - local"/>
    <s v="D/UBCI+TEBOULBA-902201"/>
    <s v="TND"/>
    <n v="3377.0079999999998"/>
    <n v="1"/>
    <n v="3377.0079999999998"/>
    <x v="0"/>
    <d v="2022-04-28T00:00:00"/>
    <n v="125"/>
    <d v="2022-08-31T00:00:00"/>
    <n v="-15"/>
    <s v="W35_2022"/>
    <x v="0"/>
  </r>
  <r>
    <x v="0"/>
    <x v="213"/>
    <n v="22401374"/>
    <x v="0"/>
    <s v="CH (Cheque)"/>
    <s v="II. Receipts form Clients - non matured"/>
    <s v="Cheque PF"/>
    <s v="Sales of batteries - local"/>
    <s v="P/BIAT+SOUSSE-0003424"/>
    <s v="TND"/>
    <n v="491.57"/>
    <n v="1"/>
    <n v="491.57"/>
    <x v="0"/>
    <d v="2022-05-18T00:00:00"/>
    <n v="105"/>
    <d v="2022-08-31T00:00:00"/>
    <n v="-15"/>
    <s v="W35_2022"/>
    <x v="0"/>
  </r>
  <r>
    <x v="0"/>
    <x v="214"/>
    <n v="22401380"/>
    <x v="0"/>
    <s v="CH (Cheque)"/>
    <s v="II. Receipts form Clients - non matured"/>
    <s v="Cheque PF"/>
    <s v="Sales of batteries - local"/>
    <s v="D/BNA+HAFFOUZ-5522041"/>
    <s v="TND"/>
    <n v="10660.663"/>
    <n v="1"/>
    <n v="10660.663"/>
    <x v="0"/>
    <d v="2022-05-19T00:00:00"/>
    <n v="104"/>
    <d v="2022-08-31T00:00:00"/>
    <n v="-15"/>
    <s v="W35_2022"/>
    <x v="0"/>
  </r>
  <r>
    <x v="0"/>
    <x v="215"/>
    <n v="22401384"/>
    <x v="0"/>
    <s v="CH (Cheque)"/>
    <s v="II. Receipts form Clients - non matured"/>
    <s v="Cheque PF"/>
    <s v="Sales of batteries - local"/>
    <s v="D/BNA+JEMMAL-4448640"/>
    <s v="TND"/>
    <n v="2000"/>
    <n v="1"/>
    <n v="2000"/>
    <x v="0"/>
    <d v="2022-05-20T00:00:00"/>
    <n v="103"/>
    <d v="2022-08-31T00:00:00"/>
    <n v="-15"/>
    <s v="W35_2022"/>
    <x v="0"/>
  </r>
  <r>
    <x v="0"/>
    <x v="216"/>
    <n v="22401395"/>
    <x v="0"/>
    <s v="CH (Cheque)"/>
    <s v="II. Receipts form Clients - non matured"/>
    <s v="Cheque PF"/>
    <s v="Sales of batteries - local"/>
    <s v="P/ALBARAKA+MSAKEN-7928"/>
    <s v="TND"/>
    <n v="3188.8440000000001"/>
    <n v="1"/>
    <n v="3188.8440000000001"/>
    <x v="0"/>
    <d v="2022-05-25T00:00:00"/>
    <n v="98"/>
    <d v="2022-08-31T00:00:00"/>
    <n v="-15"/>
    <s v="W35_2022"/>
    <x v="0"/>
  </r>
  <r>
    <x v="0"/>
    <x v="96"/>
    <n v="22401451"/>
    <x v="0"/>
    <s v="CH (Cheque)"/>
    <s v="II. Receipts form Clients - non matured"/>
    <s v="Cheque PF"/>
    <s v="Sales of batteries - local"/>
    <s v="P/UIB+KALAA KEBIRA-232"/>
    <s v="TND"/>
    <n v="974.81399999999996"/>
    <n v="1"/>
    <n v="974.81399999999996"/>
    <x v="0"/>
    <d v="2022-06-08T00:00:00"/>
    <n v="84"/>
    <d v="2022-08-31T00:00:00"/>
    <n v="-15"/>
    <s v="W35_2022"/>
    <x v="0"/>
  </r>
  <r>
    <x v="0"/>
    <x v="64"/>
    <n v="22401491"/>
    <x v="0"/>
    <s v="CH (Cheque)"/>
    <s v="II. Receipts form Clients - non matured"/>
    <s v="Cheque PF"/>
    <s v="Sales of batteries - local"/>
    <s v="D/BNA+HAFFOUZ-5735716"/>
    <s v="TND"/>
    <n v="4113.7120000000004"/>
    <n v="1"/>
    <n v="4113.7120000000004"/>
    <x v="0"/>
    <d v="2022-06-20T00:00:00"/>
    <n v="72"/>
    <d v="2022-08-31T00:00:00"/>
    <n v="-15"/>
    <s v="W35_2022"/>
    <x v="0"/>
  </r>
  <r>
    <x v="0"/>
    <x v="217"/>
    <n v="22401493"/>
    <x v="0"/>
    <s v="CH (Cheque)"/>
    <s v="II. Receipts form Clients - non matured"/>
    <s v="Cheque PF"/>
    <s v="Sales of batteries - local"/>
    <s v="D/ATB+KAIROUAN-3583192"/>
    <s v="TND"/>
    <n v="1019.237"/>
    <n v="1"/>
    <n v="1019.237"/>
    <x v="0"/>
    <d v="2022-06-21T00:00:00"/>
    <n v="71"/>
    <d v="2022-08-31T00:00:00"/>
    <n v="-15"/>
    <s v="W35_2022"/>
    <x v="0"/>
  </r>
  <r>
    <x v="0"/>
    <x v="218"/>
    <n v="22401495"/>
    <x v="0"/>
    <s v="CH (Cheque)"/>
    <s v="II. Receipts form Clients - non matured"/>
    <s v="Cheque PF"/>
    <s v="Sales of batteries - local"/>
    <s v="P/TSB+SOUSSE-8596291"/>
    <s v="TND"/>
    <n v="500"/>
    <n v="1"/>
    <n v="500"/>
    <x v="0"/>
    <d v="2022-06-22T00:00:00"/>
    <n v="70"/>
    <d v="2022-08-31T00:00:00"/>
    <n v="-15"/>
    <s v="W35_2022"/>
    <x v="0"/>
  </r>
  <r>
    <x v="0"/>
    <x v="219"/>
    <n v="22124572"/>
    <x v="0"/>
    <s v="CH (Cheque)"/>
    <s v="II. Receipts form Clients - non matured"/>
    <s v="Cheque PF"/>
    <s v="Sales of batteries - local"/>
    <s v="P/ATTJ BQ+BOUFICHA-008"/>
    <s v="TND"/>
    <n v="739.16899999999998"/>
    <n v="1"/>
    <n v="739.16899999999998"/>
    <x v="0"/>
    <d v="2022-06-02T00:00:00"/>
    <n v="90"/>
    <d v="2022-08-31T00:00:00"/>
    <n v="-15"/>
    <s v="W35_2022"/>
    <x v="0"/>
  </r>
  <r>
    <x v="0"/>
    <x v="99"/>
    <n v="22124337"/>
    <x v="0"/>
    <s v="CH (Cheque)"/>
    <s v="II. Receipts form Clients - non matured"/>
    <s v="Cheque PF"/>
    <s v="Sales of batteries - local"/>
    <s v="P/STB+FOUCHANA-0000449"/>
    <s v="TND"/>
    <n v="988.88900000000001"/>
    <n v="1"/>
    <n v="988.88900000000001"/>
    <x v="0"/>
    <d v="2022-04-26T00:00:00"/>
    <n v="127"/>
    <d v="2022-08-31T00:00:00"/>
    <n v="-15"/>
    <s v="W35_2022"/>
    <x v="0"/>
  </r>
  <r>
    <x v="0"/>
    <x v="65"/>
    <n v="22124585"/>
    <x v="0"/>
    <s v="CH (Cheque)"/>
    <s v="II. Receipts form Clients - non matured"/>
    <s v="Cheque PF"/>
    <s v="Sales of batteries - local"/>
    <s v="P/ATB+BIZERTE-3510827"/>
    <s v="TND"/>
    <n v="10491.644"/>
    <n v="1"/>
    <n v="10491.644"/>
    <x v="0"/>
    <d v="2022-06-09T00:00:00"/>
    <n v="83"/>
    <d v="2022-08-31T00:00:00"/>
    <n v="-15"/>
    <s v="W35_2022"/>
    <x v="0"/>
  </r>
  <r>
    <x v="0"/>
    <x v="7"/>
    <n v="22124372"/>
    <x v="0"/>
    <s v="CH (Cheque)"/>
    <s v="II. Receipts form Clients - non matured"/>
    <s v="Cheque PF"/>
    <s v="Sales of batteries - local"/>
    <s v="P/BIAT+RAOUED-0003481"/>
    <s v="TND"/>
    <n v="963.80100000000004"/>
    <n v="1"/>
    <n v="963.80100000000004"/>
    <x v="0"/>
    <d v="2022-05-09T00:00:00"/>
    <n v="114"/>
    <d v="2022-08-31T00:00:00"/>
    <n v="-15"/>
    <s v="W35_2022"/>
    <x v="0"/>
  </r>
  <r>
    <x v="0"/>
    <x v="97"/>
    <n v="22124346"/>
    <x v="0"/>
    <s v="CH (Cheque)"/>
    <s v="II. Receipts form Clients - non matured"/>
    <s v="Cheque PF"/>
    <s v="Sales of batteries - local"/>
    <s v="P/QNB+BEN AROUS-000982"/>
    <s v="TND"/>
    <n v="9809.9449999999997"/>
    <n v="1"/>
    <n v="9809.9449999999997"/>
    <x v="0"/>
    <d v="2022-04-28T00:00:00"/>
    <n v="125"/>
    <d v="2022-08-31T00:00:00"/>
    <n v="-15"/>
    <s v="W35_2022"/>
    <x v="0"/>
  </r>
  <r>
    <x v="0"/>
    <x v="105"/>
    <n v="22124605"/>
    <x v="0"/>
    <s v="CH (Cheque)"/>
    <s v="II. Receipts form Clients - non matured"/>
    <s v="Cheque PF"/>
    <s v="Sales of batteries - local"/>
    <s v="P/STB+MEGRINE-0001969"/>
    <s v="TND"/>
    <n v="2185.2820000000002"/>
    <n v="1"/>
    <n v="2185.2820000000002"/>
    <x v="0"/>
    <d v="2022-06-11T00:00:00"/>
    <n v="81"/>
    <d v="2022-08-31T00:00:00"/>
    <n v="-15"/>
    <s v="W35_2022"/>
    <x v="0"/>
  </r>
  <r>
    <x v="0"/>
    <x v="220"/>
    <n v="22124789"/>
    <x v="0"/>
    <s v="CH (Cheque)"/>
    <s v="II. Receipts form Clients - non matured"/>
    <s v="Cheque PF"/>
    <s v="Sales of batteries - local"/>
    <s v="P/TSB+MEGRINE-8656968"/>
    <s v="TND"/>
    <n v="543.71600000000001"/>
    <n v="1"/>
    <n v="543.71600000000001"/>
    <x v="0"/>
    <d v="2022-06-30T00:00:00"/>
    <n v="62"/>
    <d v="2022-08-31T00:00:00"/>
    <n v="-15"/>
    <s v="W35_2022"/>
    <x v="0"/>
  </r>
  <r>
    <x v="0"/>
    <x v="69"/>
    <n v="22124419"/>
    <x v="0"/>
    <s v="CH (Cheque)"/>
    <s v="II. Receipts form Clients - non matured"/>
    <s v="Cheque PF"/>
    <s v="Sales of batteries - local"/>
    <s v="P/UBCI+TN-8705959"/>
    <s v="TND"/>
    <n v="4965.43"/>
    <n v="1"/>
    <n v="4965.43"/>
    <x v="0"/>
    <d v="2022-05-17T00:00:00"/>
    <n v="106"/>
    <d v="2022-08-31T00:00:00"/>
    <n v="-15"/>
    <s v="W35_2022"/>
    <x v="0"/>
  </r>
  <r>
    <x v="0"/>
    <x v="221"/>
    <n v="22124421"/>
    <x v="0"/>
    <s v="CH (Cheque)"/>
    <s v="II. Receipts form Clients - non matured"/>
    <s v="Cheque PF"/>
    <s v="Sales of batteries - local"/>
    <s v="P/UIB+TN-4705501"/>
    <s v="TND"/>
    <n v="1788.673"/>
    <n v="1"/>
    <n v="1788.673"/>
    <x v="0"/>
    <d v="2022-05-17T00:00:00"/>
    <n v="106"/>
    <d v="2022-08-31T00:00:00"/>
    <n v="-15"/>
    <s v="W35_2022"/>
    <x v="0"/>
  </r>
  <r>
    <x v="0"/>
    <x v="222"/>
    <n v="22124454"/>
    <x v="0"/>
    <s v="CH (Cheque)"/>
    <s v="II. Receipts form Clients - non matured"/>
    <s v="Cheque PF"/>
    <s v="Sales of batteries - local"/>
    <s v="P/UBCI+MORNEG-8896589"/>
    <s v="TND"/>
    <n v="1417.3879999999999"/>
    <n v="1"/>
    <n v="1417.3879999999999"/>
    <x v="0"/>
    <d v="2022-05-21T00:00:00"/>
    <n v="102"/>
    <d v="2022-08-31T00:00:00"/>
    <n v="-15"/>
    <s v="W35_2022"/>
    <x v="0"/>
  </r>
  <r>
    <x v="0"/>
    <x v="104"/>
    <n v="22124494"/>
    <x v="0"/>
    <s v="CH (Cheque)"/>
    <s v="II. Receipts form Clients - non matured"/>
    <s v="Cheque PF"/>
    <s v="Sales of batteries - local"/>
    <s v="P/BIAT+ARIANA-0001894"/>
    <s v="TND"/>
    <n v="1657.97"/>
    <n v="1"/>
    <n v="1657.97"/>
    <x v="0"/>
    <d v="2022-05-25T00:00:00"/>
    <n v="98"/>
    <d v="2022-08-31T00:00:00"/>
    <n v="-15"/>
    <s v="W35_2022"/>
    <x v="0"/>
  </r>
  <r>
    <x v="0"/>
    <x v="223"/>
    <n v="22124521"/>
    <x v="0"/>
    <s v="CH (Cheque)"/>
    <s v="II. Receipts form Clients - non matured"/>
    <s v="Cheque PF"/>
    <s v="Sales of batteries - local"/>
    <s v="P/BT+BOUMHEL-8603797"/>
    <s v="TND"/>
    <n v="422.75900000000001"/>
    <n v="1"/>
    <n v="422.75900000000001"/>
    <x v="0"/>
    <d v="2022-05-26T00:00:00"/>
    <n v="97"/>
    <d v="2022-08-31T00:00:00"/>
    <n v="-15"/>
    <s v="W35_2022"/>
    <x v="0"/>
  </r>
  <r>
    <x v="0"/>
    <x v="224"/>
    <n v="22124578"/>
    <x v="0"/>
    <s v="CH (Cheque)"/>
    <s v="II. Receipts form Clients - non matured"/>
    <s v="Cheque PF"/>
    <s v="Sales of batteries - local"/>
    <s v="P/UIB+EL OUARDIA-11367"/>
    <s v="TND"/>
    <n v="3358.556"/>
    <n v="1"/>
    <n v="3358.556"/>
    <x v="0"/>
    <d v="2022-06-03T00:00:00"/>
    <n v="89"/>
    <d v="2022-08-31T00:00:00"/>
    <n v="-15"/>
    <s v="W35_2022"/>
    <x v="0"/>
  </r>
  <r>
    <x v="0"/>
    <x v="225"/>
    <n v="22124618"/>
    <x v="0"/>
    <s v="CH (Cheque)"/>
    <s v="II. Receipts form Clients - non matured"/>
    <s v="Cheque PF"/>
    <s v="Sales of batteries - local"/>
    <s v="P/BQ ZAIT+BOUMHAL-4000"/>
    <s v="TND"/>
    <n v="609.30799999999999"/>
    <n v="1"/>
    <n v="609.30799999999999"/>
    <x v="0"/>
    <d v="2022-06-14T00:00:00"/>
    <n v="78"/>
    <d v="2022-08-31T00:00:00"/>
    <n v="-15"/>
    <s v="W35_2022"/>
    <x v="0"/>
  </r>
  <r>
    <x v="0"/>
    <x v="82"/>
    <n v="22124631"/>
    <x v="0"/>
    <s v="CH (Cheque)"/>
    <s v="II. Receipts form Clients - non matured"/>
    <s v="Cheque PF"/>
    <s v="Sales of batteries - local"/>
    <s v="P/UIB+SIDI BELHASSEN-1"/>
    <s v="TND"/>
    <n v="902.28899999999999"/>
    <n v="1"/>
    <n v="902.28899999999999"/>
    <x v="0"/>
    <d v="2022-06-15T00:00:00"/>
    <n v="77"/>
    <d v="2022-08-31T00:00:00"/>
    <n v="-15"/>
    <s v="W35_2022"/>
    <x v="0"/>
  </r>
  <r>
    <x v="0"/>
    <x v="226"/>
    <n v="22124650"/>
    <x v="0"/>
    <s v="CH (Cheque)"/>
    <s v="II. Receipts form Clients - non matured"/>
    <s v="Cheque PF"/>
    <s v="Sales of batteries - local"/>
    <s v="P/ATB+ZAGHOUAN-5148102"/>
    <s v="TND"/>
    <n v="9131.1659999999993"/>
    <n v="1"/>
    <n v="9131.1659999999993"/>
    <x v="0"/>
    <d v="2022-06-16T00:00:00"/>
    <n v="76"/>
    <d v="2022-08-31T00:00:00"/>
    <n v="-15"/>
    <s v="W35_2022"/>
    <x v="0"/>
  </r>
  <r>
    <x v="0"/>
    <x v="58"/>
    <n v="22124653"/>
    <x v="0"/>
    <s v="CH (Cheque)"/>
    <s v="II. Receipts form Clients - non matured"/>
    <s v="Cheque PF"/>
    <s v="Sales of batteries - local"/>
    <s v="P/BIAT+TN-0001921"/>
    <s v="TND"/>
    <n v="1410.8530000000001"/>
    <n v="1"/>
    <n v="1410.8530000000001"/>
    <x v="0"/>
    <d v="2022-06-17T00:00:00"/>
    <n v="75"/>
    <d v="2022-08-31T00:00:00"/>
    <n v="-15"/>
    <s v="W35_2022"/>
    <x v="0"/>
  </r>
  <r>
    <x v="0"/>
    <x v="67"/>
    <n v="22124659"/>
    <x v="0"/>
    <s v="CH (Cheque)"/>
    <s v="II. Receipts form Clients - non matured"/>
    <s v="Cheque PF"/>
    <s v="Sales of batteries - local"/>
    <s v="P/STB+TN-0000132"/>
    <s v="TND"/>
    <n v="229.364"/>
    <n v="1"/>
    <n v="229.364"/>
    <x v="0"/>
    <d v="2022-06-17T00:00:00"/>
    <n v="75"/>
    <d v="2022-08-31T00:00:00"/>
    <n v="-15"/>
    <s v="W35_2022"/>
    <x v="0"/>
  </r>
  <r>
    <x v="0"/>
    <x v="41"/>
    <n v="22124664"/>
    <x v="0"/>
    <s v="CH (Cheque)"/>
    <s v="II. Receipts form Clients - non matured"/>
    <s v="Cheque PF"/>
    <s v="Sales of batteries - local"/>
    <s v="P/STB+TN-0004483"/>
    <s v="TND"/>
    <n v="3825.395"/>
    <n v="1"/>
    <n v="3825.395"/>
    <x v="0"/>
    <d v="2022-06-17T00:00:00"/>
    <n v="75"/>
    <d v="2022-08-31T00:00:00"/>
    <n v="-15"/>
    <s v="W35_2022"/>
    <x v="0"/>
  </r>
  <r>
    <x v="0"/>
    <x v="227"/>
    <n v="22124666"/>
    <x v="0"/>
    <s v="CH (Cheque)"/>
    <s v="II. Receipts form Clients - non matured"/>
    <s v="Cheque PF"/>
    <s v="Sales of batteries - local"/>
    <s v="P/BQ ZAIT+EL MOUROUJ-4"/>
    <s v="TND"/>
    <n v="20326.226999999999"/>
    <n v="1"/>
    <n v="20326.226999999999"/>
    <x v="0"/>
    <d v="2022-06-18T00:00:00"/>
    <n v="74"/>
    <d v="2022-08-31T00:00:00"/>
    <n v="-15"/>
    <s v="W35_2022"/>
    <x v="0"/>
  </r>
  <r>
    <x v="0"/>
    <x v="71"/>
    <n v="22124671"/>
    <x v="0"/>
    <s v="CH (Cheque)"/>
    <s v="II. Receipts form Clients - non matured"/>
    <s v="Cheque PF"/>
    <s v="Sales of batteries - local"/>
    <s v="P/UBCI+BIZERTE-8461252"/>
    <s v="TND"/>
    <n v="891.81500000000005"/>
    <n v="1"/>
    <n v="891.81500000000005"/>
    <x v="0"/>
    <d v="2022-06-20T00:00:00"/>
    <n v="72"/>
    <d v="2022-08-31T00:00:00"/>
    <n v="-15"/>
    <s v="W35_2022"/>
    <x v="0"/>
  </r>
  <r>
    <x v="0"/>
    <x v="228"/>
    <n v="22124670"/>
    <x v="0"/>
    <s v="CH (Cheque)"/>
    <s v="II. Receipts form Clients - non matured"/>
    <s v="Cheque PF"/>
    <s v="Sales of batteries - local"/>
    <s v="P/STB+ZAGHOAUN-0001432"/>
    <s v="TND"/>
    <n v="1986.836"/>
    <n v="1"/>
    <n v="1986.836"/>
    <x v="0"/>
    <d v="2022-06-20T00:00:00"/>
    <n v="72"/>
    <d v="2022-08-31T00:00:00"/>
    <n v="-15"/>
    <s v="W35_2022"/>
    <x v="0"/>
  </r>
  <r>
    <x v="0"/>
    <x v="60"/>
    <n v="22124694"/>
    <x v="0"/>
    <s v="CH (Cheque)"/>
    <s v="II. Receipts form Clients - non matured"/>
    <s v="Cheque PF"/>
    <s v="Sales of batteries - local"/>
    <s v="P/ATTJ BQ+EL HRAIRIA-0"/>
    <s v="TND"/>
    <n v="627.31600000000003"/>
    <n v="1"/>
    <n v="627.31600000000003"/>
    <x v="0"/>
    <d v="2022-06-22T00:00:00"/>
    <n v="70"/>
    <d v="2022-08-31T00:00:00"/>
    <n v="-15"/>
    <s v="W35_2022"/>
    <x v="0"/>
  </r>
  <r>
    <x v="0"/>
    <x v="50"/>
    <n v="22124690"/>
    <x v="0"/>
    <s v="CH (Cheque)"/>
    <s v="II. Receipts form Clients - non matured"/>
    <s v="Cheque PF"/>
    <s v="Sales of batteries - local"/>
    <s v="P/BTL+MRAZKA-2986833"/>
    <s v="TND"/>
    <n v="2131.1950000000002"/>
    <n v="1"/>
    <n v="2131.1950000000002"/>
    <x v="0"/>
    <d v="2022-06-21T00:00:00"/>
    <n v="71"/>
    <d v="2022-08-31T00:00:00"/>
    <n v="-15"/>
    <s v="W35_2022"/>
    <x v="0"/>
  </r>
  <r>
    <x v="0"/>
    <x v="108"/>
    <n v="22124713"/>
    <x v="0"/>
    <s v="CH (Cheque)"/>
    <s v="II. Receipts form Clients - non matured"/>
    <s v="Cheque PF"/>
    <s v="Sales of batteries - local"/>
    <s v="P/STB+TN-0006083"/>
    <s v="TND"/>
    <n v="1215.8"/>
    <n v="1"/>
    <n v="1215.8"/>
    <x v="0"/>
    <d v="2022-06-24T00:00:00"/>
    <n v="68"/>
    <d v="2022-08-31T00:00:00"/>
    <n v="-15"/>
    <s v="W35_2022"/>
    <x v="0"/>
  </r>
  <r>
    <x v="0"/>
    <x v="229"/>
    <n v="22124712"/>
    <x v="0"/>
    <s v="CH (Cheque)"/>
    <s v="II. Receipts form Clients - non matured"/>
    <s v="Cheque PF"/>
    <s v="Sales of batteries - local"/>
    <s v="P/BQ ZAIT+MOUROUJ-4002"/>
    <s v="TND"/>
    <n v="375.93799999999999"/>
    <n v="1"/>
    <n v="375.93799999999999"/>
    <x v="0"/>
    <d v="2022-06-24T00:00:00"/>
    <n v="68"/>
    <d v="2022-08-31T00:00:00"/>
    <n v="-15"/>
    <s v="W35_2022"/>
    <x v="0"/>
  </r>
  <r>
    <x v="0"/>
    <x v="230"/>
    <n v="22124739"/>
    <x v="0"/>
    <s v="CH (Cheque)"/>
    <s v="II. Receipts form Clients - non matured"/>
    <s v="Cheque PF"/>
    <s v="Sales of batteries - local"/>
    <s v="P/BH+EL MHAMEDIA-20244"/>
    <s v="TND"/>
    <n v="4569.1220000000003"/>
    <n v="1"/>
    <n v="4569.1220000000003"/>
    <x v="0"/>
    <d v="2022-06-27T00:00:00"/>
    <n v="65"/>
    <d v="2022-08-31T00:00:00"/>
    <n v="-15"/>
    <s v="W35_2022"/>
    <x v="0"/>
  </r>
  <r>
    <x v="0"/>
    <x v="231"/>
    <n v="22124812"/>
    <x v="0"/>
    <s v="CH (Cheque)"/>
    <s v="II. Receipts form Clients - non matured"/>
    <s v="Cheque PF"/>
    <s v="Sales of batteries - local"/>
    <s v="P/BNA+ARIANAµ-5853490"/>
    <s v="TND"/>
    <n v="7797.4880000000003"/>
    <n v="1"/>
    <n v="7797.4880000000003"/>
    <x v="0"/>
    <d v="2022-07-06T00:00:00"/>
    <n v="56"/>
    <d v="2022-08-31T00:00:00"/>
    <n v="-15"/>
    <s v="W35_2022"/>
    <x v="0"/>
  </r>
  <r>
    <x v="0"/>
    <x v="51"/>
    <n v="22124773"/>
    <x v="0"/>
    <s v="CH (Cheque)"/>
    <s v="II. Receipts form Clients - non matured"/>
    <s v="Cheque PF"/>
    <s v="Sales of batteries - local"/>
    <s v="P/BT+BAB SAADOUN-83859"/>
    <s v="TND"/>
    <n v="367.28899999999999"/>
    <n v="1"/>
    <n v="367.28899999999999"/>
    <x v="0"/>
    <d v="2022-06-29T00:00:00"/>
    <n v="63"/>
    <d v="2022-08-31T00:00:00"/>
    <n v="-15"/>
    <s v="W35_2022"/>
    <x v="0"/>
  </r>
  <r>
    <x v="0"/>
    <x v="110"/>
    <n v="22124777"/>
    <x v="0"/>
    <s v="CH (Cheque)"/>
    <s v="II. Receipts form Clients - non matured"/>
    <s v="Cheque PF"/>
    <s v="Sales of batteries - local"/>
    <s v="P/BT+HAMMAM LIF-876692"/>
    <s v="TND"/>
    <n v="828.98400000000004"/>
    <n v="1"/>
    <n v="828.98400000000004"/>
    <x v="0"/>
    <d v="2022-06-29T00:00:00"/>
    <n v="63"/>
    <d v="2022-08-31T00:00:00"/>
    <n v="-15"/>
    <s v="W35_2022"/>
    <x v="0"/>
  </r>
  <r>
    <x v="0"/>
    <x v="77"/>
    <n v="22301320"/>
    <x v="0"/>
    <s v="CH (Cheque)"/>
    <s v="II. Receipts form Clients - non matured"/>
    <s v="Cheque PF"/>
    <s v="Sales of batteries - local"/>
    <s v="P/BH+SFAX-1479977"/>
    <s v="TND"/>
    <n v="1583.5640000000001"/>
    <n v="1"/>
    <n v="1583.5640000000001"/>
    <x v="0"/>
    <d v="2022-04-07T00:00:00"/>
    <n v="146"/>
    <d v="2022-08-31T00:00:00"/>
    <n v="-15"/>
    <s v="W35_2022"/>
    <x v="0"/>
  </r>
  <r>
    <x v="0"/>
    <x v="12"/>
    <n v="22301304"/>
    <x v="0"/>
    <s v="CH (Cheque)"/>
    <s v="II. Receipts form Clients - non matured"/>
    <s v="Cheque PF"/>
    <s v="Sales of batteries - local"/>
    <s v="D/WB+BIR ALI-0000041"/>
    <s v="TND"/>
    <n v="3888"/>
    <n v="1"/>
    <n v="3888"/>
    <x v="0"/>
    <d v="2022-04-06T00:00:00"/>
    <n v="147"/>
    <d v="2022-08-31T00:00:00"/>
    <n v="-15"/>
    <s v="W35_2022"/>
    <x v="0"/>
  </r>
  <r>
    <x v="0"/>
    <x v="232"/>
    <n v="22301392"/>
    <x v="0"/>
    <s v="CH (Cheque)"/>
    <s v="II. Receipts form Clients - non matured"/>
    <s v="Cheque PF"/>
    <s v="Sales of batteries - local"/>
    <s v="P/STB+SFAX-0007597"/>
    <s v="TND"/>
    <n v="5690.7969999999996"/>
    <n v="1"/>
    <n v="5690.7969999999996"/>
    <x v="0"/>
    <d v="2022-04-25T00:00:00"/>
    <n v="128"/>
    <d v="2022-08-31T00:00:00"/>
    <n v="-15"/>
    <s v="W35_2022"/>
    <x v="0"/>
  </r>
  <r>
    <x v="0"/>
    <x v="125"/>
    <n v="22301406"/>
    <x v="0"/>
    <s v="CH (Cheque)"/>
    <s v="II. Receipts form Clients - non matured"/>
    <s v="Cheque PF"/>
    <s v="Sales of batteries - local"/>
    <s v="P/BIAT+SFAX-0007360"/>
    <s v="TND"/>
    <n v="830"/>
    <n v="1"/>
    <n v="830"/>
    <x v="0"/>
    <d v="2022-04-27T00:00:00"/>
    <n v="126"/>
    <d v="2022-08-31T00:00:00"/>
    <n v="-15"/>
    <s v="W35_2022"/>
    <x v="0"/>
  </r>
  <r>
    <x v="0"/>
    <x v="8"/>
    <n v="22301428"/>
    <x v="0"/>
    <s v="CH (Cheque)"/>
    <s v="II. Receipts form Clients - non matured"/>
    <s v="Cheque PF"/>
    <s v="Sales of batteries - local"/>
    <s v="P/BZ+SFAX-4000687"/>
    <s v="TND"/>
    <n v="6102.9750000000004"/>
    <n v="1"/>
    <n v="6102.9750000000004"/>
    <x v="0"/>
    <d v="2022-05-05T00:00:00"/>
    <n v="118"/>
    <d v="2022-08-31T00:00:00"/>
    <n v="-15"/>
    <s v="W35_2022"/>
    <x v="0"/>
  </r>
  <r>
    <x v="0"/>
    <x v="233"/>
    <n v="22301435"/>
    <x v="0"/>
    <s v="CH (Cheque)"/>
    <s v="II. Receipts form Clients - non matured"/>
    <s v="Cheque PF"/>
    <s v="Sales of batteries - local"/>
    <s v="P/BNA+SFAX-4883190"/>
    <s v="TND"/>
    <n v="3078.9360000000001"/>
    <n v="1"/>
    <n v="3078.9360000000001"/>
    <x v="0"/>
    <d v="2022-05-10T00:00:00"/>
    <n v="113"/>
    <d v="2022-08-31T00:00:00"/>
    <n v="-15"/>
    <s v="W35_2022"/>
    <x v="0"/>
  </r>
  <r>
    <x v="0"/>
    <x v="121"/>
    <n v="22301615"/>
    <x v="0"/>
    <s v="CH (Cheque)"/>
    <s v="II. Receipts form Clients - non matured"/>
    <s v="Cheque PF"/>
    <s v="Sales of batteries - local"/>
    <s v="D/BNA+CHRARDA-5316604"/>
    <s v="TND"/>
    <n v="1155"/>
    <n v="1"/>
    <n v="1155"/>
    <x v="0"/>
    <d v="2022-06-30T00:00:00"/>
    <n v="62"/>
    <d v="2022-08-31T00:00:00"/>
    <n v="-15"/>
    <s v="W35_2022"/>
    <x v="0"/>
  </r>
  <r>
    <x v="0"/>
    <x v="234"/>
    <n v="22301652"/>
    <x v="0"/>
    <s v="CH (Cheque)"/>
    <s v="II. Receipts form Clients - non matured"/>
    <s v="Cheque PF"/>
    <s v="Sales of batteries - local"/>
    <s v="P/BNA+SFAX-5185272"/>
    <s v="TND"/>
    <n v="2118.7939999999999"/>
    <n v="1"/>
    <n v="2118.7939999999999"/>
    <x v="0"/>
    <d v="2022-07-07T00:00:00"/>
    <n v="55"/>
    <d v="2022-08-31T00:00:00"/>
    <n v="-15"/>
    <s v="W35_2022"/>
    <x v="0"/>
  </r>
  <r>
    <x v="0"/>
    <x v="235"/>
    <n v="22301451"/>
    <x v="0"/>
    <s v="CH (Cheque)"/>
    <s v="II. Receipts form Clients - non matured"/>
    <s v="Cheque PF"/>
    <s v="Sales of batteries - local"/>
    <s v="P/UIB+CHEBBA-2334654"/>
    <s v="TND"/>
    <n v="462.99799999999999"/>
    <n v="1"/>
    <n v="462.99799999999999"/>
    <x v="0"/>
    <d v="2022-05-15T00:00:00"/>
    <n v="108"/>
    <d v="2022-08-31T00:00:00"/>
    <n v="-15"/>
    <s v="W35_2022"/>
    <x v="0"/>
  </r>
  <r>
    <x v="0"/>
    <x v="236"/>
    <n v="22301463"/>
    <x v="0"/>
    <s v="CH (Cheque)"/>
    <s v="II. Receipts form Clients - non matured"/>
    <s v="Cheque PF"/>
    <s v="Sales of batteries - local"/>
    <s v="P/AB+SFAX-7977337"/>
    <s v="TND"/>
    <n v="1557.1379999999999"/>
    <n v="1"/>
    <n v="1557.1379999999999"/>
    <x v="0"/>
    <d v="2022-05-17T00:00:00"/>
    <n v="106"/>
    <d v="2022-08-31T00:00:00"/>
    <n v="-15"/>
    <s v="W35_2022"/>
    <x v="0"/>
  </r>
  <r>
    <x v="0"/>
    <x v="8"/>
    <n v="22301526"/>
    <x v="0"/>
    <s v="CH (Cheque)"/>
    <s v="II. Receipts form Clients - non matured"/>
    <s v="Cheque PF"/>
    <s v="Sales of batteries - local"/>
    <s v="P/BZ+SFAX-4000689"/>
    <s v="TND"/>
    <n v="5000"/>
    <n v="1"/>
    <n v="5000"/>
    <x v="0"/>
    <d v="2022-05-31T00:00:00"/>
    <n v="92"/>
    <d v="2022-08-31T00:00:00"/>
    <n v="-15"/>
    <s v="W35_2022"/>
    <x v="0"/>
  </r>
  <r>
    <x v="0"/>
    <x v="237"/>
    <n v="22301533"/>
    <x v="0"/>
    <s v="CH (Cheque)"/>
    <s v="II. Receipts form Clients - non matured"/>
    <s v="Cheque PF"/>
    <s v="Sales of batteries - local"/>
    <s v="D/BH+ELJEM-1737820"/>
    <s v="TND"/>
    <n v="250"/>
    <n v="1"/>
    <n v="250"/>
    <x v="0"/>
    <d v="2022-06-02T00:00:00"/>
    <n v="90"/>
    <d v="2022-08-31T00:00:00"/>
    <n v="-15"/>
    <s v="W35_2022"/>
    <x v="0"/>
  </r>
  <r>
    <x v="0"/>
    <x v="115"/>
    <n v="22301512"/>
    <x v="0"/>
    <s v="CH (Cheque)"/>
    <s v="II. Receipts form Clients - non matured"/>
    <s v="Cheque PF"/>
    <s v="Sales of batteries - local"/>
    <s v="P/UIB+SFAX-2493060"/>
    <s v="TND"/>
    <n v="471.16"/>
    <n v="1"/>
    <n v="471.16"/>
    <x v="0"/>
    <d v="2022-05-27T00:00:00"/>
    <n v="96"/>
    <d v="2022-08-31T00:00:00"/>
    <n v="-15"/>
    <s v="W35_2022"/>
    <x v="0"/>
  </r>
  <r>
    <x v="0"/>
    <x v="238"/>
    <n v="22301554"/>
    <x v="0"/>
    <s v="CH (Cheque)"/>
    <s v="II. Receipts form Clients - non matured"/>
    <s v="Cheque PF"/>
    <s v="Sales of batteries - local"/>
    <s v="P/WB+SFAX-0000291"/>
    <s v="TND"/>
    <n v="1562.277"/>
    <n v="1"/>
    <n v="1562.277"/>
    <x v="0"/>
    <d v="2022-06-14T00:00:00"/>
    <n v="78"/>
    <d v="2022-08-31T00:00:00"/>
    <n v="-15"/>
    <s v="W35_2022"/>
    <x v="0"/>
  </r>
  <r>
    <x v="0"/>
    <x v="239"/>
    <n v="22301560"/>
    <x v="0"/>
    <s v="CH (Cheque)"/>
    <s v="II. Receipts form Clients - non matured"/>
    <s v="Cheque PF"/>
    <s v="Sales of batteries - local"/>
    <s v="P/UBCI+SFAX-9131030"/>
    <s v="TND"/>
    <n v="1449.259"/>
    <n v="1"/>
    <n v="1449.259"/>
    <x v="0"/>
    <d v="2022-06-15T00:00:00"/>
    <n v="77"/>
    <d v="2022-08-31T00:00:00"/>
    <n v="-15"/>
    <s v="W35_2022"/>
    <x v="0"/>
  </r>
  <r>
    <x v="0"/>
    <x v="118"/>
    <n v="22301587"/>
    <x v="0"/>
    <s v="CH (Cheque)"/>
    <s v="II. Receipts form Clients - non matured"/>
    <s v="Cheque PF"/>
    <s v="Sales of batteries - local"/>
    <s v="P/BZ+SFAX-4002979"/>
    <s v="TND"/>
    <n v="5290"/>
    <n v="1"/>
    <n v="5290"/>
    <x v="0"/>
    <d v="2022-06-27T00:00:00"/>
    <n v="65"/>
    <d v="2022-08-31T00:00:00"/>
    <n v="-15"/>
    <s v="W35_2022"/>
    <x v="0"/>
  </r>
  <r>
    <x v="0"/>
    <x v="116"/>
    <n v="22301671"/>
    <x v="0"/>
    <s v="CH (Cheque)"/>
    <s v="II. Receipts form Clients - non matured"/>
    <s v="Cheque PF"/>
    <s v="Sales of batteries - local"/>
    <s v="D/UBCI+MAHRES-8282655"/>
    <s v="TND"/>
    <n v="4000"/>
    <n v="1"/>
    <n v="4000"/>
    <x v="0"/>
    <d v="2022-07-14T00:00:00"/>
    <n v="48"/>
    <d v="2022-08-31T00:00:00"/>
    <n v="-15"/>
    <s v="W35_2022"/>
    <x v="0"/>
  </r>
  <r>
    <x v="0"/>
    <x v="240"/>
    <n v="22401664"/>
    <x v="0"/>
    <s v="CH (Cheque)"/>
    <s v="II. Receipts form Clients - non matured"/>
    <s v="Cheque PF"/>
    <s v="Sales of batteries - local"/>
    <s v="D/UIB+MAHDIA-2126999"/>
    <s v="TND"/>
    <n v="10204.343999999999"/>
    <n v="1"/>
    <n v="10204.343999999999"/>
    <x v="0"/>
    <d v="2022-07-29T00:00:00"/>
    <n v="34"/>
    <d v="2022-09-01T00:00:00"/>
    <n v="-16"/>
    <s v="W35_2022"/>
    <x v="0"/>
  </r>
  <r>
    <x v="0"/>
    <x v="241"/>
    <n v="22701200"/>
    <x v="0"/>
    <s v="CH (Cheque)"/>
    <s v="II. Receipts form Clients - non matured"/>
    <s v="Cheque PF"/>
    <s v="Sales of batteries - local"/>
    <s v="P/STB+KEBILI-0000166"/>
    <s v="TND"/>
    <n v="2330.558"/>
    <n v="1"/>
    <n v="2330.558"/>
    <x v="0"/>
    <d v="2022-06-08T00:00:00"/>
    <n v="85"/>
    <d v="2022-09-01T00:00:00"/>
    <n v="-16"/>
    <s v="W35_2022"/>
    <x v="0"/>
  </r>
  <r>
    <x v="0"/>
    <x v="242"/>
    <n v="22701201"/>
    <x v="0"/>
    <s v="CH (Cheque)"/>
    <s v="II. Receipts form Clients - non matured"/>
    <s v="Cheque PF"/>
    <s v="Sales of batteries - local"/>
    <s v="P/BNA+KEBILI-5099662"/>
    <s v="TND"/>
    <n v="5343.7560000000003"/>
    <n v="1"/>
    <n v="5343.7560000000003"/>
    <x v="0"/>
    <d v="2022-06-08T00:00:00"/>
    <n v="85"/>
    <d v="2022-09-01T00:00:00"/>
    <n v="-16"/>
    <s v="W35_2022"/>
    <x v="0"/>
  </r>
  <r>
    <x v="0"/>
    <x v="6"/>
    <n v="22401257"/>
    <x v="0"/>
    <s v="CH (Cheque)"/>
    <s v="II. Receipts form Clients - non matured"/>
    <s v="Cheque PF"/>
    <s v="Sales of batteries - local"/>
    <s v="D/BH+MOKNINE-1843839"/>
    <s v="TND"/>
    <n v="2000"/>
    <n v="1"/>
    <n v="2000"/>
    <x v="0"/>
    <d v="2022-03-28T00:00:00"/>
    <n v="157"/>
    <d v="2022-09-01T00:00:00"/>
    <n v="-16"/>
    <s v="W35_2022"/>
    <x v="0"/>
  </r>
  <r>
    <x v="0"/>
    <x v="74"/>
    <n v="22401372"/>
    <x v="0"/>
    <s v="CH (Cheque)"/>
    <s v="II. Receipts form Clients - non matured"/>
    <s v="Cheque PF"/>
    <s v="Sales of batteries - local"/>
    <s v="D/BIAT+MONASTIR-000766"/>
    <s v="TND"/>
    <n v="1500"/>
    <n v="1"/>
    <n v="1500"/>
    <x v="0"/>
    <d v="2022-05-16T00:00:00"/>
    <n v="108"/>
    <d v="2022-09-01T00:00:00"/>
    <n v="-16"/>
    <s v="W35_2022"/>
    <x v="0"/>
  </r>
  <r>
    <x v="0"/>
    <x v="59"/>
    <n v="22124615"/>
    <x v="0"/>
    <s v="CH (Cheque)"/>
    <s v="II. Receipts form Clients - non matured"/>
    <s v="Cheque PF"/>
    <s v="Sales of batteries - local"/>
    <s v="P/BNA+BENI KHALLED-464"/>
    <s v="TND"/>
    <n v="4161.6610000000001"/>
    <n v="1"/>
    <n v="4161.6610000000001"/>
    <x v="0"/>
    <d v="2022-06-13T00:00:00"/>
    <n v="80"/>
    <d v="2022-09-01T00:00:00"/>
    <n v="-16"/>
    <s v="W35_2022"/>
    <x v="0"/>
  </r>
  <r>
    <x v="0"/>
    <x v="243"/>
    <n v="22801407"/>
    <x v="0"/>
    <s v="CH (Cheque)"/>
    <s v="II. Receipts form Clients - non matured"/>
    <s v="Cheque PF"/>
    <s v="Sales of batteries - local"/>
    <s v="P/BNA+BOUSALEM-0529729"/>
    <s v="TND"/>
    <n v="1664.4749999999999"/>
    <n v="1"/>
    <n v="1664.4749999999999"/>
    <x v="0"/>
    <d v="2022-08-04T00:00:00"/>
    <n v="29"/>
    <d v="2022-09-02T00:00:00"/>
    <n v="-17"/>
    <s v="W35_2022"/>
    <x v="0"/>
  </r>
  <r>
    <x v="0"/>
    <x v="244"/>
    <n v="22401458"/>
    <x v="0"/>
    <s v="CH (Cheque)"/>
    <s v="II. Receipts form Clients - non matured"/>
    <s v="Cheque PF"/>
    <s v="Sales of batteries - local"/>
    <s v="D/BT+JEMMAL-8673761"/>
    <s v="TND"/>
    <n v="5543.2250000000004"/>
    <n v="1"/>
    <n v="5543.2250000000004"/>
    <x v="0"/>
    <d v="2022-06-11T00:00:00"/>
    <n v="83"/>
    <d v="2022-09-02T00:00:00"/>
    <n v="-17"/>
    <s v="W35_2022"/>
    <x v="0"/>
  </r>
  <r>
    <x v="0"/>
    <x v="245"/>
    <n v="22124491"/>
    <x v="0"/>
    <s v="CH (Cheque)"/>
    <s v="II. Receipts form Clients - non matured"/>
    <s v="Cheque PF"/>
    <s v="Sales of batteries - local"/>
    <s v="P/AMEN B+KALAAT EL AND"/>
    <s v="TND"/>
    <n v="1168.3779999999999"/>
    <n v="1"/>
    <n v="1168.3779999999999"/>
    <x v="0"/>
    <d v="2022-05-25T00:00:00"/>
    <n v="100"/>
    <d v="2022-09-02T00:00:00"/>
    <n v="-17"/>
    <s v="W35_2022"/>
    <x v="0"/>
  </r>
  <r>
    <x v="0"/>
    <x v="11"/>
    <n v="22401548"/>
    <x v="0"/>
    <s v="CH (Cheque)"/>
    <s v="II. Receipts form Clients - non matured"/>
    <s v="Cheque PF"/>
    <s v="Sales of batteries - local"/>
    <s v="D/BIAT+JEMMAL-0000432"/>
    <s v="TND"/>
    <n v="1540"/>
    <n v="1"/>
    <n v="1540"/>
    <x v="0"/>
    <d v="2022-06-30T00:00:00"/>
    <n v="65"/>
    <d v="2022-09-03T00:00:00"/>
    <n v="-18"/>
    <s v="W36_2022"/>
    <x v="0"/>
  </r>
  <r>
    <x v="0"/>
    <x v="246"/>
    <n v="22124551"/>
    <x v="0"/>
    <s v="CH (Cheque)"/>
    <s v="II. Receipts form Clients - non matured"/>
    <s v="Cheque PF"/>
    <s v="Sales of batteries - local"/>
    <s v="P/UBCI+NABEUL-8794028"/>
    <s v="TND"/>
    <n v="8491.0570000000007"/>
    <n v="1"/>
    <n v="8491.0570000000007"/>
    <x v="0"/>
    <d v="2022-05-30T00:00:00"/>
    <n v="96"/>
    <d v="2022-09-03T00:00:00"/>
    <n v="-18"/>
    <s v="W36_2022"/>
    <x v="0"/>
  </r>
  <r>
    <x v="0"/>
    <x v="121"/>
    <n v="22301755"/>
    <x v="0"/>
    <s v="CH (Cheque)"/>
    <s v="II. Receipts form Clients - non matured"/>
    <s v="Cheque PF"/>
    <s v="Sales of batteries - local"/>
    <s v="D/BNA+CHRARDA-5850674"/>
    <s v="TND"/>
    <n v="2212.75"/>
    <n v="1"/>
    <n v="2212.75"/>
    <x v="0"/>
    <d v="2022-08-05T00:00:00"/>
    <n v="30"/>
    <d v="2022-09-04T00:00:00"/>
    <n v="-19"/>
    <s v="W36_2022"/>
    <x v="0"/>
  </r>
  <r>
    <x v="0"/>
    <x v="73"/>
    <n v="22801294"/>
    <x v="0"/>
    <s v="CH (Cheque)"/>
    <s v="II. Receipts form Clients - non matured"/>
    <s v="Cheque PF"/>
    <s v="Sales of batteries - local"/>
    <s v="P/BQ ZIT+BOUSALEM-4000"/>
    <s v="TND"/>
    <n v="2100"/>
    <n v="1"/>
    <n v="2100"/>
    <x v="0"/>
    <d v="2022-06-13T00:00:00"/>
    <n v="83"/>
    <d v="2022-09-04T00:00:00"/>
    <n v="-19"/>
    <s v="W36_2022"/>
    <x v="0"/>
  </r>
  <r>
    <x v="0"/>
    <x v="125"/>
    <n v="22301407"/>
    <x v="0"/>
    <s v="CH (Cheque)"/>
    <s v="II. Receipts form Clients - non matured"/>
    <s v="Cheque PF"/>
    <s v="Sales of batteries - local"/>
    <s v="P/BIAT+SFAX-0007361"/>
    <s v="TND"/>
    <n v="830"/>
    <n v="1"/>
    <n v="830"/>
    <x v="0"/>
    <d v="2022-04-27T00:00:00"/>
    <n v="130"/>
    <d v="2022-09-04T00:00:00"/>
    <n v="-19"/>
    <s v="W36_2022"/>
    <x v="0"/>
  </r>
  <r>
    <x v="0"/>
    <x v="84"/>
    <n v="22301484"/>
    <x v="0"/>
    <s v="CH (Cheque)"/>
    <s v="II. Receipts form Clients - non matured"/>
    <s v="Cheque PF"/>
    <s v="Sales of batteries - local"/>
    <s v="P/UIB+SFAX-2492137"/>
    <s v="TND"/>
    <n v="673.44200000000001"/>
    <n v="1"/>
    <n v="673.44200000000001"/>
    <x v="0"/>
    <d v="2022-05-23T00:00:00"/>
    <n v="104"/>
    <d v="2022-09-04T00:00:00"/>
    <n v="-19"/>
    <s v="W36_2022"/>
    <x v="0"/>
  </r>
  <r>
    <x v="0"/>
    <x v="121"/>
    <n v="22301616"/>
    <x v="0"/>
    <s v="CH (Cheque)"/>
    <s v="II. Receipts form Clients - non matured"/>
    <s v="Cheque PF"/>
    <s v="Sales of batteries - local"/>
    <s v="D/BNA+CHRARDA-5316605"/>
    <s v="TND"/>
    <n v="1155"/>
    <n v="1"/>
    <n v="1155"/>
    <x v="0"/>
    <d v="2022-06-30T00:00:00"/>
    <n v="66"/>
    <d v="2022-09-04T00:00:00"/>
    <n v="-19"/>
    <s v="W36_2022"/>
    <x v="0"/>
  </r>
  <r>
    <x v="0"/>
    <x v="247"/>
    <n v="22124987"/>
    <x v="0"/>
    <s v="CH (Cheque)"/>
    <s v="II. Receipts form Clients - non matured"/>
    <s v="Cheque PF"/>
    <s v="Sales of batteries - local"/>
    <s v="P/TSB+MANOUBA-8282160"/>
    <s v="TND"/>
    <n v="1455.9380000000001"/>
    <n v="1"/>
    <n v="1455.9380000000001"/>
    <x v="0"/>
    <d v="2022-08-05T00:00:00"/>
    <n v="31"/>
    <d v="2022-09-05T00:00:00"/>
    <n v="-20"/>
    <s v="W36_2022"/>
    <x v="0"/>
  </r>
  <r>
    <x v="0"/>
    <x v="27"/>
    <n v="22301751"/>
    <x v="0"/>
    <s v="CH (Cheque)"/>
    <s v="II. Receipts form Clients - non matured"/>
    <s v="Cheque PF"/>
    <s v="Sales of batteries - local"/>
    <s v="P/PT+SFAX-2273852"/>
    <s v="TND"/>
    <n v="1946.4159999999999"/>
    <n v="1"/>
    <n v="1946.4159999999999"/>
    <x v="0"/>
    <d v="2022-08-05T00:00:00"/>
    <n v="31"/>
    <d v="2022-09-05T00:00:00"/>
    <n v="-20"/>
    <s v="W36_2022"/>
    <x v="0"/>
  </r>
  <r>
    <x v="0"/>
    <x v="0"/>
    <n v="22401636"/>
    <x v="0"/>
    <s v="CH (Cheque)"/>
    <s v="II. Receipts form Clients - non matured"/>
    <s v="Cheque PF"/>
    <s v="Sales of batteries - local"/>
    <s v="D/ALBARAKA+MAHDIA-8050"/>
    <s v="TND"/>
    <n v="820"/>
    <n v="1"/>
    <n v="820"/>
    <x v="0"/>
    <d v="2022-07-27T00:00:00"/>
    <n v="40"/>
    <d v="2022-09-05T00:00:00"/>
    <n v="-20"/>
    <s v="W36_2022"/>
    <x v="0"/>
  </r>
  <r>
    <x v="0"/>
    <x v="248"/>
    <n v="22601461"/>
    <x v="0"/>
    <s v="CH (Cheque)"/>
    <s v="II. Receipts form Clients - non matured"/>
    <s v="Cheque PF"/>
    <s v="Sales of batteries - local"/>
    <s v="P/BT+GABES-3986795"/>
    <s v="TND"/>
    <n v="2040.078"/>
    <n v="1"/>
    <n v="2040.078"/>
    <x v="0"/>
    <d v="2022-07-26T00:00:00"/>
    <n v="41"/>
    <d v="2022-09-05T00:00:00"/>
    <n v="-20"/>
    <s v="W36_2022"/>
    <x v="0"/>
  </r>
  <r>
    <x v="0"/>
    <x v="249"/>
    <n v="22601422"/>
    <x v="0"/>
    <s v="CH (Cheque)"/>
    <s v="II. Receipts form Clients - non matured"/>
    <s v="Cheque PF"/>
    <s v="Sales of batteries - local"/>
    <s v="P/BIAT+GABES-0000489"/>
    <s v="TND"/>
    <n v="375.30099999999999"/>
    <n v="1"/>
    <n v="375.30099999999999"/>
    <x v="0"/>
    <d v="2022-07-07T00:00:00"/>
    <n v="60"/>
    <d v="2022-09-05T00:00:00"/>
    <n v="-20"/>
    <s v="W36_2022"/>
    <x v="0"/>
  </r>
  <r>
    <x v="0"/>
    <x v="250"/>
    <n v="22701196"/>
    <x v="0"/>
    <s v="CH (Cheque)"/>
    <s v="II. Receipts form Clients - non matured"/>
    <s v="Cheque PF"/>
    <s v="Sales of batteries - local"/>
    <s v="P/UIB+KASSERINE-937752"/>
    <s v="TND"/>
    <n v="2365.88"/>
    <n v="1"/>
    <n v="2365.88"/>
    <x v="0"/>
    <d v="2022-06-04T00:00:00"/>
    <n v="93"/>
    <d v="2022-09-05T00:00:00"/>
    <n v="-20"/>
    <s v="W36_2022"/>
    <x v="0"/>
  </r>
  <r>
    <x v="0"/>
    <x v="251"/>
    <n v="22701222"/>
    <x v="0"/>
    <s v="CH (Cheque)"/>
    <s v="II. Receipts form Clients - non matured"/>
    <s v="Cheque PF"/>
    <s v="Sales of batteries - local"/>
    <s v="P/BNA+FERIANNA-2670625"/>
    <s v="TND"/>
    <n v="4546.3609999999999"/>
    <n v="1"/>
    <n v="4546.3609999999999"/>
    <x v="0"/>
    <d v="2022-07-05T00:00:00"/>
    <n v="62"/>
    <d v="2022-09-05T00:00:00"/>
    <n v="-20"/>
    <s v="W36_2022"/>
    <x v="0"/>
  </r>
  <r>
    <x v="0"/>
    <x v="23"/>
    <n v="22401436"/>
    <x v="0"/>
    <s v="CH (Cheque)"/>
    <s v="II. Receipts form Clients - non matured"/>
    <s v="Cheque PF"/>
    <s v="Sales of batteries - local"/>
    <s v="D/UIB+KALAA KEBIRA-208"/>
    <s v="TND"/>
    <n v="1810.569"/>
    <n v="1"/>
    <n v="1810.569"/>
    <x v="0"/>
    <d v="2022-05-31T00:00:00"/>
    <n v="97"/>
    <d v="2022-09-05T00:00:00"/>
    <n v="-20"/>
    <s v="W36_2022"/>
    <x v="0"/>
  </r>
  <r>
    <x v="0"/>
    <x v="252"/>
    <n v="22401414"/>
    <x v="0"/>
    <s v="CH (Cheque)"/>
    <s v="II. Receipts form Clients - non matured"/>
    <s v="Cheque PF"/>
    <s v="Sales of batteries - local"/>
    <s v="P/UIB+KALAA KEBIRA-232"/>
    <s v="TND"/>
    <n v="3300"/>
    <n v="1"/>
    <n v="3300"/>
    <x v="0"/>
    <d v="2022-05-30T00:00:00"/>
    <n v="98"/>
    <d v="2022-09-05T00:00:00"/>
    <n v="-20"/>
    <s v="W36_2022"/>
    <x v="0"/>
  </r>
  <r>
    <x v="0"/>
    <x v="100"/>
    <n v="22124547"/>
    <x v="0"/>
    <s v="CH (Cheque)"/>
    <s v="II. Receipts form Clients - non matured"/>
    <s v="Cheque PF"/>
    <s v="Sales of batteries - local"/>
    <s v="P/BNA+TN-4912956"/>
    <s v="TND"/>
    <n v="1268.1400000000001"/>
    <n v="1"/>
    <n v="1268.1400000000001"/>
    <x v="0"/>
    <d v="2022-05-30T00:00:00"/>
    <n v="98"/>
    <d v="2022-09-05T00:00:00"/>
    <n v="-20"/>
    <s v="W36_2022"/>
    <x v="0"/>
  </r>
  <r>
    <x v="0"/>
    <x v="7"/>
    <n v="22124591"/>
    <x v="0"/>
    <s v="CH (Cheque)"/>
    <s v="II. Receipts form Clients - non matured"/>
    <s v="Cheque PF"/>
    <s v="Sales of batteries - local"/>
    <s v="P/BIAT+RAOUED-0003526"/>
    <s v="TND"/>
    <n v="1112.557"/>
    <n v="1"/>
    <n v="1112.557"/>
    <x v="0"/>
    <d v="2022-06-10T00:00:00"/>
    <n v="87"/>
    <d v="2022-09-05T00:00:00"/>
    <n v="-20"/>
    <s v="W36_2022"/>
    <x v="0"/>
  </r>
  <r>
    <x v="0"/>
    <x v="68"/>
    <n v="22124486"/>
    <x v="0"/>
    <s v="CH (Cheque)"/>
    <s v="II. Receipts form Clients - non matured"/>
    <s v="Cheque PF"/>
    <s v="Sales of batteries - local"/>
    <s v="P/STB+HAMMAMET-0002217"/>
    <s v="TND"/>
    <n v="1757.03"/>
    <n v="1"/>
    <n v="1757.03"/>
    <x v="0"/>
    <d v="2022-05-24T00:00:00"/>
    <n v="104"/>
    <d v="2022-09-05T00:00:00"/>
    <n v="-20"/>
    <s v="W36_2022"/>
    <x v="0"/>
  </r>
  <r>
    <x v="0"/>
    <x v="253"/>
    <n v="22124504"/>
    <x v="0"/>
    <s v="CH (Cheque)"/>
    <s v="II. Receipts form Clients - non matured"/>
    <s v="Cheque PF"/>
    <s v="Sales of batteries - local"/>
    <s v="P/BT+MENIHLA-8613174"/>
    <s v="TND"/>
    <n v="4356.2060000000001"/>
    <n v="1"/>
    <n v="4356.2060000000001"/>
    <x v="0"/>
    <d v="2022-05-26T00:00:00"/>
    <n v="102"/>
    <d v="2022-09-05T00:00:00"/>
    <n v="-20"/>
    <s v="W36_2022"/>
    <x v="0"/>
  </r>
  <r>
    <x v="0"/>
    <x v="254"/>
    <n v="22124533"/>
    <x v="0"/>
    <s v="CH (Cheque)"/>
    <s v="II. Receipts form Clients - non matured"/>
    <s v="Cheque PF"/>
    <s v="Sales of batteries - local"/>
    <s v="P/BTL+DENDEN-2987112"/>
    <s v="TND"/>
    <n v="7458.4930000000004"/>
    <n v="1"/>
    <n v="7458.4930000000004"/>
    <x v="0"/>
    <d v="2022-05-30T00:00:00"/>
    <n v="98"/>
    <d v="2022-09-05T00:00:00"/>
    <n v="-20"/>
    <s v="W36_2022"/>
    <x v="0"/>
  </r>
  <r>
    <x v="0"/>
    <x v="255"/>
    <n v="22124625"/>
    <x v="0"/>
    <s v="CH (Cheque)"/>
    <s v="II. Receipts form Clients - non matured"/>
    <s v="Cheque PF"/>
    <s v="Sales of batteries - local"/>
    <s v="P/BH+SIJOUMI-1972529"/>
    <s v="TND"/>
    <n v="1281.3409999999999"/>
    <n v="1"/>
    <n v="1281.3409999999999"/>
    <x v="0"/>
    <d v="2022-06-15T00:00:00"/>
    <n v="82"/>
    <d v="2022-09-05T00:00:00"/>
    <n v="-20"/>
    <s v="W36_2022"/>
    <x v="0"/>
  </r>
  <r>
    <x v="0"/>
    <x v="256"/>
    <n v="22124663"/>
    <x v="0"/>
    <s v="CH (Cheque)"/>
    <s v="II. Receipts form Clients - non matured"/>
    <s v="Cheque PF"/>
    <s v="Sales of batteries - local"/>
    <s v="P/BZ+TN-4003830"/>
    <s v="TND"/>
    <n v="5076.5940000000001"/>
    <n v="1"/>
    <n v="5076.5940000000001"/>
    <x v="0"/>
    <d v="2022-06-17T00:00:00"/>
    <n v="80"/>
    <d v="2022-09-05T00:00:00"/>
    <n v="-20"/>
    <s v="W36_2022"/>
    <x v="0"/>
  </r>
  <r>
    <x v="0"/>
    <x v="111"/>
    <n v="22124680"/>
    <x v="0"/>
    <s v="CH (Cheque)"/>
    <s v="II. Receipts form Clients - non matured"/>
    <s v="Cheque PF"/>
    <s v="Sales of batteries - local"/>
    <s v="P/BH+SIJOUMI-1890009"/>
    <s v="TND"/>
    <n v="7749.4449999999997"/>
    <n v="1"/>
    <n v="7749.4449999999997"/>
    <x v="0"/>
    <d v="2022-06-21T00:00:00"/>
    <n v="76"/>
    <d v="2022-09-05T00:00:00"/>
    <n v="-20"/>
    <s v="W36_2022"/>
    <x v="0"/>
  </r>
  <r>
    <x v="0"/>
    <x v="56"/>
    <n v="22124684"/>
    <x v="0"/>
    <s v="CH (Cheque)"/>
    <s v="II. Receipts form Clients - non matured"/>
    <s v="Cheque PF"/>
    <s v="Sales of batteries - local"/>
    <s v="P/BIAT+AV DE CARTHAGE-"/>
    <s v="TND"/>
    <n v="978.26900000000001"/>
    <n v="1"/>
    <n v="978.26900000000001"/>
    <x v="0"/>
    <d v="2022-06-21T00:00:00"/>
    <n v="76"/>
    <d v="2022-09-05T00:00:00"/>
    <n v="-20"/>
    <s v="W36_2022"/>
    <x v="0"/>
  </r>
  <r>
    <x v="0"/>
    <x v="257"/>
    <n v="22124693"/>
    <x v="0"/>
    <s v="CH (Cheque)"/>
    <s v="II. Receipts form Clients - non matured"/>
    <s v="Cheque PF"/>
    <s v="Sales of batteries - local"/>
    <s v="P/BQ ZAIT+MENIHLA-4000"/>
    <s v="TND"/>
    <n v="1617.018"/>
    <n v="1"/>
    <n v="1617.018"/>
    <x v="0"/>
    <d v="2022-06-22T00:00:00"/>
    <n v="75"/>
    <d v="2022-09-05T00:00:00"/>
    <n v="-20"/>
    <s v="W36_2022"/>
    <x v="0"/>
  </r>
  <r>
    <x v="0"/>
    <x v="258"/>
    <n v="22124807"/>
    <x v="0"/>
    <s v="CH (Cheque)"/>
    <s v="II. Receipts form Clients - non matured"/>
    <s v="Cheque PF"/>
    <s v="Sales of batteries - local"/>
    <s v="P/BTK+MEGRINE-7992980"/>
    <s v="TND"/>
    <n v="933.34400000000005"/>
    <n v="1"/>
    <n v="933.34400000000005"/>
    <x v="0"/>
    <d v="2022-06-30T00:00:00"/>
    <n v="67"/>
    <d v="2022-09-05T00:00:00"/>
    <n v="-20"/>
    <s v="W36_2022"/>
    <x v="0"/>
  </r>
  <r>
    <x v="0"/>
    <x v="259"/>
    <n v="22124763"/>
    <x v="0"/>
    <s v="CH (Cheque)"/>
    <s v="II. Receipts form Clients - non matured"/>
    <s v="Cheque PF"/>
    <s v="Sales of batteries - local"/>
    <s v="P/BIAT+ARIANA-0000456"/>
    <s v="TND"/>
    <n v="718.077"/>
    <n v="1"/>
    <n v="718.077"/>
    <x v="0"/>
    <d v="2022-06-28T00:00:00"/>
    <n v="69"/>
    <d v="2022-09-05T00:00:00"/>
    <n v="-20"/>
    <s v="W36_2022"/>
    <x v="0"/>
  </r>
  <r>
    <x v="0"/>
    <x v="260"/>
    <n v="22124764"/>
    <x v="0"/>
    <s v="CH (Cheque)"/>
    <s v="II. Receipts form Clients - non matured"/>
    <s v="Cheque PF"/>
    <s v="Sales of batteries - local"/>
    <s v="P/STB+TN-0001151"/>
    <s v="TND"/>
    <n v="207.00700000000001"/>
    <n v="1"/>
    <n v="207.00700000000001"/>
    <x v="0"/>
    <d v="2022-06-28T00:00:00"/>
    <n v="69"/>
    <d v="2022-09-05T00:00:00"/>
    <n v="-20"/>
    <s v="W36_2022"/>
    <x v="0"/>
  </r>
  <r>
    <x v="0"/>
    <x v="109"/>
    <n v="22124769"/>
    <x v="0"/>
    <s v="CH (Cheque)"/>
    <s v="II. Receipts form Clients - non matured"/>
    <s v="Cheque PF"/>
    <s v="Sales of batteries - local"/>
    <s v="P/BIAT+MEL JEMIL-00022"/>
    <s v="TND"/>
    <n v="2308.7669999999998"/>
    <n v="1"/>
    <n v="2308.7669999999998"/>
    <x v="0"/>
    <d v="2022-06-28T00:00:00"/>
    <n v="69"/>
    <d v="2022-09-05T00:00:00"/>
    <n v="-20"/>
    <s v="W36_2022"/>
    <x v="0"/>
  </r>
  <r>
    <x v="0"/>
    <x v="79"/>
    <n v="22301613"/>
    <x v="0"/>
    <s v="CH (Cheque)"/>
    <s v="II. Receipts form Clients - non matured"/>
    <s v="Cheque PF"/>
    <s v="Sales of batteries - local"/>
    <s v="P/BH+SFAX-0422234"/>
    <s v="TND"/>
    <n v="1932.278"/>
    <n v="1"/>
    <n v="1932.278"/>
    <x v="0"/>
    <d v="2022-06-29T00:00:00"/>
    <n v="68"/>
    <d v="2022-09-05T00:00:00"/>
    <n v="-20"/>
    <s v="W36_2022"/>
    <x v="0"/>
  </r>
  <r>
    <x v="0"/>
    <x v="125"/>
    <n v="22301504"/>
    <x v="0"/>
    <s v="CH (Cheque)"/>
    <s v="II. Receipts form Clients - non matured"/>
    <s v="Cheque PF"/>
    <s v="Sales of batteries - local"/>
    <s v="P/BIAT+SFAX-0007426"/>
    <s v="TND"/>
    <n v="584.63400000000001"/>
    <n v="1"/>
    <n v="584.63400000000001"/>
    <x v="0"/>
    <d v="2022-05-27T00:00:00"/>
    <n v="101"/>
    <d v="2022-09-05T00:00:00"/>
    <n v="-20"/>
    <s v="W36_2022"/>
    <x v="0"/>
  </r>
  <r>
    <x v="0"/>
    <x v="117"/>
    <n v="22301663"/>
    <x v="0"/>
    <s v="CH (Cheque)"/>
    <s v="II. Receipts form Clients - non matured"/>
    <s v="Cheque PF"/>
    <s v="Sales of batteries - local"/>
    <s v="P/UIB+SFAX-1756464"/>
    <s v="TND"/>
    <n v="2154.8040000000001"/>
    <n v="1"/>
    <n v="2154.8040000000001"/>
    <x v="0"/>
    <d v="2022-07-07T00:00:00"/>
    <n v="60"/>
    <d v="2022-09-05T00:00:00"/>
    <n v="-20"/>
    <s v="W36_2022"/>
    <x v="0"/>
  </r>
  <r>
    <x v="0"/>
    <x v="261"/>
    <n v="22301696"/>
    <x v="0"/>
    <s v="CH (Cheque)"/>
    <s v="II. Receipts form Clients - non matured"/>
    <s v="Cheque PF"/>
    <s v="Sales of batteries - local"/>
    <s v="D/BIAT+CHARGUIA-000004"/>
    <s v="TND"/>
    <n v="550"/>
    <n v="1"/>
    <n v="550"/>
    <x v="0"/>
    <d v="2022-07-19T00:00:00"/>
    <n v="48"/>
    <d v="2022-09-05T00:00:00"/>
    <n v="-20"/>
    <s v="W36_2022"/>
    <x v="0"/>
  </r>
  <r>
    <x v="0"/>
    <x v="9"/>
    <n v="22601306"/>
    <x v="0"/>
    <s v="CH (Cheque)"/>
    <s v="II. Receipts form Clients - non matured"/>
    <s v="Cheque PF"/>
    <s v="Sales of batteries - local"/>
    <s v="P/BTL+GABES-2993913"/>
    <s v="TND"/>
    <n v="519"/>
    <n v="1"/>
    <n v="519"/>
    <x v="0"/>
    <d v="2022-05-23T00:00:00"/>
    <n v="106"/>
    <d v="2022-09-06T00:00:00"/>
    <n v="-21"/>
    <s v="W36_2022"/>
    <x v="0"/>
  </r>
  <r>
    <x v="0"/>
    <x v="262"/>
    <n v="22801376"/>
    <x v="0"/>
    <s v="CH (Cheque)"/>
    <s v="II. Receipts form Clients - non matured"/>
    <s v="Cheque PF"/>
    <s v="Sales of batteries - local"/>
    <s v="P/BIAT+JEND-0004618"/>
    <s v="TND"/>
    <n v="1000"/>
    <n v="1"/>
    <n v="1000"/>
    <x v="0"/>
    <d v="2022-07-22T00:00:00"/>
    <n v="46"/>
    <d v="2022-09-06T00:00:00"/>
    <n v="-21"/>
    <s v="W36_2022"/>
    <x v="0"/>
  </r>
  <r>
    <x v="0"/>
    <x v="218"/>
    <n v="22401494"/>
    <x v="0"/>
    <s v="CH (Cheque)"/>
    <s v="II. Receipts form Clients - non matured"/>
    <s v="Cheque PF"/>
    <s v="Sales of batteries - local"/>
    <s v="P/TSB+SOUSSE-8596292"/>
    <s v="TND"/>
    <n v="643.45699999999999"/>
    <n v="1"/>
    <n v="643.45699999999999"/>
    <x v="0"/>
    <d v="2022-06-22T00:00:00"/>
    <n v="76"/>
    <d v="2022-09-06T00:00:00"/>
    <n v="-21"/>
    <s v="W36_2022"/>
    <x v="0"/>
  </r>
  <r>
    <x v="0"/>
    <x v="76"/>
    <n v="22124479"/>
    <x v="0"/>
    <s v="CH (Cheque)"/>
    <s v="II. Receipts form Clients - non matured"/>
    <s v="Cheque PF"/>
    <s v="Sales of batteries - local"/>
    <s v="p/bna+tn-5403341"/>
    <s v="TND"/>
    <n v="1079.0889999999999"/>
    <n v="1"/>
    <n v="1079.0889999999999"/>
    <x v="0"/>
    <d v="2022-05-24T00:00:00"/>
    <n v="105"/>
    <d v="2022-09-06T00:00:00"/>
    <n v="-21"/>
    <s v="W36_2022"/>
    <x v="0"/>
  </r>
  <r>
    <x v="0"/>
    <x v="137"/>
    <n v="22124738"/>
    <x v="0"/>
    <s v="CH (Cheque)"/>
    <s v="II. Receipts form Clients - non matured"/>
    <s v="Cheque PF"/>
    <s v="Sales of batteries - local"/>
    <s v="P/AMEN B+BEN AROUS-130"/>
    <s v="TND"/>
    <n v="557.01599999999996"/>
    <n v="1"/>
    <n v="557.01599999999996"/>
    <x v="0"/>
    <d v="2022-06-27T00:00:00"/>
    <n v="71"/>
    <d v="2022-09-06T00:00:00"/>
    <n v="-21"/>
    <s v="W36_2022"/>
    <x v="0"/>
  </r>
  <r>
    <x v="0"/>
    <x v="8"/>
    <n v="22301527"/>
    <x v="0"/>
    <s v="CH (Cheque)"/>
    <s v="II. Receipts form Clients - non matured"/>
    <s v="Cheque PF"/>
    <s v="Sales of batteries - local"/>
    <s v="P/BZ+SFAX-4000696"/>
    <s v="TND"/>
    <n v="6000"/>
    <n v="1"/>
    <n v="6000"/>
    <x v="0"/>
    <d v="2022-05-31T00:00:00"/>
    <n v="98"/>
    <d v="2022-09-06T00:00:00"/>
    <n v="-21"/>
    <s v="W36_2022"/>
    <x v="0"/>
  </r>
  <r>
    <x v="0"/>
    <x v="28"/>
    <n v="22601471"/>
    <x v="0"/>
    <s v="CH (Cheque)"/>
    <s v="II. Receipts form Clients - non matured"/>
    <s v="Cheque PF"/>
    <s v="Sales of batteries - local"/>
    <s v="P/BNA+GABES-5795283"/>
    <s v="TND"/>
    <n v="1000"/>
    <n v="1"/>
    <n v="1000"/>
    <x v="0"/>
    <d v="2022-07-26T00:00:00"/>
    <n v="43"/>
    <d v="2022-09-07T00:00:00"/>
    <n v="-22"/>
    <s v="W36_2022"/>
    <x v="0"/>
  </r>
  <r>
    <x v="0"/>
    <x v="263"/>
    <n v="22601299"/>
    <x v="0"/>
    <s v="CH (Cheque)"/>
    <s v="II. Receipts form Clients - non matured"/>
    <s v="Cheque PF"/>
    <s v="Sales of batteries - local"/>
    <s v="P/UBCI+ZERZIS-9074761"/>
    <s v="TND"/>
    <n v="2442.1550000000002"/>
    <n v="1"/>
    <n v="2442.1550000000002"/>
    <x v="0"/>
    <d v="2022-05-17T00:00:00"/>
    <n v="113"/>
    <d v="2022-09-07T00:00:00"/>
    <n v="-22"/>
    <s v="W36_2022"/>
    <x v="0"/>
  </r>
  <r>
    <x v="0"/>
    <x v="264"/>
    <n v="22601320"/>
    <x v="0"/>
    <s v="CH (Cheque)"/>
    <s v="II. Receipts form Clients - non matured"/>
    <s v="Cheque PF"/>
    <s v="Sales of batteries - local"/>
    <s v="P/BNA+GABES-4441667"/>
    <s v="TND"/>
    <n v="2186.973"/>
    <n v="1"/>
    <n v="2186.973"/>
    <x v="0"/>
    <d v="2022-05-25T00:00:00"/>
    <n v="105"/>
    <d v="2022-09-07T00:00:00"/>
    <n v="-22"/>
    <s v="W36_2022"/>
    <x v="0"/>
  </r>
  <r>
    <x v="0"/>
    <x v="122"/>
    <n v="22801322"/>
    <x v="0"/>
    <s v="CH (Cheque)"/>
    <s v="II. Receipts form Clients - non matured"/>
    <s v="Cheque PF"/>
    <s v="Sales of batteries - local"/>
    <s v="P/BIAT+TESTOUR-0000615"/>
    <s v="TND"/>
    <n v="1670"/>
    <n v="1"/>
    <n v="1670"/>
    <x v="0"/>
    <d v="2022-06-21T00:00:00"/>
    <n v="78"/>
    <d v="2022-09-07T00:00:00"/>
    <n v="-22"/>
    <s v="W36_2022"/>
    <x v="0"/>
  </r>
  <r>
    <x v="0"/>
    <x v="34"/>
    <n v="22801309"/>
    <x v="0"/>
    <s v="CH (Cheque)"/>
    <s v="II. Receipts form Clients - non matured"/>
    <s v="Cheque PF"/>
    <s v="Sales of batteries - local"/>
    <s v="P/BNA+BEJA-5352878"/>
    <s v="TND"/>
    <n v="1610"/>
    <n v="1"/>
    <n v="1610"/>
    <x v="0"/>
    <d v="2022-06-17T00:00:00"/>
    <n v="82"/>
    <d v="2022-09-07T00:00:00"/>
    <n v="-22"/>
    <s v="W36_2022"/>
    <x v="0"/>
  </r>
  <r>
    <x v="0"/>
    <x v="122"/>
    <n v="22801371"/>
    <x v="0"/>
    <s v="CH (Cheque)"/>
    <s v="II. Receipts form Clients - non matured"/>
    <s v="Cheque PF"/>
    <s v="Sales of batteries - local"/>
    <s v="P/ATB+BOUROUIS-6231345"/>
    <s v="TND"/>
    <n v="1500"/>
    <n v="1"/>
    <n v="1500"/>
    <x v="0"/>
    <d v="2022-07-22T00:00:00"/>
    <n v="47"/>
    <d v="2022-09-07T00:00:00"/>
    <n v="-22"/>
    <s v="W36_2022"/>
    <x v="0"/>
  </r>
  <r>
    <x v="0"/>
    <x v="143"/>
    <n v="22124692"/>
    <x v="0"/>
    <s v="CH (Cheque)"/>
    <s v="II. Receipts form Clients - non matured"/>
    <s v="Cheque PF"/>
    <s v="Sales of batteries - local"/>
    <s v="P/BIAT+NABEUL-0002649"/>
    <s v="TND"/>
    <n v="1111.9480000000001"/>
    <n v="1"/>
    <n v="1111.9480000000001"/>
    <x v="0"/>
    <d v="2022-06-21T00:00:00"/>
    <n v="78"/>
    <d v="2022-09-07T00:00:00"/>
    <n v="-22"/>
    <s v="W36_2022"/>
    <x v="0"/>
  </r>
  <r>
    <x v="0"/>
    <x v="108"/>
    <n v="22124715"/>
    <x v="0"/>
    <s v="CH (Cheque)"/>
    <s v="II. Receipts form Clients - non matured"/>
    <s v="Cheque PF"/>
    <s v="Sales of batteries - local"/>
    <s v="P/STB+TN-0006085"/>
    <s v="TND"/>
    <n v="1209.913"/>
    <n v="1"/>
    <n v="1209.913"/>
    <x v="0"/>
    <d v="2022-06-24T00:00:00"/>
    <n v="75"/>
    <d v="2022-09-07T00:00:00"/>
    <n v="-22"/>
    <s v="W36_2022"/>
    <x v="0"/>
  </r>
  <r>
    <x v="0"/>
    <x v="8"/>
    <n v="22301287"/>
    <x v="0"/>
    <s v="CH (Cheque)"/>
    <s v="II. Receipts form Clients - non matured"/>
    <s v="Cheque PF"/>
    <s v="Sales of batteries - local"/>
    <s v="P/BZ+SFAX-4000661"/>
    <s v="TND"/>
    <n v="5950"/>
    <n v="1"/>
    <n v="5950"/>
    <x v="0"/>
    <d v="2022-03-31T00:00:00"/>
    <n v="160"/>
    <d v="2022-09-07T00:00:00"/>
    <n v="-22"/>
    <s v="W36_2022"/>
    <x v="0"/>
  </r>
  <r>
    <x v="0"/>
    <x v="29"/>
    <n v="22601397"/>
    <x v="0"/>
    <s v="CH (Cheque)"/>
    <s v="II. Receipts form Clients - non matured"/>
    <s v="Cheque PF"/>
    <s v="Sales of batteries - local"/>
    <s v="P/BIAT+ZERZIS-0003294"/>
    <s v="TND"/>
    <n v="769.923"/>
    <n v="1"/>
    <n v="769.923"/>
    <x v="0"/>
    <d v="2022-06-29T00:00:00"/>
    <n v="71"/>
    <d v="2022-09-08T00:00:00"/>
    <n v="-23"/>
    <s v="W36_2022"/>
    <x v="0"/>
  </r>
  <r>
    <x v="0"/>
    <x v="33"/>
    <n v="22801298"/>
    <x v="0"/>
    <s v="CH (Cheque)"/>
    <s v="II. Receipts form Clients - non matured"/>
    <s v="Cheque PF"/>
    <s v="Sales of batteries - local"/>
    <s v="P/BQ ZIT+JEND-4000590"/>
    <s v="TND"/>
    <n v="3353"/>
    <n v="1"/>
    <n v="3353"/>
    <x v="0"/>
    <d v="2022-06-13T00:00:00"/>
    <n v="87"/>
    <d v="2022-09-08T00:00:00"/>
    <n v="-23"/>
    <s v="W36_2022"/>
    <x v="0"/>
  </r>
  <r>
    <x v="0"/>
    <x v="6"/>
    <n v="22401258"/>
    <x v="0"/>
    <s v="CH (Cheque)"/>
    <s v="II. Receipts form Clients - non matured"/>
    <s v="Cheque PF"/>
    <s v="Sales of batteries - local"/>
    <s v="D/BH+MOKNINE-1843840"/>
    <s v="TND"/>
    <n v="1842.1669999999999"/>
    <n v="1"/>
    <n v="1842.1669999999999"/>
    <x v="0"/>
    <d v="2022-03-28T00:00:00"/>
    <n v="164"/>
    <d v="2022-09-08T00:00:00"/>
    <n v="-23"/>
    <s v="W36_2022"/>
    <x v="0"/>
  </r>
  <r>
    <x v="0"/>
    <x v="265"/>
    <n v="22401532"/>
    <x v="0"/>
    <s v="CH (Cheque)"/>
    <s v="II. Receipts form Clients - non matured"/>
    <s v="Cheque PF"/>
    <s v="Sales of batteries - local"/>
    <s v="P/ATB+H.SOUSSE-5693739"/>
    <s v="TND"/>
    <n v="500"/>
    <n v="1"/>
    <n v="500"/>
    <x v="0"/>
    <d v="2022-06-30T00:00:00"/>
    <n v="70"/>
    <d v="2022-09-08T00:00:00"/>
    <n v="-23"/>
    <s v="W36_2022"/>
    <x v="0"/>
  </r>
  <r>
    <x v="0"/>
    <x v="8"/>
    <n v="22301288"/>
    <x v="0"/>
    <s v="CH (Cheque)"/>
    <s v="II. Receipts form Clients - non matured"/>
    <s v="Cheque PF"/>
    <s v="Sales of batteries - local"/>
    <s v="P/BZ+SFAX-4000662"/>
    <s v="TND"/>
    <n v="5969.0050000000001"/>
    <n v="1"/>
    <n v="5969.0050000000001"/>
    <x v="0"/>
    <d v="2022-03-31T00:00:00"/>
    <n v="161"/>
    <d v="2022-09-08T00:00:00"/>
    <n v="-23"/>
    <s v="W36_2022"/>
    <x v="0"/>
  </r>
  <r>
    <x v="0"/>
    <x v="112"/>
    <n v="22301488"/>
    <x v="0"/>
    <s v="CH (Cheque)"/>
    <s v="II. Receipts form Clients - non matured"/>
    <s v="Cheque PF"/>
    <s v="Sales of batteries - local"/>
    <s v="P/BIAT+SFAX-0001567"/>
    <s v="TND"/>
    <n v="456.07799999999997"/>
    <n v="1"/>
    <n v="456.07799999999997"/>
    <x v="0"/>
    <d v="2022-05-24T00:00:00"/>
    <n v="107"/>
    <d v="2022-09-08T00:00:00"/>
    <n v="-23"/>
    <s v="W36_2022"/>
    <x v="0"/>
  </r>
  <r>
    <x v="0"/>
    <x v="28"/>
    <n v="22601470"/>
    <x v="0"/>
    <s v="CH (Cheque)"/>
    <s v="II. Receipts form Clients - non matured"/>
    <s v="Cheque PF"/>
    <s v="Sales of batteries - local"/>
    <s v="P/BNA+GABES-5795284"/>
    <s v="TND"/>
    <n v="1000"/>
    <n v="1"/>
    <n v="1000"/>
    <x v="0"/>
    <d v="2022-07-26T00:00:00"/>
    <n v="45"/>
    <d v="2022-09-09T00:00:00"/>
    <n v="-24"/>
    <s v="W36_2022"/>
    <x v="0"/>
  </r>
  <r>
    <x v="0"/>
    <x v="9"/>
    <n v="22601438"/>
    <x v="0"/>
    <s v="CH (Cheque)"/>
    <s v="II. Receipts form Clients - non matured"/>
    <s v="Cheque PF"/>
    <s v="Sales of batteries - local"/>
    <s v="P/BTL+GABES-3025439"/>
    <s v="TND"/>
    <n v="578.08699999999999"/>
    <n v="1"/>
    <n v="578.08699999999999"/>
    <x v="0"/>
    <d v="2022-07-20T00:00:00"/>
    <n v="51"/>
    <d v="2022-09-09T00:00:00"/>
    <n v="-24"/>
    <s v="W36_2022"/>
    <x v="0"/>
  </r>
  <r>
    <x v="0"/>
    <x v="262"/>
    <n v="22801367"/>
    <x v="0"/>
    <s v="CH (Cheque)"/>
    <s v="II. Receipts form Clients - non matured"/>
    <s v="Cheque PF"/>
    <s v="Sales of batteries - local"/>
    <s v="P/BIAT+JEND-0004619"/>
    <s v="TND"/>
    <n v="1039.1890000000001"/>
    <n v="1"/>
    <n v="1039.1890000000001"/>
    <x v="0"/>
    <d v="2022-07-19T00:00:00"/>
    <n v="52"/>
    <d v="2022-09-09T00:00:00"/>
    <n v="-24"/>
    <s v="W36_2022"/>
    <x v="0"/>
  </r>
  <r>
    <x v="0"/>
    <x v="145"/>
    <n v="22401567"/>
    <x v="0"/>
    <s v="CH (Cheque)"/>
    <s v="II. Receipts form Clients - non matured"/>
    <s v="Cheque PF"/>
    <s v="Sales of batteries - local"/>
    <s v="D/STB+TEBOULBA-0002616"/>
    <s v="TND"/>
    <n v="4500"/>
    <n v="1"/>
    <n v="4500"/>
    <x v="0"/>
    <d v="2022-06-30T00:00:00"/>
    <n v="71"/>
    <d v="2022-09-09T00:00:00"/>
    <n v="-24"/>
    <s v="W36_2022"/>
    <x v="0"/>
  </r>
  <r>
    <x v="0"/>
    <x v="46"/>
    <n v="22124772"/>
    <x v="0"/>
    <s v="CH (Cheque)"/>
    <s v="II. Receipts form Clients - non matured"/>
    <s v="Cheque PF"/>
    <s v="Sales of batteries - local"/>
    <s v="P/BIAT+KORBA-0000858"/>
    <s v="TND"/>
    <n v="2344.2179999999998"/>
    <n v="1"/>
    <n v="2344.2179999999998"/>
    <x v="0"/>
    <d v="2022-06-28T00:00:00"/>
    <n v="73"/>
    <d v="2022-09-09T00:00:00"/>
    <n v="-24"/>
    <s v="W36_2022"/>
    <x v="0"/>
  </r>
  <r>
    <x v="0"/>
    <x v="22"/>
    <n v="22401680"/>
    <x v="0"/>
    <s v="CH (Cheque)"/>
    <s v="II. Receipts form Clients - non matured"/>
    <s v="Cheque PF"/>
    <s v="Sales of batteries - local"/>
    <s v="D/AMEN+MOKNINE-1855163"/>
    <s v="TND"/>
    <n v="4000"/>
    <n v="1"/>
    <n v="4000"/>
    <x v="0"/>
    <d v="2022-08-08T00:00:00"/>
    <n v="33"/>
    <d v="2022-09-10T00:00:00"/>
    <n v="-25"/>
    <s v="W37_2022"/>
    <x v="0"/>
  </r>
  <r>
    <x v="0"/>
    <x v="266"/>
    <n v="22601494"/>
    <x v="0"/>
    <s v="CH (Cheque)"/>
    <s v="II. Receipts form Clients - non matured"/>
    <s v="Cheque PF"/>
    <s v="Sales of batteries - local"/>
    <s v="P/BIAT+GABES-0001836"/>
    <s v="TND"/>
    <n v="6070.08"/>
    <n v="1"/>
    <n v="6070.08"/>
    <x v="0"/>
    <d v="2022-07-28T00:00:00"/>
    <n v="44"/>
    <d v="2022-09-10T00:00:00"/>
    <n v="-25"/>
    <s v="W37_2022"/>
    <x v="0"/>
  </r>
  <r>
    <x v="0"/>
    <x v="1"/>
    <n v="22601512"/>
    <x v="0"/>
    <s v="CH (Cheque)"/>
    <s v="II. Receipts form Clients - non matured"/>
    <s v="Cheque PF"/>
    <s v="Sales of batteries - local"/>
    <s v="P/BZ+TATOUINE-4001266"/>
    <s v="TND"/>
    <n v="1888.1969999999999"/>
    <n v="1"/>
    <n v="1888.1969999999999"/>
    <x v="0"/>
    <d v="2022-08-04T00:00:00"/>
    <n v="37"/>
    <d v="2022-09-10T00:00:00"/>
    <n v="-25"/>
    <s v="W37_2022"/>
    <x v="0"/>
  </r>
  <r>
    <x v="0"/>
    <x v="14"/>
    <n v="22601271"/>
    <x v="0"/>
    <s v="CH (Cheque)"/>
    <s v="II. Receipts form Clients - non matured"/>
    <s v="Cheque PF"/>
    <s v="Sales of batteries - local"/>
    <s v="p/ubci+gabes-7427045"/>
    <s v="TND"/>
    <n v="1150"/>
    <n v="1"/>
    <n v="1150"/>
    <x v="0"/>
    <d v="2022-04-28T00:00:00"/>
    <n v="135"/>
    <d v="2022-09-10T00:00:00"/>
    <n v="-25"/>
    <s v="W37_2022"/>
    <x v="0"/>
  </r>
  <r>
    <x v="0"/>
    <x v="267"/>
    <n v="22601413"/>
    <x v="0"/>
    <s v="CH (Cheque)"/>
    <s v="II. Receipts form Clients - non matured"/>
    <s v="Cheque PF"/>
    <s v="Sales of batteries - local"/>
    <s v="P/BNA+JERBA-5880700"/>
    <s v="TND"/>
    <n v="700"/>
    <n v="1"/>
    <n v="700"/>
    <x v="0"/>
    <d v="2022-06-29T00:00:00"/>
    <n v="73"/>
    <d v="2022-09-10T00:00:00"/>
    <n v="-25"/>
    <s v="W37_2022"/>
    <x v="0"/>
  </r>
  <r>
    <x v="0"/>
    <x v="202"/>
    <n v="22601319"/>
    <x v="0"/>
    <s v="CH (Cheque)"/>
    <s v="II. Receipts form Clients - non matured"/>
    <s v="Cheque PF"/>
    <s v="Sales of batteries - local"/>
    <s v="P/UIB+GABES-2181507"/>
    <s v="TND"/>
    <n v="2000"/>
    <n v="1"/>
    <n v="2000"/>
    <x v="0"/>
    <d v="2022-05-25T00:00:00"/>
    <n v="108"/>
    <d v="2022-09-10T00:00:00"/>
    <n v="-25"/>
    <s v="W37_2022"/>
    <x v="0"/>
  </r>
  <r>
    <x v="0"/>
    <x v="204"/>
    <n v="22701203"/>
    <x v="0"/>
    <s v="CH (Cheque)"/>
    <s v="II. Receipts form Clients - non matured"/>
    <s v="Cheque PF"/>
    <s v="Sales of batteries - local"/>
    <s v="P/WIFAK BA+SAIDA-00000"/>
    <s v="TND"/>
    <n v="2317.596"/>
    <n v="1"/>
    <n v="2317.596"/>
    <x v="0"/>
    <d v="2022-06-08T00:00:00"/>
    <n v="94"/>
    <d v="2022-09-10T00:00:00"/>
    <n v="-25"/>
    <s v="W37_2022"/>
    <x v="0"/>
  </r>
  <r>
    <x v="0"/>
    <x v="268"/>
    <n v="22701228"/>
    <x v="0"/>
    <s v="CH (Cheque)"/>
    <s v="II. Receipts form Clients - non matured"/>
    <s v="Cheque PF"/>
    <s v="Sales of batteries - local"/>
    <s v="P/ATB+TOZEUR-4527967"/>
    <s v="TND"/>
    <n v="2000"/>
    <n v="1"/>
    <n v="2000"/>
    <x v="0"/>
    <d v="2022-07-11T00:00:00"/>
    <n v="61"/>
    <d v="2022-09-10T00:00:00"/>
    <n v="-25"/>
    <s v="W37_2022"/>
    <x v="0"/>
  </r>
  <r>
    <x v="0"/>
    <x v="269"/>
    <n v="22801337"/>
    <x v="0"/>
    <s v="CH (Cheque)"/>
    <s v="II. Receipts form Clients - non matured"/>
    <s v="Cheque PF"/>
    <s v="Sales of batteries - local"/>
    <s v="P/STB+TESTOUR-0000351"/>
    <s v="TND"/>
    <n v="4250.165"/>
    <n v="1"/>
    <n v="4250.165"/>
    <x v="0"/>
    <d v="2022-06-28T00:00:00"/>
    <n v="74"/>
    <d v="2022-09-10T00:00:00"/>
    <n v="-25"/>
    <s v="W37_2022"/>
    <x v="0"/>
  </r>
  <r>
    <x v="0"/>
    <x v="91"/>
    <n v="22801305"/>
    <x v="0"/>
    <s v="CH (Cheque)"/>
    <s v="II. Receipts form Clients - non matured"/>
    <s v="Cheque PF"/>
    <s v="Sales of batteries - local"/>
    <s v="P/UIB+BEJA-9895807"/>
    <s v="TND"/>
    <n v="2827.5"/>
    <n v="1"/>
    <n v="2827.5"/>
    <x v="0"/>
    <d v="2022-06-15T00:00:00"/>
    <n v="87"/>
    <d v="2022-09-10T00:00:00"/>
    <n v="-25"/>
    <s v="W37_2022"/>
    <x v="0"/>
  </r>
  <r>
    <x v="0"/>
    <x v="164"/>
    <n v="22801280"/>
    <x v="0"/>
    <s v="CH (Cheque)"/>
    <s v="II. Receipts form Clients - non matured"/>
    <s v="Cheque PF"/>
    <s v="Sales of batteries - local"/>
    <s v="P/BNA+ERROUHIA-5794208"/>
    <s v="TND"/>
    <n v="3275.8710000000001"/>
    <n v="1"/>
    <n v="3275.8710000000001"/>
    <x v="0"/>
    <d v="2022-06-07T00:00:00"/>
    <n v="95"/>
    <d v="2022-09-10T00:00:00"/>
    <n v="-25"/>
    <s v="W37_2022"/>
    <x v="0"/>
  </r>
  <r>
    <x v="0"/>
    <x v="252"/>
    <n v="22401415"/>
    <x v="0"/>
    <s v="CH (Cheque)"/>
    <s v="II. Receipts form Clients - non matured"/>
    <s v="Cheque PF"/>
    <s v="Sales of batteries - local"/>
    <s v="D/UIB+KALAA KEBIRA-232"/>
    <s v="TND"/>
    <n v="3300"/>
    <n v="1"/>
    <n v="3300"/>
    <x v="0"/>
    <d v="2022-05-30T00:00:00"/>
    <n v="103"/>
    <d v="2022-09-10T00:00:00"/>
    <n v="-25"/>
    <s v="W37_2022"/>
    <x v="0"/>
  </r>
  <r>
    <x v="0"/>
    <x v="270"/>
    <n v="22401438"/>
    <x v="0"/>
    <s v="CH (Cheque)"/>
    <s v="II. Receipts form Clients - non matured"/>
    <s v="Cheque PF"/>
    <s v="Sales of batteries - local"/>
    <s v="P/ATB+H.SOUSSE-4942718"/>
    <s v="TND"/>
    <n v="16517.990000000002"/>
    <n v="1"/>
    <n v="16517.990000000002"/>
    <x v="0"/>
    <d v="2022-05-31T00:00:00"/>
    <n v="102"/>
    <d v="2022-09-10T00:00:00"/>
    <n v="-25"/>
    <s v="W37_2022"/>
    <x v="0"/>
  </r>
  <r>
    <x v="0"/>
    <x v="271"/>
    <n v="22124565"/>
    <x v="0"/>
    <s v="CH (Cheque)"/>
    <s v="II. Receipts form Clients - non matured"/>
    <s v="Cheque PF"/>
    <s v="Sales of batteries - local"/>
    <s v="P/ATB+BENI KHIAR-54364"/>
    <s v="TND"/>
    <n v="4660.951"/>
    <n v="1"/>
    <n v="4660.951"/>
    <x v="0"/>
    <d v="2022-05-31T00:00:00"/>
    <n v="102"/>
    <d v="2022-09-10T00:00:00"/>
    <n v="-25"/>
    <s v="W37_2022"/>
    <x v="0"/>
  </r>
  <r>
    <x v="0"/>
    <x v="100"/>
    <n v="22124546"/>
    <x v="0"/>
    <s v="CH (Cheque)"/>
    <s v="II. Receipts form Clients - non matured"/>
    <s v="Cheque PF"/>
    <s v="Sales of batteries - local"/>
    <s v="P/BNA+TN-4912955"/>
    <s v="TND"/>
    <n v="1268.1400000000001"/>
    <n v="1"/>
    <n v="1268.1400000000001"/>
    <x v="0"/>
    <d v="2022-05-30T00:00:00"/>
    <n v="103"/>
    <d v="2022-09-10T00:00:00"/>
    <n v="-25"/>
    <s v="W37_2022"/>
    <x v="0"/>
  </r>
  <r>
    <x v="0"/>
    <x v="176"/>
    <n v="22124553"/>
    <x v="0"/>
    <s v="CH (Cheque)"/>
    <s v="II. Receipts form Clients - non matured"/>
    <s v="Cheque PF"/>
    <s v="Sales of batteries - local"/>
    <s v="P/ATB+HAMMAMET-6006946"/>
    <s v="TND"/>
    <n v="1969.5930000000001"/>
    <n v="1"/>
    <n v="1969.5930000000001"/>
    <x v="0"/>
    <d v="2022-05-30T00:00:00"/>
    <n v="103"/>
    <d v="2022-09-10T00:00:00"/>
    <n v="-25"/>
    <s v="W37_2022"/>
    <x v="0"/>
  </r>
  <r>
    <x v="0"/>
    <x v="272"/>
    <n v="22124563"/>
    <x v="0"/>
    <s v="CH (Cheque)"/>
    <s v="II. Receipts form Clients - non matured"/>
    <s v="Cheque PF"/>
    <s v="Sales of batteries - local"/>
    <s v="P/BIAT+BEN AROUS-00013"/>
    <s v="TND"/>
    <n v="1608.038"/>
    <n v="1"/>
    <n v="1608.038"/>
    <x v="0"/>
    <d v="2022-05-31T00:00:00"/>
    <n v="102"/>
    <d v="2022-09-10T00:00:00"/>
    <n v="-25"/>
    <s v="W37_2022"/>
    <x v="0"/>
  </r>
  <r>
    <x v="0"/>
    <x v="273"/>
    <n v="22124575"/>
    <x v="0"/>
    <s v="CH (Cheque)"/>
    <s v="II. Receipts form Clients - non matured"/>
    <s v="Cheque PF"/>
    <s v="Sales of batteries - local"/>
    <s v="P/BH+MEL BOURGUIBA-202"/>
    <s v="TND"/>
    <n v="757.61900000000003"/>
    <n v="1"/>
    <n v="757.61900000000003"/>
    <x v="0"/>
    <d v="2022-06-02T00:00:00"/>
    <n v="100"/>
    <d v="2022-09-10T00:00:00"/>
    <n v="-25"/>
    <s v="W37_2022"/>
    <x v="0"/>
  </r>
  <r>
    <x v="0"/>
    <x v="104"/>
    <n v="22124495"/>
    <x v="0"/>
    <s v="CH (Cheque)"/>
    <s v="II. Receipts form Clients - non matured"/>
    <s v="Cheque PF"/>
    <s v="Sales of batteries - local"/>
    <s v="P/BIAT+ARIANA-0001895"/>
    <s v="TND"/>
    <n v="1657.97"/>
    <n v="1"/>
    <n v="1657.97"/>
    <x v="0"/>
    <d v="2022-05-25T00:00:00"/>
    <n v="108"/>
    <d v="2022-09-10T00:00:00"/>
    <n v="-25"/>
    <s v="W37_2022"/>
    <x v="0"/>
  </r>
  <r>
    <x v="0"/>
    <x v="99"/>
    <n v="22124473"/>
    <x v="0"/>
    <s v="CH (Cheque)"/>
    <s v="II. Receipts form Clients - non matured"/>
    <s v="Cheque PF"/>
    <s v="Sales of batteries - local"/>
    <s v="P/STB+FOUCHANA-0000456"/>
    <s v="TND"/>
    <n v="1050"/>
    <n v="1"/>
    <n v="1050"/>
    <x v="0"/>
    <d v="2022-05-24T00:00:00"/>
    <n v="109"/>
    <d v="2022-09-10T00:00:00"/>
    <n v="-25"/>
    <s v="W37_2022"/>
    <x v="0"/>
  </r>
  <r>
    <x v="0"/>
    <x v="274"/>
    <n v="22124500"/>
    <x v="0"/>
    <s v="CH (Cheque)"/>
    <s v="II. Receipts form Clients - non matured"/>
    <s v="Cheque PF"/>
    <s v="Sales of batteries - local"/>
    <s v="P/BIAT+KELIBIA-0005790"/>
    <s v="TND"/>
    <n v="5510.8149999999996"/>
    <n v="1"/>
    <n v="5510.8149999999996"/>
    <x v="0"/>
    <d v="2022-05-25T00:00:00"/>
    <n v="108"/>
    <d v="2022-09-10T00:00:00"/>
    <n v="-25"/>
    <s v="W37_2022"/>
    <x v="0"/>
  </r>
  <r>
    <x v="0"/>
    <x v="275"/>
    <n v="22124617"/>
    <x v="0"/>
    <s v="CH (Cheque)"/>
    <s v="II. Receipts form Clients - non matured"/>
    <s v="Cheque PF"/>
    <s v="Sales of batteries - local"/>
    <s v="P/STB+ENFIDHA-0000085"/>
    <s v="TND"/>
    <n v="4193.0469999999996"/>
    <n v="1"/>
    <n v="4193.0469999999996"/>
    <x v="0"/>
    <d v="2022-06-13T00:00:00"/>
    <n v="89"/>
    <d v="2022-09-10T00:00:00"/>
    <n v="-25"/>
    <s v="W37_2022"/>
    <x v="0"/>
  </r>
  <r>
    <x v="0"/>
    <x v="276"/>
    <n v="22124810"/>
    <x v="0"/>
    <s v="CH (Cheque)"/>
    <s v="II. Receipts form Clients - non matured"/>
    <s v="Cheque PF"/>
    <s v="Sales of batteries - local"/>
    <s v="P/BNA+TN-5784884"/>
    <s v="TND"/>
    <n v="4175.4459999999999"/>
    <n v="1"/>
    <n v="4175.4459999999999"/>
    <x v="0"/>
    <d v="2022-07-04T00:00:00"/>
    <n v="68"/>
    <d v="2022-09-10T00:00:00"/>
    <n v="-25"/>
    <s v="W37_2022"/>
    <x v="0"/>
  </r>
  <r>
    <x v="0"/>
    <x v="277"/>
    <n v="22124623"/>
    <x v="0"/>
    <s v="CH (Cheque)"/>
    <s v="II. Receipts form Clients - non matured"/>
    <s v="Cheque PF"/>
    <s v="Sales of batteries - local"/>
    <s v="P/UIB+BARDO-2339330"/>
    <s v="TND"/>
    <n v="677.9"/>
    <n v="1"/>
    <n v="677.9"/>
    <x v="0"/>
    <d v="2022-06-15T00:00:00"/>
    <n v="87"/>
    <d v="2022-09-10T00:00:00"/>
    <n v="-25"/>
    <s v="W37_2022"/>
    <x v="0"/>
  </r>
  <r>
    <x v="0"/>
    <x v="24"/>
    <n v="22124720"/>
    <x v="0"/>
    <s v="CH (Cheque)"/>
    <s v="II. Receipts form Clients - non matured"/>
    <s v="Cheque PF"/>
    <s v="Sales of batteries - local"/>
    <s v="P/BT+ZAGHOUAN-9068501"/>
    <s v="TND"/>
    <n v="1860.2260000000001"/>
    <n v="1"/>
    <n v="1860.2260000000001"/>
    <x v="0"/>
    <d v="2022-06-24T00:00:00"/>
    <n v="78"/>
    <d v="2022-09-10T00:00:00"/>
    <n v="-25"/>
    <s v="W37_2022"/>
    <x v="0"/>
  </r>
  <r>
    <x v="0"/>
    <x v="110"/>
    <n v="22124778"/>
    <x v="0"/>
    <s v="CH (Cheque)"/>
    <s v="II. Receipts form Clients - non matured"/>
    <s v="Cheque PF"/>
    <s v="Sales of batteries - local"/>
    <s v="P/BT+HAMMAM LIF-876693"/>
    <s v="TND"/>
    <n v="828.98400000000004"/>
    <n v="1"/>
    <n v="828.98400000000004"/>
    <x v="0"/>
    <d v="2022-06-29T00:00:00"/>
    <n v="73"/>
    <d v="2022-09-10T00:00:00"/>
    <n v="-25"/>
    <s v="W37_2022"/>
    <x v="0"/>
  </r>
  <r>
    <x v="0"/>
    <x v="111"/>
    <n v="22124930"/>
    <x v="0"/>
    <s v="CH (Cheque)"/>
    <s v="II. Receipts form Clients - non matured"/>
    <s v="Cheque PF"/>
    <s v="Sales of batteries - local"/>
    <s v="P/BH+TUNIS-2352277"/>
    <s v="TND"/>
    <n v="4494.7370000000001"/>
    <n v="1"/>
    <n v="4494.7370000000001"/>
    <x v="0"/>
    <d v="2022-07-28T00:00:00"/>
    <n v="44"/>
    <d v="2022-09-10T00:00:00"/>
    <n v="-25"/>
    <s v="W37_2022"/>
    <x v="0"/>
  </r>
  <r>
    <x v="0"/>
    <x v="233"/>
    <n v="22301519"/>
    <x v="0"/>
    <s v="CH (Cheque)"/>
    <s v="II. Receipts form Clients - non matured"/>
    <s v="Cheque PF"/>
    <s v="Sales of batteries - local"/>
    <s v="P/BNA+SFAX-5185404"/>
    <s v="TND"/>
    <n v="1368.778"/>
    <n v="1"/>
    <n v="1368.778"/>
    <x v="0"/>
    <d v="2022-05-30T00:00:00"/>
    <n v="103"/>
    <d v="2022-09-10T00:00:00"/>
    <n v="-25"/>
    <s v="W37_2022"/>
    <x v="0"/>
  </r>
  <r>
    <x v="0"/>
    <x v="146"/>
    <n v="22301550"/>
    <x v="0"/>
    <s v="CH (Cheque)"/>
    <s v="II. Receipts form Clients - non matured"/>
    <s v="Cheque PF"/>
    <s v="Sales of batteries - local"/>
    <s v="D/BNA+CHEBBA-5858527"/>
    <s v="TND"/>
    <n v="2359.855"/>
    <n v="1"/>
    <n v="2359.855"/>
    <x v="0"/>
    <d v="2022-06-13T00:00:00"/>
    <n v="89"/>
    <d v="2022-09-10T00:00:00"/>
    <n v="-25"/>
    <s v="W37_2022"/>
    <x v="0"/>
  </r>
  <r>
    <x v="0"/>
    <x v="115"/>
    <n v="22301633"/>
    <x v="0"/>
    <s v="CH (Cheque)"/>
    <s v="II. Receipts form Clients - non matured"/>
    <s v="Cheque PF"/>
    <s v="Sales of batteries - local"/>
    <s v="P/UIB+SFAX-2493041"/>
    <s v="TND"/>
    <n v="1670"/>
    <n v="1"/>
    <n v="1670"/>
    <x v="0"/>
    <d v="2022-06-30T00:00:00"/>
    <n v="72"/>
    <d v="2022-09-10T00:00:00"/>
    <n v="-25"/>
    <s v="W37_2022"/>
    <x v="0"/>
  </r>
  <r>
    <x v="0"/>
    <x v="116"/>
    <n v="22301672"/>
    <x v="0"/>
    <s v="CH (Cheque)"/>
    <s v="II. Receipts form Clients - non matured"/>
    <s v="Cheque PF"/>
    <s v="Sales of batteries - local"/>
    <s v="D/UBCI+MAHRES-8282657"/>
    <s v="TND"/>
    <n v="4000"/>
    <n v="1"/>
    <n v="4000"/>
    <x v="0"/>
    <d v="2022-07-14T00:00:00"/>
    <n v="58"/>
    <d v="2022-09-10T00:00:00"/>
    <n v="-25"/>
    <s v="W37_2022"/>
    <x v="0"/>
  </r>
  <r>
    <x v="0"/>
    <x v="278"/>
    <n v="22301704"/>
    <x v="0"/>
    <s v="CH (Cheque)"/>
    <s v="II. Receipts form Clients - non matured"/>
    <s v="Cheque PF"/>
    <s v="Sales of batteries - local"/>
    <s v="P/BZ+SFAX-4000568"/>
    <s v="TND"/>
    <n v="1890.923"/>
    <n v="1"/>
    <n v="1890.923"/>
    <x v="0"/>
    <d v="2022-07-21T00:00:00"/>
    <n v="51"/>
    <d v="2022-09-10T00:00:00"/>
    <n v="-25"/>
    <s v="W37_2022"/>
    <x v="0"/>
  </r>
  <r>
    <x v="0"/>
    <x v="121"/>
    <n v="22301756"/>
    <x v="0"/>
    <s v="CH (Cheque)"/>
    <s v="II. Receipts form Clients - non matured"/>
    <s v="Cheque PF"/>
    <s v="Sales of batteries - local"/>
    <s v="D/BNA+CHRARDA-5850675"/>
    <s v="TND"/>
    <n v="2212.9"/>
    <n v="1"/>
    <n v="2212.9"/>
    <x v="0"/>
    <d v="2022-08-05T00:00:00"/>
    <n v="37"/>
    <d v="2022-09-11T00:00:00"/>
    <n v="-26"/>
    <s v="W37_2022"/>
    <x v="0"/>
  </r>
  <r>
    <x v="0"/>
    <x v="279"/>
    <n v="22601481"/>
    <x v="0"/>
    <s v="CH (Cheque)"/>
    <s v="II. Receipts form Clients - non matured"/>
    <s v="Cheque PF"/>
    <s v="Sales of batteries - local"/>
    <s v="P/ATB+GABES-6313560"/>
    <s v="TND"/>
    <n v="2066.2829999999999"/>
    <n v="1"/>
    <n v="2066.2829999999999"/>
    <x v="0"/>
    <d v="2022-07-27T00:00:00"/>
    <n v="46"/>
    <d v="2022-09-11T00:00:00"/>
    <n v="-26"/>
    <s v="W37_2022"/>
    <x v="0"/>
  </r>
  <r>
    <x v="0"/>
    <x v="30"/>
    <n v="22701241"/>
    <x v="0"/>
    <s v="CH (Cheque)"/>
    <s v="II. Receipts form Clients - non matured"/>
    <s v="Cheque PF"/>
    <s v="Sales of batteries - local"/>
    <s v="P/BNA+THALA-5940246"/>
    <s v="TND"/>
    <n v="3650"/>
    <n v="1"/>
    <n v="3650"/>
    <x v="0"/>
    <d v="2022-07-16T00:00:00"/>
    <n v="57"/>
    <d v="2022-09-11T00:00:00"/>
    <n v="-26"/>
    <s v="W37_2022"/>
    <x v="0"/>
  </r>
  <r>
    <x v="0"/>
    <x v="280"/>
    <n v="22801295"/>
    <x v="0"/>
    <s v="CH (Cheque)"/>
    <s v="II. Receipts form Clients - non matured"/>
    <s v="Cheque PF"/>
    <s v="Sales of batteries - local"/>
    <s v="P/BQ ATTIJ+MATEUR-0020"/>
    <s v="TND"/>
    <n v="2356.9389999999999"/>
    <n v="1"/>
    <n v="2356.9389999999999"/>
    <x v="0"/>
    <d v="2022-06-13T00:00:00"/>
    <n v="90"/>
    <d v="2022-09-11T00:00:00"/>
    <n v="-26"/>
    <s v="W37_2022"/>
    <x v="0"/>
  </r>
  <r>
    <x v="0"/>
    <x v="74"/>
    <n v="22401432"/>
    <x v="0"/>
    <s v="CH (Cheque)"/>
    <s v="II. Receipts form Clients - non matured"/>
    <s v="Cheque PF"/>
    <s v="Sales of batteries - local"/>
    <s v="D/BIAT+MONASTIR-000771"/>
    <s v="TND"/>
    <n v="1500"/>
    <n v="1"/>
    <n v="1500"/>
    <x v="0"/>
    <d v="2022-05-31T00:00:00"/>
    <n v="103"/>
    <d v="2022-09-11T00:00:00"/>
    <n v="-26"/>
    <s v="W37_2022"/>
    <x v="0"/>
  </r>
  <r>
    <x v="0"/>
    <x v="121"/>
    <n v="22301617"/>
    <x v="0"/>
    <s v="CH (Cheque)"/>
    <s v="II. Receipts form Clients - non matured"/>
    <s v="Cheque PF"/>
    <s v="Sales of batteries - local"/>
    <s v="D/BNA+CHRARDA-5316606"/>
    <s v="TND"/>
    <n v="1155"/>
    <n v="1"/>
    <n v="1155"/>
    <x v="0"/>
    <d v="2022-06-30T00:00:00"/>
    <n v="73"/>
    <d v="2022-09-11T00:00:00"/>
    <n v="-26"/>
    <s v="W37_2022"/>
    <x v="0"/>
  </r>
  <r>
    <x v="0"/>
    <x v="267"/>
    <n v="22601503"/>
    <x v="0"/>
    <s v="CH (Cheque)"/>
    <s v="II. Receipts form Clients - non matured"/>
    <s v="Cheque PF"/>
    <s v="Sales of batteries - local"/>
    <s v="P/BNA+DJERBA-6143837"/>
    <s v="TND"/>
    <n v="726.53099999999995"/>
    <n v="1"/>
    <n v="726.53099999999995"/>
    <x v="0"/>
    <d v="2022-08-04T00:00:00"/>
    <n v="39"/>
    <d v="2022-09-12T00:00:00"/>
    <n v="-27"/>
    <s v="W37_2022"/>
    <x v="0"/>
  </r>
  <r>
    <x v="0"/>
    <x v="28"/>
    <n v="22601372"/>
    <x v="0"/>
    <s v="CH (Cheque)"/>
    <s v="II. Receipts form Clients - non matured"/>
    <s v="Cheque PF"/>
    <s v="Sales of batteries - local"/>
    <s v="P/BNA+GABES-5795271"/>
    <s v="TND"/>
    <n v="2000"/>
    <n v="1"/>
    <n v="2000"/>
    <x v="0"/>
    <d v="2022-06-20T00:00:00"/>
    <n v="84"/>
    <d v="2022-09-12T00:00:00"/>
    <n v="-27"/>
    <s v="W37_2022"/>
    <x v="0"/>
  </r>
  <r>
    <x v="0"/>
    <x v="9"/>
    <n v="22601358"/>
    <x v="0"/>
    <s v="CH (Cheque)"/>
    <s v="II. Receipts form Clients - non matured"/>
    <s v="Cheque PF"/>
    <s v="Sales of batteries - local"/>
    <s v="P/BTL+GABES-3010828"/>
    <s v="TND"/>
    <n v="582.37199999999996"/>
    <n v="1"/>
    <n v="582.37199999999996"/>
    <x v="0"/>
    <d v="2022-06-15T00:00:00"/>
    <n v="89"/>
    <d v="2022-09-12T00:00:00"/>
    <n v="-27"/>
    <s v="W37_2022"/>
    <x v="0"/>
  </r>
  <r>
    <x v="0"/>
    <x v="281"/>
    <n v="22601341"/>
    <x v="0"/>
    <s v="CH (Cheque)"/>
    <s v="II. Receipts form Clients - non matured"/>
    <s v="Cheque PF"/>
    <s v="Sales of batteries - local"/>
    <s v="P/ATTIJARI+GABES-00856"/>
    <s v="TND"/>
    <n v="386.68"/>
    <n v="1"/>
    <n v="386.68"/>
    <x v="0"/>
    <d v="2022-06-06T00:00:00"/>
    <n v="98"/>
    <d v="2022-09-12T00:00:00"/>
    <n v="-27"/>
    <s v="W37_2022"/>
    <x v="0"/>
  </r>
  <r>
    <x v="0"/>
    <x v="282"/>
    <n v="22401396"/>
    <x v="0"/>
    <s v="CH (Cheque)"/>
    <s v="II. Receipts form Clients - non matured"/>
    <s v="Cheque PF"/>
    <s v="Sales of batteries - local"/>
    <s v="P/UIB+SOUSSE-2487052"/>
    <s v="TND"/>
    <n v="591.57000000000005"/>
    <n v="1"/>
    <n v="591.57000000000005"/>
    <x v="0"/>
    <d v="2022-05-27T00:00:00"/>
    <n v="108"/>
    <d v="2022-09-12T00:00:00"/>
    <n v="-27"/>
    <s v="W37_2022"/>
    <x v="0"/>
  </r>
  <r>
    <x v="0"/>
    <x v="283"/>
    <n v="22401490"/>
    <x v="0"/>
    <s v="CH (Cheque)"/>
    <s v="II. Receipts form Clients - non matured"/>
    <s v="Cheque PF"/>
    <s v="Sales of batteries - local"/>
    <s v="P/BIAT+H.SOUSSE-000054"/>
    <s v="TND"/>
    <n v="609.60500000000002"/>
    <n v="1"/>
    <n v="609.60500000000002"/>
    <x v="0"/>
    <d v="2022-06-20T00:00:00"/>
    <n v="84"/>
    <d v="2022-09-12T00:00:00"/>
    <n v="-27"/>
    <s v="W37_2022"/>
    <x v="0"/>
  </r>
  <r>
    <x v="0"/>
    <x v="13"/>
    <n v="22401504"/>
    <x v="0"/>
    <s v="CH (Cheque)"/>
    <s v="II. Receipts form Clients - non matured"/>
    <s v="Cheque PF"/>
    <s v="Sales of batteries - local"/>
    <s v="D/AMEN+MOKNINE-1334474"/>
    <s v="TND"/>
    <n v="7620"/>
    <n v="1"/>
    <n v="7620"/>
    <x v="0"/>
    <d v="2022-06-23T00:00:00"/>
    <n v="81"/>
    <d v="2022-09-12T00:00:00"/>
    <n v="-27"/>
    <s v="W37_2022"/>
    <x v="0"/>
  </r>
  <r>
    <x v="0"/>
    <x v="7"/>
    <n v="22124592"/>
    <x v="0"/>
    <s v="CH (Cheque)"/>
    <s v="II. Receipts form Clients - non matured"/>
    <s v="Cheque PF"/>
    <s v="Sales of batteries - local"/>
    <s v="P/BIAT+RAOUED-0003527"/>
    <s v="TND"/>
    <n v="1112.557"/>
    <n v="1"/>
    <n v="1112.557"/>
    <x v="0"/>
    <d v="2022-06-10T00:00:00"/>
    <n v="94"/>
    <d v="2022-09-12T00:00:00"/>
    <n v="-27"/>
    <s v="W37_2022"/>
    <x v="0"/>
  </r>
  <r>
    <x v="0"/>
    <x v="126"/>
    <n v="22124702"/>
    <x v="0"/>
    <s v="CH (Cheque)"/>
    <s v="II. Receipts form Clients - non matured"/>
    <s v="Cheque PF"/>
    <s v="Sales of batteries - local"/>
    <s v="P/BNA+MEL TEMIME-54252"/>
    <s v="TND"/>
    <n v="515.39599999999996"/>
    <n v="1"/>
    <n v="515.39599999999996"/>
    <x v="0"/>
    <d v="2022-06-22T00:00:00"/>
    <n v="82"/>
    <d v="2022-09-12T00:00:00"/>
    <n v="-27"/>
    <s v="W37_2022"/>
    <x v="0"/>
  </r>
  <r>
    <x v="0"/>
    <x v="125"/>
    <n v="22301408"/>
    <x v="0"/>
    <s v="CH (Cheque)"/>
    <s v="II. Receipts form Clients - non matured"/>
    <s v="Cheque PF"/>
    <s v="Sales of batteries - local"/>
    <s v="P/BIAT+SFAX-0007362"/>
    <s v="TND"/>
    <n v="830"/>
    <n v="1"/>
    <n v="830"/>
    <x v="0"/>
    <d v="2022-04-27T00:00:00"/>
    <n v="138"/>
    <d v="2022-09-12T00:00:00"/>
    <n v="-27"/>
    <s v="W37_2022"/>
    <x v="0"/>
  </r>
  <r>
    <x v="0"/>
    <x v="264"/>
    <n v="22601322"/>
    <x v="0"/>
    <s v="CH (Cheque)"/>
    <s v="II. Receipts form Clients - non matured"/>
    <s v="Cheque PF"/>
    <s v="Sales of batteries - local"/>
    <s v="P/BNA+GABES-4441668"/>
    <s v="TND"/>
    <n v="2500"/>
    <n v="1"/>
    <n v="2500"/>
    <x v="0"/>
    <d v="2022-05-25T00:00:00"/>
    <n v="111"/>
    <d v="2022-09-13T00:00:00"/>
    <n v="-28"/>
    <s v="W37_2022"/>
    <x v="0"/>
  </r>
  <r>
    <x v="0"/>
    <x v="284"/>
    <n v="22801314"/>
    <x v="0"/>
    <s v="CH (Cheque)"/>
    <s v="II. Receipts form Clients - non matured"/>
    <s v="Cheque PF"/>
    <s v="Sales of batteries - local"/>
    <s v="P/UBCI+KEF-9346272"/>
    <s v="TND"/>
    <n v="2600"/>
    <n v="1"/>
    <n v="2600"/>
    <x v="0"/>
    <d v="2022-06-18T00:00:00"/>
    <n v="87"/>
    <d v="2022-09-13T00:00:00"/>
    <n v="-28"/>
    <s v="W37_2022"/>
    <x v="0"/>
  </r>
  <r>
    <x v="0"/>
    <x v="102"/>
    <n v="22124525"/>
    <x v="0"/>
    <s v="CH (Cheque)"/>
    <s v="II. Receipts form Clients - non matured"/>
    <s v="Cheque PF"/>
    <s v="Sales of batteries - local"/>
    <s v="P/ATTJ BQ+BEN AROUS-01"/>
    <s v="TND"/>
    <n v="856.82100000000003"/>
    <n v="1"/>
    <n v="856.82100000000003"/>
    <x v="0"/>
    <d v="2022-05-27T00:00:00"/>
    <n v="109"/>
    <d v="2022-09-13T00:00:00"/>
    <n v="-28"/>
    <s v="W37_2022"/>
    <x v="0"/>
  </r>
  <r>
    <x v="0"/>
    <x v="125"/>
    <n v="22301505"/>
    <x v="0"/>
    <s v="CH (Cheque)"/>
    <s v="II. Receipts form Clients - non matured"/>
    <s v="Cheque PF"/>
    <s v="Sales of batteries - local"/>
    <s v="P/BIAT+SFAX-0007427"/>
    <s v="TND"/>
    <n v="700"/>
    <n v="1"/>
    <n v="700"/>
    <x v="0"/>
    <d v="2022-05-27T00:00:00"/>
    <n v="109"/>
    <d v="2022-09-13T00:00:00"/>
    <n v="-28"/>
    <s v="W37_2022"/>
    <x v="0"/>
  </r>
  <r>
    <x v="0"/>
    <x v="78"/>
    <n v="22301591"/>
    <x v="0"/>
    <s v="CH (Cheque)"/>
    <s v="II. Receipts form Clients - non matured"/>
    <s v="Cheque PF"/>
    <s v="Sales of batteries - local"/>
    <s v="P/BIAT+SFAX-0007558"/>
    <s v="TND"/>
    <n v="2500"/>
    <n v="1"/>
    <n v="2500"/>
    <x v="0"/>
    <d v="2022-06-27T00:00:00"/>
    <n v="78"/>
    <d v="2022-09-13T00:00:00"/>
    <n v="-28"/>
    <s v="W37_2022"/>
    <x v="0"/>
  </r>
  <r>
    <x v="0"/>
    <x v="28"/>
    <n v="22601373"/>
    <x v="0"/>
    <s v="CH (Cheque)"/>
    <s v="II. Receipts form Clients - non matured"/>
    <s v="Cheque PF"/>
    <s v="Sales of batteries - local"/>
    <s v="P/BNA+GABES-5795272"/>
    <s v="TND"/>
    <n v="2000"/>
    <n v="1"/>
    <n v="2000"/>
    <x v="0"/>
    <d v="2022-06-20T00:00:00"/>
    <n v="86"/>
    <d v="2022-09-14T00:00:00"/>
    <n v="-29"/>
    <s v="W37_2022"/>
    <x v="0"/>
  </r>
  <r>
    <x v="0"/>
    <x v="34"/>
    <n v="22801310"/>
    <x v="0"/>
    <s v="CH (Cheque)"/>
    <s v="II. Receipts form Clients - non matured"/>
    <s v="Cheque PF"/>
    <s v="Sales of batteries - local"/>
    <s v="P/BNA+BEJA-5352879"/>
    <s v="TND"/>
    <n v="1600"/>
    <n v="1"/>
    <n v="1600"/>
    <x v="0"/>
    <d v="2022-06-17T00:00:00"/>
    <n v="89"/>
    <d v="2022-09-14T00:00:00"/>
    <n v="-29"/>
    <s v="W37_2022"/>
    <x v="0"/>
  </r>
  <r>
    <x v="0"/>
    <x v="76"/>
    <n v="22124482"/>
    <x v="0"/>
    <s v="CH (Cheque)"/>
    <s v="II. Receipts form Clients - non matured"/>
    <s v="Cheque PF"/>
    <s v="Sales of batteries - local"/>
    <s v="p/bna+tn-5403343"/>
    <s v="TND"/>
    <n v="1590.373"/>
    <n v="1"/>
    <n v="1590.373"/>
    <x v="0"/>
    <d v="2022-05-24T00:00:00"/>
    <n v="113"/>
    <d v="2022-09-14T00:00:00"/>
    <n v="-29"/>
    <s v="W37_2022"/>
    <x v="0"/>
  </r>
  <r>
    <x v="0"/>
    <x v="108"/>
    <n v="22124714"/>
    <x v="0"/>
    <s v="CH (Cheque)"/>
    <s v="II. Receipts form Clients - non matured"/>
    <s v="Cheque PF"/>
    <s v="Sales of batteries - local"/>
    <s v="P/STB+TN-0006084"/>
    <s v="TND"/>
    <n v="1215.7"/>
    <n v="1"/>
    <n v="1215.7"/>
    <x v="0"/>
    <d v="2022-06-24T00:00:00"/>
    <n v="82"/>
    <d v="2022-09-14T00:00:00"/>
    <n v="-29"/>
    <s v="W37_2022"/>
    <x v="0"/>
  </r>
  <r>
    <x v="0"/>
    <x v="8"/>
    <n v="22301528"/>
    <x v="0"/>
    <s v="CH (Cheque)"/>
    <s v="II. Receipts form Clients - non matured"/>
    <s v="Cheque PF"/>
    <s v="Sales of batteries - local"/>
    <s v="P/BZ+SFAX-4000697"/>
    <s v="TND"/>
    <n v="6000"/>
    <n v="1"/>
    <n v="6000"/>
    <x v="0"/>
    <d v="2022-05-31T00:00:00"/>
    <n v="106"/>
    <d v="2022-09-14T00:00:00"/>
    <n v="-29"/>
    <s v="W37_2022"/>
    <x v="0"/>
  </r>
  <r>
    <x v="0"/>
    <x v="237"/>
    <n v="22301562"/>
    <x v="0"/>
    <s v="CH (Cheque)"/>
    <s v="II. Receipts form Clients - non matured"/>
    <s v="Cheque PF"/>
    <s v="Sales of batteries - local"/>
    <s v="D/BH+ELJEM-1737821"/>
    <s v="TND"/>
    <n v="400"/>
    <n v="1"/>
    <n v="400"/>
    <x v="0"/>
    <d v="2022-06-16T00:00:00"/>
    <n v="90"/>
    <d v="2022-09-14T00:00:00"/>
    <n v="-29"/>
    <s v="W37_2022"/>
    <x v="0"/>
  </r>
  <r>
    <x v="0"/>
    <x v="285"/>
    <n v="22124992"/>
    <x v="0"/>
    <s v="CH (Cheque)"/>
    <s v="II. Receipts form Clients - non matured"/>
    <s v="Cheque PF"/>
    <s v="Sales of batteries - local"/>
    <s v="P/BIAT+AV DE CARTHAGE-"/>
    <s v="TND"/>
    <n v="1007.596"/>
    <n v="1"/>
    <n v="1007.596"/>
    <x v="0"/>
    <d v="2022-08-05T00:00:00"/>
    <n v="41"/>
    <d v="2022-09-15T00:00:00"/>
    <n v="-30"/>
    <s v="W37_2022"/>
    <x v="0"/>
  </r>
  <r>
    <x v="0"/>
    <x v="234"/>
    <n v="22301745"/>
    <x v="0"/>
    <s v="CH (Cheque)"/>
    <s v="II. Receipts form Clients - non matured"/>
    <s v="Cheque PF"/>
    <s v="Sales of batteries - local"/>
    <s v="P/BNA+SFAX-6035136"/>
    <s v="TND"/>
    <n v="2950"/>
    <n v="1"/>
    <n v="2950"/>
    <x v="0"/>
    <d v="2022-08-04T00:00:00"/>
    <n v="42"/>
    <d v="2022-09-15T00:00:00"/>
    <n v="-30"/>
    <s v="W37_2022"/>
    <x v="0"/>
  </r>
  <r>
    <x v="0"/>
    <x v="26"/>
    <n v="22301728"/>
    <x v="0"/>
    <s v="CH (Cheque)"/>
    <s v="II. Receipts form Clients - non matured"/>
    <s v="Cheque PF"/>
    <s v="Sales of batteries - local"/>
    <s v="P/UBCI+SFAX-9306515"/>
    <s v="TND"/>
    <n v="1200"/>
    <n v="1"/>
    <n v="1200"/>
    <x v="0"/>
    <d v="2022-07-29T00:00:00"/>
    <n v="48"/>
    <d v="2022-09-15T00:00:00"/>
    <n v="-30"/>
    <s v="W37_2022"/>
    <x v="0"/>
  </r>
  <r>
    <x v="0"/>
    <x v="29"/>
    <n v="22601476"/>
    <x v="0"/>
    <s v="CH (Cheque)"/>
    <s v="II. Receipts form Clients - non matured"/>
    <s v="Cheque PF"/>
    <s v="Sales of batteries - local"/>
    <s v="P/BIAT+ZERZIS-0003326"/>
    <s v="TND"/>
    <n v="930"/>
    <n v="1"/>
    <n v="930"/>
    <x v="0"/>
    <d v="2022-07-27T00:00:00"/>
    <n v="50"/>
    <d v="2022-09-15T00:00:00"/>
    <n v="-30"/>
    <s v="W37_2022"/>
    <x v="0"/>
  </r>
  <r>
    <x v="0"/>
    <x v="248"/>
    <n v="22601460"/>
    <x v="0"/>
    <s v="CH (Cheque)"/>
    <s v="II. Receipts form Clients - non matured"/>
    <s v="Cheque PF"/>
    <s v="Sales of batteries - local"/>
    <s v="P/BT+GABES-3986796"/>
    <s v="TND"/>
    <n v="2000"/>
    <n v="1"/>
    <n v="2000"/>
    <x v="0"/>
    <d v="2022-07-26T00:00:00"/>
    <n v="51"/>
    <d v="2022-09-15T00:00:00"/>
    <n v="-30"/>
    <s v="W37_2022"/>
    <x v="0"/>
  </r>
  <r>
    <x v="0"/>
    <x v="286"/>
    <n v="22601516"/>
    <x v="0"/>
    <s v="CH (Cheque)"/>
    <s v="II. Receipts form Clients - non matured"/>
    <s v="Cheque PF"/>
    <s v="Sales of batteries - local"/>
    <s v="P/BH+GABES-2111201"/>
    <s v="TND"/>
    <n v="1944.1669999999999"/>
    <n v="1"/>
    <n v="1944.1669999999999"/>
    <x v="0"/>
    <d v="2022-08-05T00:00:00"/>
    <n v="41"/>
    <d v="2022-09-15T00:00:00"/>
    <n v="-30"/>
    <s v="W37_2022"/>
    <x v="0"/>
  </r>
  <r>
    <x v="0"/>
    <x v="9"/>
    <n v="22601456"/>
    <x v="0"/>
    <s v="CH (Cheque)"/>
    <s v="II. Receipts form Clients - non matured"/>
    <s v="Cheque PF"/>
    <s v="Sales of batteries - local"/>
    <s v="P/BTL+GABES-3025444"/>
    <s v="TND"/>
    <n v="578.08699999999999"/>
    <n v="1"/>
    <n v="578.08699999999999"/>
    <x v="0"/>
    <d v="2022-07-26T00:00:00"/>
    <n v="51"/>
    <d v="2022-09-15T00:00:00"/>
    <n v="-30"/>
    <s v="W37_2022"/>
    <x v="0"/>
  </r>
  <r>
    <x v="0"/>
    <x v="90"/>
    <n v="22701275"/>
    <x v="0"/>
    <s v="CH (Cheque)"/>
    <s v="II. Receipts form Clients - non matured"/>
    <s v="Cheque PF"/>
    <s v="Sales of batteries - local"/>
    <s v="P/AMEN+TOZEUR-1195315"/>
    <s v="TND"/>
    <n v="1191.8309999999999"/>
    <n v="1"/>
    <n v="1191.8309999999999"/>
    <x v="0"/>
    <d v="2022-08-04T00:00:00"/>
    <n v="42"/>
    <d v="2022-09-15T00:00:00"/>
    <n v="-30"/>
    <s v="W37_2022"/>
    <x v="0"/>
  </r>
  <r>
    <x v="0"/>
    <x v="167"/>
    <n v="22801399"/>
    <x v="0"/>
    <s v="CH (Cheque)"/>
    <s v="II. Receipts form Clients - non matured"/>
    <s v="Cheque PF"/>
    <s v="Sales of batteries - local"/>
    <s v="P/BNA+MAKTHAR-3507043"/>
    <s v="TND"/>
    <n v="2200"/>
    <n v="1"/>
    <n v="2200"/>
    <x v="0"/>
    <d v="2022-07-29T00:00:00"/>
    <n v="48"/>
    <d v="2022-09-15T00:00:00"/>
    <n v="-30"/>
    <s v="W37_2022"/>
    <x v="0"/>
  </r>
  <r>
    <x v="0"/>
    <x v="287"/>
    <n v="22601374"/>
    <x v="0"/>
    <s v="CH (Cheque)"/>
    <s v="II. Receipts form Clients - non matured"/>
    <s v="Cheque PF"/>
    <s v="Sales of batteries - local"/>
    <s v="P/QNB+GABES-0004821"/>
    <s v="TND"/>
    <n v="932.31600000000003"/>
    <n v="1"/>
    <n v="932.31600000000003"/>
    <x v="0"/>
    <d v="2022-06-23T00:00:00"/>
    <n v="84"/>
    <d v="2022-09-15T00:00:00"/>
    <n v="-30"/>
    <s v="W37_2022"/>
    <x v="0"/>
  </r>
  <r>
    <x v="0"/>
    <x v="18"/>
    <n v="22701240"/>
    <x v="0"/>
    <s v="CH (Cheque)"/>
    <s v="II. Receipts form Clients - non matured"/>
    <s v="Cheque PF"/>
    <s v="Sales of batteries - local"/>
    <s v="P/UIB+NAFTA-2281104"/>
    <s v="TND"/>
    <n v="1600"/>
    <n v="1"/>
    <n v="1600"/>
    <x v="0"/>
    <d v="2022-07-14T00:00:00"/>
    <n v="63"/>
    <d v="2022-09-15T00:00:00"/>
    <n v="-30"/>
    <s v="W37_2022"/>
    <x v="0"/>
  </r>
  <r>
    <x v="0"/>
    <x v="288"/>
    <n v="22701193"/>
    <x v="0"/>
    <s v="CH (Cheque)"/>
    <s v="II. Receipts form Clients - non matured"/>
    <s v="Cheque PF"/>
    <s v="Sales of batteries - local"/>
    <s v="P/STB+REDEYEF-0000287"/>
    <s v="TND"/>
    <n v="2589.9119999999998"/>
    <n v="1"/>
    <n v="2589.9119999999998"/>
    <x v="0"/>
    <d v="2022-06-01T00:00:00"/>
    <n v="106"/>
    <d v="2022-09-15T00:00:00"/>
    <n v="-30"/>
    <s v="W37_2022"/>
    <x v="0"/>
  </r>
  <r>
    <x v="0"/>
    <x v="17"/>
    <n v="22701231"/>
    <x v="0"/>
    <s v="CH (Cheque)"/>
    <s v="II. Receipts form Clients - non matured"/>
    <s v="Cheque PF"/>
    <s v="Sales of batteries - local"/>
    <s v="P/BNA+ELGUTTAR-5502267"/>
    <s v="TND"/>
    <n v="741.47400000000005"/>
    <n v="1"/>
    <n v="741.47400000000005"/>
    <x v="0"/>
    <d v="2022-07-12T00:00:00"/>
    <n v="65"/>
    <d v="2022-09-15T00:00:00"/>
    <n v="-30"/>
    <s v="W37_2022"/>
    <x v="0"/>
  </r>
  <r>
    <x v="0"/>
    <x v="289"/>
    <n v="22801344"/>
    <x v="0"/>
    <s v="CH (Cheque)"/>
    <s v="II. Receipts form Clients - non matured"/>
    <s v="Cheque PF"/>
    <s v="Sales of batteries - local"/>
    <s v="P/BT+DAHMANI-8500311"/>
    <s v="TND"/>
    <n v="2261.9459999999999"/>
    <n v="1"/>
    <n v="2261.9459999999999"/>
    <x v="0"/>
    <d v="2022-07-08T00:00:00"/>
    <n v="69"/>
    <d v="2022-09-15T00:00:00"/>
    <n v="-30"/>
    <s v="W37_2022"/>
    <x v="0"/>
  </r>
  <r>
    <x v="0"/>
    <x v="161"/>
    <n v="22801253"/>
    <x v="0"/>
    <s v="CH (Cheque)"/>
    <s v="II. Receipts form Clients - non matured"/>
    <s v="Cheque PF"/>
    <s v="Sales of batteries - local"/>
    <s v="P/STB+NEFZA-0001274"/>
    <s v="TND"/>
    <n v="1017.183"/>
    <n v="1"/>
    <n v="1017.183"/>
    <x v="0"/>
    <d v="2022-05-25T00:00:00"/>
    <n v="113"/>
    <d v="2022-09-15T00:00:00"/>
    <n v="-30"/>
    <s v="W37_2022"/>
    <x v="0"/>
  </r>
  <r>
    <x v="0"/>
    <x v="290"/>
    <n v="22801350"/>
    <x v="0"/>
    <s v="CH (Cheque)"/>
    <s v="II. Receipts form Clients - non matured"/>
    <s v="Cheque PF"/>
    <s v="Sales of batteries - local"/>
    <s v="P/BNA+MAKTHAR-5237808"/>
    <s v="TND"/>
    <n v="981.61699999999996"/>
    <n v="1"/>
    <n v="981.61699999999996"/>
    <x v="0"/>
    <d v="2022-07-15T00:00:00"/>
    <n v="62"/>
    <d v="2022-09-15T00:00:00"/>
    <n v="-30"/>
    <s v="W37_2022"/>
    <x v="0"/>
  </r>
  <r>
    <x v="0"/>
    <x v="212"/>
    <n v="22401346"/>
    <x v="0"/>
    <s v="CH (Cheque)"/>
    <s v="II. Receipts form Clients - non matured"/>
    <s v="Cheque PF"/>
    <s v="Sales of batteries - local"/>
    <s v="D/UBCI+TEBOULBA-902201"/>
    <s v="TND"/>
    <n v="3500"/>
    <n v="1"/>
    <n v="3500"/>
    <x v="0"/>
    <d v="2022-04-28T00:00:00"/>
    <n v="140"/>
    <d v="2022-09-15T00:00:00"/>
    <n v="-30"/>
    <s v="W37_2022"/>
    <x v="0"/>
  </r>
  <r>
    <x v="0"/>
    <x v="291"/>
    <n v="22401584"/>
    <x v="0"/>
    <s v="CH (Cheque)"/>
    <s v="II. Receipts form Clients - non matured"/>
    <s v="Cheque PF"/>
    <s v="Sales of batteries - local"/>
    <s v="P/ATTIJARI+SOUSSE-0086"/>
    <s v="TND"/>
    <n v="3766.1979999999999"/>
    <n v="1"/>
    <n v="3766.1979999999999"/>
    <x v="0"/>
    <d v="2022-07-07T00:00:00"/>
    <n v="70"/>
    <d v="2022-09-15T00:00:00"/>
    <n v="-30"/>
    <s v="W37_2022"/>
    <x v="0"/>
  </r>
  <r>
    <x v="0"/>
    <x v="265"/>
    <n v="22401533"/>
    <x v="0"/>
    <s v="CH (Cheque)"/>
    <s v="II. Receipts form Clients - non matured"/>
    <s v="Cheque PF"/>
    <s v="Sales of batteries - local"/>
    <s v="P/ATB+H.SOUSSE-5693738"/>
    <s v="TND"/>
    <n v="500"/>
    <n v="1"/>
    <n v="500"/>
    <x v="0"/>
    <d v="2022-06-30T00:00:00"/>
    <n v="77"/>
    <d v="2022-09-15T00:00:00"/>
    <n v="-30"/>
    <s v="W37_2022"/>
    <x v="0"/>
  </r>
  <r>
    <x v="0"/>
    <x v="96"/>
    <n v="22401536"/>
    <x v="0"/>
    <s v="CH (Cheque)"/>
    <s v="II. Receipts form Clients - non matured"/>
    <s v="Cheque PF"/>
    <s v="Sales of batteries - local"/>
    <s v="P/UIB+KALAA KEBIRA-232"/>
    <s v="TND"/>
    <n v="1078.2280000000001"/>
    <n v="1"/>
    <n v="1078.2280000000001"/>
    <x v="0"/>
    <d v="2022-06-30T00:00:00"/>
    <n v="77"/>
    <d v="2022-09-15T00:00:00"/>
    <n v="-30"/>
    <s v="W37_2022"/>
    <x v="0"/>
  </r>
  <r>
    <x v="0"/>
    <x v="292"/>
    <n v="22401570"/>
    <x v="0"/>
    <s v="CH (Cheque)"/>
    <s v="II. Receipts form Clients - non matured"/>
    <s v="Cheque PF"/>
    <s v="Sales of batteries - local"/>
    <s v="P/BNA+SOUSSE-6004715"/>
    <s v="TND"/>
    <n v="1131.03"/>
    <n v="1"/>
    <n v="1131.03"/>
    <x v="0"/>
    <d v="2022-07-06T00:00:00"/>
    <n v="71"/>
    <d v="2022-09-15T00:00:00"/>
    <n v="-30"/>
    <s v="W37_2022"/>
    <x v="0"/>
  </r>
  <r>
    <x v="0"/>
    <x v="293"/>
    <n v="22124813"/>
    <x v="0"/>
    <s v="CH (Cheque)"/>
    <s v="II. Receipts form Clients - non matured"/>
    <s v="Cheque PF"/>
    <s v="Sales of batteries - local"/>
    <s v="P/UBCI+MONTFLEURY-8049"/>
    <s v="TND"/>
    <n v="295.25599999999997"/>
    <n v="1"/>
    <n v="295.25599999999997"/>
    <x v="0"/>
    <d v="2022-07-07T00:00:00"/>
    <n v="70"/>
    <d v="2022-09-15T00:00:00"/>
    <n v="-30"/>
    <s v="W37_2022"/>
    <x v="0"/>
  </r>
  <r>
    <x v="0"/>
    <x v="97"/>
    <n v="22124570"/>
    <x v="0"/>
    <s v="CH (Cheque)"/>
    <s v="II. Receipts form Clients - non matured"/>
    <s v="Cheque PF"/>
    <s v="Sales of batteries - local"/>
    <s v="P/BIAT+BEN AROUS-00000"/>
    <s v="TND"/>
    <n v="8091.1"/>
    <n v="1"/>
    <n v="8091.1"/>
    <x v="0"/>
    <d v="2022-06-02T00:00:00"/>
    <n v="105"/>
    <d v="2022-09-15T00:00:00"/>
    <n v="-30"/>
    <s v="W37_2022"/>
    <x v="0"/>
  </r>
  <r>
    <x v="0"/>
    <x v="100"/>
    <n v="22124801"/>
    <x v="0"/>
    <s v="CH (Cheque)"/>
    <s v="II. Receipts form Clients - non matured"/>
    <s v="Cheque PF"/>
    <s v="Sales of batteries - local"/>
    <s v="P/BNA+TN-5439889"/>
    <s v="TND"/>
    <n v="971.154"/>
    <n v="1"/>
    <n v="971.154"/>
    <x v="0"/>
    <d v="2022-06-30T00:00:00"/>
    <n v="77"/>
    <d v="2022-09-15T00:00:00"/>
    <n v="-30"/>
    <s v="W37_2022"/>
    <x v="0"/>
  </r>
  <r>
    <x v="0"/>
    <x v="294"/>
    <n v="22124797"/>
    <x v="0"/>
    <s v="CH (Cheque)"/>
    <s v="II. Receipts form Clients - non matured"/>
    <s v="Cheque PF"/>
    <s v="Sales of batteries - local"/>
    <s v="P/BQ ZAIT+ENNASR-40012"/>
    <s v="TND"/>
    <n v="1146.8589999999999"/>
    <n v="1"/>
    <n v="1146.8589999999999"/>
    <x v="0"/>
    <d v="2022-06-30T00:00:00"/>
    <n v="77"/>
    <d v="2022-09-15T00:00:00"/>
    <n v="-30"/>
    <s v="W37_2022"/>
    <x v="0"/>
  </r>
  <r>
    <x v="0"/>
    <x v="295"/>
    <n v="22124583"/>
    <x v="0"/>
    <s v="CH (Cheque)"/>
    <s v="II. Receipts form Clients - non matured"/>
    <s v="Cheque PF"/>
    <s v="Sales of batteries - local"/>
    <s v="P/BIAT+BEN AROUS-00015"/>
    <s v="TND"/>
    <n v="542.44000000000005"/>
    <n v="1"/>
    <n v="542.44000000000005"/>
    <x v="0"/>
    <d v="2022-06-07T00:00:00"/>
    <n v="100"/>
    <d v="2022-09-15T00:00:00"/>
    <n v="-30"/>
    <s v="W37_2022"/>
    <x v="0"/>
  </r>
  <r>
    <x v="0"/>
    <x v="173"/>
    <n v="22124424"/>
    <x v="0"/>
    <s v="CH (Cheque)"/>
    <s v="II. Receipts form Clients - non matured"/>
    <s v="Cheque PF"/>
    <s v="Sales of batteries - local"/>
    <s v="P/AMEN B+MORNAGUIA-679"/>
    <s v="TND"/>
    <n v="5000"/>
    <n v="1"/>
    <n v="5000"/>
    <x v="0"/>
    <d v="2022-05-18T00:00:00"/>
    <n v="120"/>
    <d v="2022-09-15T00:00:00"/>
    <n v="-30"/>
    <s v="W37_2022"/>
    <x v="0"/>
  </r>
  <r>
    <x v="0"/>
    <x v="99"/>
    <n v="22124474"/>
    <x v="0"/>
    <s v="CH (Cheque)"/>
    <s v="II. Receipts form Clients - non matured"/>
    <s v="Cheque PF"/>
    <s v="Sales of batteries - local"/>
    <s v="P/STB+FOUCHANA-0000457"/>
    <s v="TND"/>
    <n v="1075"/>
    <n v="1"/>
    <n v="1075"/>
    <x v="0"/>
    <d v="2022-05-24T00:00:00"/>
    <n v="114"/>
    <d v="2022-09-15T00:00:00"/>
    <n v="-30"/>
    <s v="W37_2022"/>
    <x v="0"/>
  </r>
  <r>
    <x v="0"/>
    <x v="101"/>
    <n v="22124636"/>
    <x v="0"/>
    <s v="CH (Cheque)"/>
    <s v="II. Receipts form Clients - non matured"/>
    <s v="Cheque PF"/>
    <s v="Sales of batteries - local"/>
    <s v="P/STB+FOUCHANA-0004402"/>
    <s v="TND"/>
    <n v="1000"/>
    <n v="1"/>
    <n v="1000"/>
    <x v="0"/>
    <d v="2022-06-16T00:00:00"/>
    <n v="91"/>
    <d v="2022-09-15T00:00:00"/>
    <n v="-30"/>
    <s v="W37_2022"/>
    <x v="0"/>
  </r>
  <r>
    <x v="0"/>
    <x v="296"/>
    <n v="22124826"/>
    <x v="0"/>
    <s v="CH (Cheque)"/>
    <s v="II. Receipts form Clients - non matured"/>
    <s v="Cheque PF"/>
    <s v="Sales of batteries - local"/>
    <s v="P/STB+EL HRAIRIA-00008"/>
    <s v="TND"/>
    <n v="1738.0889999999999"/>
    <n v="1"/>
    <n v="1738.0889999999999"/>
    <x v="0"/>
    <d v="2022-07-12T00:00:00"/>
    <n v="65"/>
    <d v="2022-09-15T00:00:00"/>
    <n v="-30"/>
    <s v="W37_2022"/>
    <x v="0"/>
  </r>
  <r>
    <x v="0"/>
    <x v="257"/>
    <n v="22124793"/>
    <x v="0"/>
    <s v="CH (Cheque)"/>
    <s v="II. Receipts form Clients - non matured"/>
    <s v="Cheque PF"/>
    <s v="Sales of batteries - local"/>
    <s v="P/BT+MENIHLA-9097484"/>
    <s v="TND"/>
    <n v="1915.992"/>
    <n v="1"/>
    <n v="1915.992"/>
    <x v="0"/>
    <d v="2022-06-30T00:00:00"/>
    <n v="77"/>
    <d v="2022-09-15T00:00:00"/>
    <n v="-30"/>
    <s v="W37_2022"/>
    <x v="0"/>
  </r>
  <r>
    <x v="0"/>
    <x v="297"/>
    <n v="22124779"/>
    <x v="0"/>
    <s v="CH (Cheque)"/>
    <s v="II. Receipts form Clients - non matured"/>
    <s v="Cheque PF"/>
    <s v="Sales of batteries - local"/>
    <s v="P/STB+BEN AROUS-000084"/>
    <s v="TND"/>
    <n v="13334.841"/>
    <n v="1"/>
    <n v="13334.841"/>
    <x v="0"/>
    <d v="2022-06-29T00:00:00"/>
    <n v="78"/>
    <d v="2022-09-15T00:00:00"/>
    <n v="-30"/>
    <s v="W37_2022"/>
    <x v="0"/>
  </r>
  <r>
    <x v="0"/>
    <x v="298"/>
    <n v="22124780"/>
    <x v="0"/>
    <s v="CH (Cheque)"/>
    <s v="II. Receipts form Clients - non matured"/>
    <s v="Cheque PF"/>
    <s v="Sales of batteries - local"/>
    <s v="P/STB+BEN AROUS-000047"/>
    <s v="TND"/>
    <n v="22619.716"/>
    <n v="1"/>
    <n v="22619.716"/>
    <x v="0"/>
    <d v="2022-06-29T00:00:00"/>
    <n v="78"/>
    <d v="2022-09-15T00:00:00"/>
    <n v="-30"/>
    <s v="W37_2022"/>
    <x v="0"/>
  </r>
  <r>
    <x v="0"/>
    <x v="186"/>
    <n v="22124889"/>
    <x v="0"/>
    <s v="CH (Cheque)"/>
    <s v="II. Receipts form Clients - non matured"/>
    <s v="Cheque PF"/>
    <s v="Sales of batteries - local"/>
    <s v="P/STB+MEGRINE-0000158"/>
    <s v="TND"/>
    <n v="2627.6550000000002"/>
    <n v="1"/>
    <n v="2627.6550000000002"/>
    <x v="0"/>
    <d v="2022-07-27T00:00:00"/>
    <n v="50"/>
    <d v="2022-09-15T00:00:00"/>
    <n v="-30"/>
    <s v="W37_2022"/>
    <x v="0"/>
  </r>
  <r>
    <x v="0"/>
    <x v="4"/>
    <n v="22301483"/>
    <x v="0"/>
    <s v="CH (Cheque)"/>
    <s v="II. Receipts form Clients - non matured"/>
    <s v="Cheque PF"/>
    <s v="Sales of batteries - local"/>
    <s v="D/BNA+CHEBBA-5136641"/>
    <s v="TND"/>
    <n v="1078.251"/>
    <n v="1"/>
    <n v="1078.251"/>
    <x v="0"/>
    <d v="2022-05-23T00:00:00"/>
    <n v="115"/>
    <d v="2022-09-15T00:00:00"/>
    <n v="-30"/>
    <s v="W37_2022"/>
    <x v="0"/>
  </r>
  <r>
    <x v="0"/>
    <x v="299"/>
    <n v="22301567"/>
    <x v="0"/>
    <s v="CH (Cheque)"/>
    <s v="II. Receipts form Clients - non matured"/>
    <s v="Cheque PF"/>
    <s v="Sales of batteries - local"/>
    <s v="P/ATB+SFAX-5099287"/>
    <s v="TND"/>
    <n v="3730.9630000000002"/>
    <n v="1"/>
    <n v="3730.9630000000002"/>
    <x v="0"/>
    <d v="2022-06-20T00:00:00"/>
    <n v="87"/>
    <d v="2022-09-15T00:00:00"/>
    <n v="-30"/>
    <s v="W37_2022"/>
    <x v="0"/>
  </r>
  <r>
    <x v="0"/>
    <x v="115"/>
    <n v="22301634"/>
    <x v="0"/>
    <s v="CH (Cheque)"/>
    <s v="II. Receipts form Clients - non matured"/>
    <s v="Cheque PF"/>
    <s v="Sales of batteries - local"/>
    <s v="P/UIB+SFAX-2493042"/>
    <s v="TND"/>
    <n v="1670"/>
    <n v="1"/>
    <n v="1670"/>
    <x v="0"/>
    <d v="2022-06-30T00:00:00"/>
    <n v="77"/>
    <d v="2022-09-15T00:00:00"/>
    <n v="-30"/>
    <s v="W37_2022"/>
    <x v="0"/>
  </r>
  <r>
    <x v="0"/>
    <x v="118"/>
    <n v="22301586"/>
    <x v="0"/>
    <s v="CH (Cheque)"/>
    <s v="II. Receipts form Clients - non matured"/>
    <s v="Cheque PF"/>
    <s v="Sales of batteries - local"/>
    <s v="P/BZ+SFAX-4002980"/>
    <s v="TND"/>
    <n v="5290"/>
    <n v="1"/>
    <n v="5290"/>
    <x v="0"/>
    <d v="2022-06-27T00:00:00"/>
    <n v="80"/>
    <d v="2022-09-15T00:00:00"/>
    <n v="-30"/>
    <s v="W37_2022"/>
    <x v="0"/>
  </r>
  <r>
    <x v="0"/>
    <x v="78"/>
    <n v="22301592"/>
    <x v="0"/>
    <s v="CH (Cheque)"/>
    <s v="II. Receipts form Clients - non matured"/>
    <s v="Cheque PF"/>
    <s v="Sales of batteries - local"/>
    <s v="P/BIAT+SFAX-0007559"/>
    <s v="TND"/>
    <n v="2510"/>
    <n v="1"/>
    <n v="2510"/>
    <x v="0"/>
    <d v="2022-06-27T00:00:00"/>
    <n v="80"/>
    <d v="2022-09-15T00:00:00"/>
    <n v="-30"/>
    <s v="W37_2022"/>
    <x v="0"/>
  </r>
  <r>
    <x v="0"/>
    <x v="79"/>
    <n v="22301710"/>
    <x v="0"/>
    <s v="CH (Cheque)"/>
    <s v="II. Receipts form Clients - non matured"/>
    <s v="Cheque PF"/>
    <s v="Sales of batteries - local"/>
    <s v="P/BH+SFAX-0422248"/>
    <s v="TND"/>
    <n v="1440"/>
    <n v="1"/>
    <n v="1440"/>
    <x v="0"/>
    <d v="2022-07-27T00:00:00"/>
    <n v="51"/>
    <d v="2022-09-16T00:00:00"/>
    <n v="-31"/>
    <s v="W37_2022"/>
    <x v="0"/>
  </r>
  <r>
    <x v="0"/>
    <x v="28"/>
    <n v="22601371"/>
    <x v="0"/>
    <s v="CH (Cheque)"/>
    <s v="II. Receipts form Clients - non matured"/>
    <s v="Cheque PF"/>
    <s v="Sales of batteries - local"/>
    <s v="P/BNA+GABES-5795273"/>
    <s v="TND"/>
    <n v="2000"/>
    <n v="1"/>
    <n v="2000"/>
    <x v="0"/>
    <d v="2022-06-20T00:00:00"/>
    <n v="88"/>
    <d v="2022-09-16T00:00:00"/>
    <n v="-31"/>
    <s v="W37_2022"/>
    <x v="0"/>
  </r>
  <r>
    <x v="0"/>
    <x v="9"/>
    <n v="22601356"/>
    <x v="0"/>
    <s v="CH (Cheque)"/>
    <s v="II. Receipts form Clients - non matured"/>
    <s v="Cheque PF"/>
    <s v="Sales of batteries - local"/>
    <s v="P/BTL+GABES-3010829"/>
    <s v="TND"/>
    <n v="582.37199999999996"/>
    <n v="1"/>
    <n v="582.37199999999996"/>
    <x v="0"/>
    <d v="2022-06-15T00:00:00"/>
    <n v="93"/>
    <d v="2022-09-16T00:00:00"/>
    <n v="-31"/>
    <s v="W37_2022"/>
    <x v="0"/>
  </r>
  <r>
    <x v="0"/>
    <x v="120"/>
    <n v="22401400"/>
    <x v="0"/>
    <s v="CH (Cheque)"/>
    <s v="II. Receipts form Clients - non matured"/>
    <s v="Cheque PF"/>
    <s v="Sales of batteries - local"/>
    <s v="D/BNA+TEBOULBA-5150302"/>
    <s v="TND"/>
    <n v="1600"/>
    <n v="1"/>
    <n v="1600"/>
    <x v="0"/>
    <d v="2022-05-28T00:00:00"/>
    <n v="111"/>
    <d v="2022-09-16T00:00:00"/>
    <n v="-31"/>
    <s v="W37_2022"/>
    <x v="0"/>
  </r>
  <r>
    <x v="0"/>
    <x v="300"/>
    <n v="22124309"/>
    <x v="0"/>
    <s v="CH (Cheque)"/>
    <s v="II. Receipts form Clients - non matured"/>
    <s v="Cheque PF"/>
    <s v="Sales of batteries - local"/>
    <s v="P/QNB+BEN AROUS-000886"/>
    <s v="TND"/>
    <n v="4348.3990000000003"/>
    <n v="1"/>
    <n v="4348.3990000000003"/>
    <x v="0"/>
    <d v="2022-04-23T00:00:00"/>
    <n v="146"/>
    <d v="2022-09-16T00:00:00"/>
    <n v="-31"/>
    <s v="W37_2022"/>
    <x v="0"/>
  </r>
  <r>
    <x v="0"/>
    <x v="7"/>
    <n v="22124593"/>
    <x v="0"/>
    <s v="CH (Cheque)"/>
    <s v="II. Receipts form Clients - non matured"/>
    <s v="Cheque PF"/>
    <s v="Sales of batteries - local"/>
    <s v="P/BIAT+RAOUED-0003528"/>
    <s v="TND"/>
    <n v="1112.557"/>
    <n v="1"/>
    <n v="1112.557"/>
    <x v="0"/>
    <d v="2022-06-10T00:00:00"/>
    <n v="98"/>
    <d v="2022-09-16T00:00:00"/>
    <n v="-31"/>
    <s v="W37_2022"/>
    <x v="0"/>
  </r>
  <r>
    <x v="0"/>
    <x v="68"/>
    <n v="22124487"/>
    <x v="0"/>
    <s v="CH (Cheque)"/>
    <s v="II. Receipts form Clients - non matured"/>
    <s v="Cheque PF"/>
    <s v="Sales of batteries - local"/>
    <s v="P/BIAT+MEL BOUZELFA-00"/>
    <s v="TND"/>
    <n v="600"/>
    <n v="1"/>
    <n v="600"/>
    <x v="0"/>
    <d v="2022-05-24T00:00:00"/>
    <n v="115"/>
    <d v="2022-09-16T00:00:00"/>
    <n v="-31"/>
    <s v="W37_2022"/>
    <x v="0"/>
  </r>
  <r>
    <x v="0"/>
    <x v="109"/>
    <n v="22124958"/>
    <x v="0"/>
    <s v="CH (Cheque)"/>
    <s v="II. Receipts form Clients - non matured"/>
    <s v="Cheque PF"/>
    <s v="Sales of batteries - local"/>
    <s v="P/BIAT+TN-0002334"/>
    <s v="TND"/>
    <n v="2147.4589999999998"/>
    <n v="1"/>
    <n v="2147.4589999999998"/>
    <x v="0"/>
    <d v="2022-07-29T00:00:00"/>
    <n v="49"/>
    <d v="2022-09-16T00:00:00"/>
    <n v="-31"/>
    <s v="W37_2022"/>
    <x v="0"/>
  </r>
  <r>
    <x v="0"/>
    <x v="78"/>
    <n v="22301593"/>
    <x v="0"/>
    <s v="CH (Cheque)"/>
    <s v="II. Receipts form Clients - non matured"/>
    <s v="Cheque PF"/>
    <s v="Sales of batteries - local"/>
    <s v="P/BIAT+SFAX-0007560"/>
    <s v="TND"/>
    <n v="2520"/>
    <n v="1"/>
    <n v="2520"/>
    <x v="0"/>
    <d v="2022-06-27T00:00:00"/>
    <n v="81"/>
    <d v="2022-09-16T00:00:00"/>
    <n v="-31"/>
    <s v="W37_2022"/>
    <x v="0"/>
  </r>
  <r>
    <x v="0"/>
    <x v="11"/>
    <n v="22401542"/>
    <x v="0"/>
    <s v="CH (Cheque)"/>
    <s v="II. Receipts form Clients - non matured"/>
    <s v="Cheque PF"/>
    <s v="Sales of batteries - local"/>
    <s v="D/BAIT+JEMMAL-0000433"/>
    <s v="TND"/>
    <n v="2500"/>
    <n v="1"/>
    <n v="2500"/>
    <x v="0"/>
    <d v="2022-06-30T00:00:00"/>
    <n v="79"/>
    <d v="2022-09-17T00:00:00"/>
    <n v="-32"/>
    <s v="W38_2022"/>
    <x v="0"/>
  </r>
  <r>
    <x v="0"/>
    <x v="124"/>
    <n v="22124747"/>
    <x v="0"/>
    <s v="CH (Cheque)"/>
    <s v="II. Receipts form Clients - non matured"/>
    <s v="Cheque PF"/>
    <s v="Sales of batteries - local"/>
    <s v="P/BNA+BOUARGOUB-558517"/>
    <s v="TND"/>
    <n v="4179.0479999999998"/>
    <n v="1"/>
    <n v="4179.0479999999998"/>
    <x v="0"/>
    <d v="2022-06-27T00:00:00"/>
    <n v="82"/>
    <d v="2022-09-17T00:00:00"/>
    <n v="-32"/>
    <s v="W38_2022"/>
    <x v="0"/>
  </r>
  <r>
    <x v="0"/>
    <x v="301"/>
    <n v="22301563"/>
    <x v="0"/>
    <s v="CH (Cheque)"/>
    <s v="II. Receipts form Clients - non matured"/>
    <s v="Cheque PF"/>
    <s v="Sales of batteries - local"/>
    <s v="P/AB+SFAX-1274322"/>
    <s v="TND"/>
    <n v="1994.9349999999999"/>
    <n v="1"/>
    <n v="1994.9349999999999"/>
    <x v="0"/>
    <d v="2022-06-17T00:00:00"/>
    <n v="92"/>
    <d v="2022-09-17T00:00:00"/>
    <n v="-32"/>
    <s v="W38_2022"/>
    <x v="0"/>
  </r>
  <r>
    <x v="0"/>
    <x v="121"/>
    <n v="22301757"/>
    <x v="0"/>
    <s v="CH (Cheque)"/>
    <s v="II. Receipts form Clients - non matured"/>
    <s v="Cheque PF"/>
    <s v="Sales of batteries - local"/>
    <s v="D/BNA+CHRARDA-5850676"/>
    <s v="TND"/>
    <n v="2212.75"/>
    <n v="1"/>
    <n v="2212.75"/>
    <x v="0"/>
    <d v="2022-08-05T00:00:00"/>
    <n v="44"/>
    <d v="2022-09-18T00:00:00"/>
    <n v="-33"/>
    <s v="W38_2022"/>
    <x v="0"/>
  </r>
  <r>
    <x v="0"/>
    <x v="81"/>
    <n v="22801258"/>
    <x v="0"/>
    <s v="CH (Cheque)"/>
    <s v="II. Receipts form Clients - non matured"/>
    <s v="Cheque PF"/>
    <s v="Sales of batteries - local"/>
    <s v="P/STB+JEND-0451636"/>
    <s v="TND"/>
    <n v="1593.097"/>
    <n v="1"/>
    <n v="1593.097"/>
    <x v="0"/>
    <d v="2022-05-27T00:00:00"/>
    <n v="114"/>
    <d v="2022-09-18T00:00:00"/>
    <n v="-33"/>
    <s v="W38_2022"/>
    <x v="0"/>
  </r>
  <r>
    <x v="0"/>
    <x v="74"/>
    <n v="22401433"/>
    <x v="0"/>
    <s v="CH (Cheque)"/>
    <s v="II. Receipts form Clients - non matured"/>
    <s v="Cheque PF"/>
    <s v="Sales of batteries - local"/>
    <s v="D/BIAT+MONASTIR-000771"/>
    <s v="TND"/>
    <n v="1500"/>
    <n v="1"/>
    <n v="1500"/>
    <x v="0"/>
    <d v="2022-05-31T00:00:00"/>
    <n v="110"/>
    <d v="2022-09-18T00:00:00"/>
    <n v="-33"/>
    <s v="W38_2022"/>
    <x v="0"/>
  </r>
  <r>
    <x v="0"/>
    <x v="252"/>
    <n v="22401416"/>
    <x v="0"/>
    <s v="CH (Cheque)"/>
    <s v="II. Receipts form Clients - non matured"/>
    <s v="Cheque PF"/>
    <s v="Sales of batteries - local"/>
    <s v="D/UIB+KALAA KEBIRA-232"/>
    <s v="TND"/>
    <n v="3000"/>
    <n v="1"/>
    <n v="3000"/>
    <x v="0"/>
    <d v="2022-05-30T00:00:00"/>
    <n v="111"/>
    <d v="2022-09-18T00:00:00"/>
    <n v="-33"/>
    <s v="W38_2022"/>
    <x v="0"/>
  </r>
  <r>
    <x v="0"/>
    <x v="75"/>
    <n v="22124506"/>
    <x v="0"/>
    <s v="CH (Cheque)"/>
    <s v="II. Receipts form Clients - non matured"/>
    <s v="Cheque PF"/>
    <s v="Sales of batteries - local"/>
    <s v="P/STB+KELIBIA-0008265"/>
    <s v="TND"/>
    <n v="855"/>
    <n v="1"/>
    <n v="855"/>
    <x v="0"/>
    <d v="2022-05-26T00:00:00"/>
    <n v="115"/>
    <d v="2022-09-18T00:00:00"/>
    <n v="-33"/>
    <s v="W38_2022"/>
    <x v="0"/>
  </r>
  <r>
    <x v="0"/>
    <x v="100"/>
    <n v="22124800"/>
    <x v="0"/>
    <s v="CH (Cheque)"/>
    <s v="II. Receipts form Clients - non matured"/>
    <s v="Cheque PF"/>
    <s v="Sales of batteries - local"/>
    <s v="P/BNA+TN-5439888"/>
    <s v="TND"/>
    <n v="971.154"/>
    <n v="1"/>
    <n v="971.154"/>
    <x v="0"/>
    <d v="2022-06-30T00:00:00"/>
    <n v="80"/>
    <d v="2022-09-18T00:00:00"/>
    <n v="-33"/>
    <s v="W38_2022"/>
    <x v="0"/>
  </r>
  <r>
    <x v="0"/>
    <x v="121"/>
    <n v="22301618"/>
    <x v="0"/>
    <s v="CH (Cheque)"/>
    <s v="II. Receipts form Clients - non matured"/>
    <s v="Cheque PF"/>
    <s v="Sales of batteries - local"/>
    <s v="D/BNA+CHRARDA-5316607"/>
    <s v="TND"/>
    <n v="1155"/>
    <n v="1"/>
    <n v="1155"/>
    <x v="0"/>
    <d v="2022-06-30T00:00:00"/>
    <n v="80"/>
    <d v="2022-09-18T00:00:00"/>
    <n v="-33"/>
    <s v="W38_2022"/>
    <x v="0"/>
  </r>
  <r>
    <x v="0"/>
    <x v="252"/>
    <n v="22401417"/>
    <x v="0"/>
    <s v="CH (Cheque)"/>
    <s v="II. Receipts form Clients - non matured"/>
    <s v="Cheque PF"/>
    <s v="Sales of batteries - local"/>
    <s v="D/UIB+KALAA KEBIRA-232"/>
    <s v="TND"/>
    <n v="3300"/>
    <n v="1"/>
    <n v="3300"/>
    <x v="0"/>
    <d v="2022-05-30T00:00:00"/>
    <n v="112"/>
    <d v="2022-09-19T00:00:00"/>
    <n v="-34"/>
    <s v="W38_2022"/>
    <x v="0"/>
  </r>
  <r>
    <x v="0"/>
    <x v="302"/>
    <n v="22301589"/>
    <x v="0"/>
    <s v="CH (Cheque)"/>
    <s v="II. Receipts form Clients - non matured"/>
    <s v="Cheque PF"/>
    <s v="Sales of batteries - local"/>
    <s v="P/ATTB+SFAX-0000033"/>
    <s v="TND"/>
    <n v="3000"/>
    <n v="1"/>
    <n v="3000"/>
    <x v="0"/>
    <d v="2022-06-27T00:00:00"/>
    <n v="84"/>
    <d v="2022-09-19T00:00:00"/>
    <n v="-34"/>
    <s v="W38_2022"/>
    <x v="0"/>
  </r>
  <r>
    <x v="0"/>
    <x v="303"/>
    <n v="22301754"/>
    <x v="0"/>
    <s v="CH (Cheque)"/>
    <s v="II. Receipts form Clients - non matured"/>
    <s v="Cheque PF"/>
    <s v="Sales of batteries - local"/>
    <s v="P/UBCI+SFAX-9131196"/>
    <s v="TND"/>
    <n v="516.61699999999996"/>
    <n v="1"/>
    <n v="516.61699999999996"/>
    <x v="0"/>
    <d v="2022-08-05T00:00:00"/>
    <n v="46"/>
    <d v="2022-09-20T00:00:00"/>
    <n v="-35"/>
    <s v="W38_2022"/>
    <x v="0"/>
  </r>
  <r>
    <x v="0"/>
    <x v="85"/>
    <n v="22301723"/>
    <x v="0"/>
    <s v="CH (Cheque)"/>
    <s v="II. Receipts form Clients - non matured"/>
    <s v="Cheque PF"/>
    <s v="Sales of batteries - local"/>
    <s v="P/BIAT+SFAX-0000263"/>
    <s v="TND"/>
    <n v="300"/>
    <n v="1"/>
    <n v="300"/>
    <x v="0"/>
    <d v="2022-07-27T00:00:00"/>
    <n v="55"/>
    <d v="2022-09-20T00:00:00"/>
    <n v="-35"/>
    <s v="W38_2022"/>
    <x v="0"/>
  </r>
  <r>
    <x v="0"/>
    <x v="13"/>
    <n v="22401627"/>
    <x v="0"/>
    <s v="CH (Cheque)"/>
    <s v="II. Receipts form Clients - non matured"/>
    <s v="Cheque PF"/>
    <s v="Sales of batteries - local"/>
    <s v="D/AMEN+MOKNINE-1855154"/>
    <s v="TND"/>
    <n v="5000"/>
    <n v="1"/>
    <n v="5000"/>
    <x v="0"/>
    <d v="2022-07-23T00:00:00"/>
    <n v="59"/>
    <d v="2022-09-20T00:00:00"/>
    <n v="-35"/>
    <s v="W38_2022"/>
    <x v="0"/>
  </r>
  <r>
    <x v="0"/>
    <x v="9"/>
    <n v="22601355"/>
    <x v="0"/>
    <s v="CH (Cheque)"/>
    <s v="II. Receipts form Clients - non matured"/>
    <s v="Cheque PF"/>
    <s v="Sales of batteries - local"/>
    <s v="P/BTL+GABES-3010830"/>
    <s v="TND"/>
    <n v="582.37199999999996"/>
    <n v="1"/>
    <n v="582.37199999999996"/>
    <x v="0"/>
    <d v="2022-06-15T00:00:00"/>
    <n v="97"/>
    <d v="2022-09-20T00:00:00"/>
    <n v="-35"/>
    <s v="W38_2022"/>
    <x v="0"/>
  </r>
  <r>
    <x v="0"/>
    <x v="202"/>
    <n v="22601398"/>
    <x v="0"/>
    <s v="CH (Cheque)"/>
    <s v="II. Receipts form Clients - non matured"/>
    <s v="Cheque PF"/>
    <s v="Sales of batteries - local"/>
    <s v="P/UIB+GABES-2181545"/>
    <s v="TND"/>
    <n v="3400"/>
    <n v="1"/>
    <n v="3400"/>
    <x v="0"/>
    <d v="2022-06-29T00:00:00"/>
    <n v="83"/>
    <d v="2022-09-20T00:00:00"/>
    <n v="-35"/>
    <s v="W38_2022"/>
    <x v="0"/>
  </r>
  <r>
    <x v="0"/>
    <x v="123"/>
    <n v="22601418"/>
    <x v="0"/>
    <s v="CH (Cheque)"/>
    <s v="II. Receipts form Clients - non matured"/>
    <s v="Cheque PF"/>
    <s v="Sales of batteries - local"/>
    <s v="P/BH+TATOUINE-2224590"/>
    <s v="TND"/>
    <n v="3246.0509999999999"/>
    <n v="1"/>
    <n v="3246.0509999999999"/>
    <x v="0"/>
    <d v="2022-07-07T00:00:00"/>
    <n v="75"/>
    <d v="2022-09-20T00:00:00"/>
    <n v="-35"/>
    <s v="W38_2022"/>
    <x v="0"/>
  </r>
  <r>
    <x v="0"/>
    <x v="89"/>
    <n v="22701217"/>
    <x v="0"/>
    <s v="CH (Cheque)"/>
    <s v="II. Receipts form Clients - non matured"/>
    <s v="Cheque PF"/>
    <s v="Sales of batteries - local"/>
    <s v="P/BNA+MEKNASY-6099073"/>
    <s v="TND"/>
    <n v="2957.4279999999999"/>
    <n v="1"/>
    <n v="2957.4279999999999"/>
    <x v="0"/>
    <d v="2022-06-30T00:00:00"/>
    <n v="82"/>
    <d v="2022-09-20T00:00:00"/>
    <n v="-35"/>
    <s v="W38_2022"/>
    <x v="0"/>
  </r>
  <r>
    <x v="0"/>
    <x v="269"/>
    <n v="22801336"/>
    <x v="0"/>
    <s v="CH (Cheque)"/>
    <s v="II. Receipts form Clients - non matured"/>
    <s v="Cheque PF"/>
    <s v="Sales of batteries - local"/>
    <s v="P/STB+TESTOUR-0000352"/>
    <s v="TND"/>
    <n v="4250.165"/>
    <n v="1"/>
    <n v="4250.165"/>
    <x v="0"/>
    <d v="2022-06-28T00:00:00"/>
    <n v="84"/>
    <d v="2022-09-20T00:00:00"/>
    <n v="-35"/>
    <s v="W38_2022"/>
    <x v="0"/>
  </r>
  <r>
    <x v="0"/>
    <x v="142"/>
    <n v="22801349"/>
    <x v="0"/>
    <s v="CH (Cheque)"/>
    <s v="II. Receipts form Clients - non matured"/>
    <s v="Cheque PF"/>
    <s v="Sales of batteries - local"/>
    <s v="P/BNA+ERROUH-4947476"/>
    <s v="TND"/>
    <n v="4358.5069999999996"/>
    <n v="1"/>
    <n v="4358.5069999999996"/>
    <x v="0"/>
    <d v="2022-07-15T00:00:00"/>
    <n v="67"/>
    <d v="2022-09-20T00:00:00"/>
    <n v="-35"/>
    <s v="W38_2022"/>
    <x v="0"/>
  </r>
  <r>
    <x v="0"/>
    <x v="166"/>
    <n v="22801296"/>
    <x v="0"/>
    <s v="CH (Cheque)"/>
    <s v="II. Receipts form Clients - non matured"/>
    <s v="Cheque PF"/>
    <s v="Sales of batteries - local"/>
    <s v="P/STB+SEDJEN-0000151"/>
    <s v="TND"/>
    <n v="2334.5880000000002"/>
    <n v="1"/>
    <n v="2334.5880000000002"/>
    <x v="0"/>
    <d v="2022-06-13T00:00:00"/>
    <n v="99"/>
    <d v="2022-09-20T00:00:00"/>
    <n v="-35"/>
    <s v="W38_2022"/>
    <x v="0"/>
  </r>
  <r>
    <x v="0"/>
    <x v="20"/>
    <n v="22801177"/>
    <x v="0"/>
    <s v="CH (Cheque)"/>
    <s v="II. Receipts form Clients - non matured"/>
    <s v="Cheque PF"/>
    <s v="Sales of batteries - local"/>
    <s v="P/BTE+BEJA-6003916"/>
    <s v="TND"/>
    <n v="16359.043"/>
    <n v="1"/>
    <n v="16359.043"/>
    <x v="0"/>
    <d v="2022-04-05T00:00:00"/>
    <n v="168"/>
    <d v="2022-09-20T00:00:00"/>
    <n v="-35"/>
    <s v="W38_2022"/>
    <x v="0"/>
  </r>
  <r>
    <x v="0"/>
    <x v="212"/>
    <n v="22401431"/>
    <x v="0"/>
    <s v="CH (Cheque)"/>
    <s v="II. Receipts form Clients - non matured"/>
    <s v="Cheque PF"/>
    <s v="Sales of batteries - local"/>
    <s v="D/UBCI+TEBOULBA-902204"/>
    <s v="TND"/>
    <n v="1380.0540000000001"/>
    <n v="1"/>
    <n v="1380.0540000000001"/>
    <x v="0"/>
    <d v="2022-05-31T00:00:00"/>
    <n v="112"/>
    <d v="2022-09-20T00:00:00"/>
    <n v="-35"/>
    <s v="W38_2022"/>
    <x v="0"/>
  </r>
  <r>
    <x v="0"/>
    <x v="93"/>
    <n v="22401470"/>
    <x v="0"/>
    <s v="CH (Cheque)"/>
    <s v="II. Receipts form Clients - non matured"/>
    <s v="Cheque PF"/>
    <s v="Sales of batteries - local"/>
    <s v="D/BT+KAIROUAN-8742073"/>
    <s v="TND"/>
    <n v="2300"/>
    <n v="1"/>
    <n v="2300"/>
    <x v="0"/>
    <d v="2022-06-16T00:00:00"/>
    <n v="96"/>
    <d v="2022-09-20T00:00:00"/>
    <n v="-35"/>
    <s v="W38_2022"/>
    <x v="0"/>
  </r>
  <r>
    <x v="0"/>
    <x v="0"/>
    <n v="22401575"/>
    <x v="0"/>
    <s v="CH (Cheque)"/>
    <s v="II. Receipts form Clients - non matured"/>
    <s v="Cheque PF"/>
    <s v="Sales of batteries - local"/>
    <s v="D/BIAT+KSAR HELLAL-000"/>
    <s v="TND"/>
    <n v="500"/>
    <n v="1"/>
    <n v="500"/>
    <x v="0"/>
    <d v="2022-07-06T00:00:00"/>
    <n v="76"/>
    <d v="2022-09-20T00:00:00"/>
    <n v="-35"/>
    <s v="W38_2022"/>
    <x v="0"/>
  </r>
  <r>
    <x v="0"/>
    <x v="75"/>
    <n v="22124351"/>
    <x v="0"/>
    <s v="CH (Cheque)"/>
    <s v="II. Receipts form Clients - non matured"/>
    <s v="Cheque PF"/>
    <s v="Sales of batteries - local"/>
    <s v="P/STB+KELIBIA-0008022"/>
    <s v="TND"/>
    <n v="991.69600000000003"/>
    <n v="1"/>
    <n v="991.69600000000003"/>
    <x v="0"/>
    <d v="2022-04-28T00:00:00"/>
    <n v="145"/>
    <d v="2022-09-20T00:00:00"/>
    <n v="-35"/>
    <s v="W38_2022"/>
    <x v="0"/>
  </r>
  <r>
    <x v="0"/>
    <x v="104"/>
    <n v="22124496"/>
    <x v="0"/>
    <s v="CH (Cheque)"/>
    <s v="II. Receipts form Clients - non matured"/>
    <s v="Cheque PF"/>
    <s v="Sales of batteries - local"/>
    <s v="P/BIAT+ARIANA-0001896"/>
    <s v="TND"/>
    <n v="1657.97"/>
    <n v="1"/>
    <n v="1657.97"/>
    <x v="0"/>
    <d v="2022-05-25T00:00:00"/>
    <n v="118"/>
    <d v="2022-09-20T00:00:00"/>
    <n v="-35"/>
    <s v="W38_2022"/>
    <x v="0"/>
  </r>
  <r>
    <x v="0"/>
    <x v="99"/>
    <n v="22124475"/>
    <x v="0"/>
    <s v="CH (Cheque)"/>
    <s v="II. Receipts form Clients - non matured"/>
    <s v="Cheque PF"/>
    <s v="Sales of batteries - local"/>
    <s v="P/STB+FOUCHANA-0000455"/>
    <s v="TND"/>
    <n v="839.66800000000001"/>
    <n v="1"/>
    <n v="839.66800000000001"/>
    <x v="0"/>
    <d v="2022-05-24T00:00:00"/>
    <n v="119"/>
    <d v="2022-09-20T00:00:00"/>
    <n v="-35"/>
    <s v="W38_2022"/>
    <x v="0"/>
  </r>
  <r>
    <x v="0"/>
    <x v="75"/>
    <n v="22124510"/>
    <x v="0"/>
    <s v="CH (Cheque)"/>
    <s v="II. Receipts form Clients - non matured"/>
    <s v="Cheque PF"/>
    <s v="Sales of batteries - local"/>
    <s v="P/STB+KELIBIA-0008264"/>
    <s v="TND"/>
    <n v="860"/>
    <n v="1"/>
    <n v="860"/>
    <x v="0"/>
    <d v="2022-05-26T00:00:00"/>
    <n v="117"/>
    <d v="2022-09-20T00:00:00"/>
    <n v="-35"/>
    <s v="W38_2022"/>
    <x v="0"/>
  </r>
  <r>
    <x v="0"/>
    <x v="100"/>
    <n v="22124803"/>
    <x v="0"/>
    <s v="CH (Cheque)"/>
    <s v="II. Receipts form Clients - non matured"/>
    <s v="Cheque PF"/>
    <s v="Sales of batteries - local"/>
    <s v="P/BNA+TN-5439890"/>
    <s v="TND"/>
    <n v="971.154"/>
    <n v="1"/>
    <n v="971.154"/>
    <x v="0"/>
    <d v="2022-06-30T00:00:00"/>
    <n v="82"/>
    <d v="2022-09-20T00:00:00"/>
    <n v="-35"/>
    <s v="W38_2022"/>
    <x v="0"/>
  </r>
  <r>
    <x v="0"/>
    <x v="104"/>
    <n v="22124677"/>
    <x v="0"/>
    <s v="CH (Cheque)"/>
    <s v="II. Receipts form Clients - non matured"/>
    <s v="Cheque PF"/>
    <s v="Sales of batteries - local"/>
    <s v="P/BIAT+ARIANA-0001980"/>
    <s v="TND"/>
    <n v="2283.8449999999998"/>
    <n v="1"/>
    <n v="2283.8449999999998"/>
    <x v="0"/>
    <d v="2022-06-20T00:00:00"/>
    <n v="92"/>
    <d v="2022-09-20T00:00:00"/>
    <n v="-35"/>
    <s v="W38_2022"/>
    <x v="0"/>
  </r>
  <r>
    <x v="0"/>
    <x v="304"/>
    <n v="22124701"/>
    <x v="0"/>
    <s v="CH (Cheque)"/>
    <s v="II. Receipts form Clients - non matured"/>
    <s v="Cheque PF"/>
    <s v="Sales of batteries - local"/>
    <s v="P/BIAT+KELIBIA-0000257"/>
    <s v="TND"/>
    <n v="939.39300000000003"/>
    <n v="1"/>
    <n v="939.39300000000003"/>
    <x v="0"/>
    <d v="2022-06-22T00:00:00"/>
    <n v="90"/>
    <d v="2022-09-20T00:00:00"/>
    <n v="-35"/>
    <s v="W38_2022"/>
    <x v="0"/>
  </r>
  <r>
    <x v="0"/>
    <x v="103"/>
    <n v="22124706"/>
    <x v="0"/>
    <s v="CH (Cheque)"/>
    <s v="II. Receipts form Clients - non matured"/>
    <s v="Cheque PF"/>
    <s v="Sales of batteries - local"/>
    <s v="P/BIAT+MEDJEZ EL BAB-0"/>
    <s v="TND"/>
    <n v="8227.3819999999996"/>
    <n v="1"/>
    <n v="8227.3819999999996"/>
    <x v="0"/>
    <d v="2022-06-23T00:00:00"/>
    <n v="89"/>
    <d v="2022-09-20T00:00:00"/>
    <n v="-35"/>
    <s v="W38_2022"/>
    <x v="0"/>
  </r>
  <r>
    <x v="0"/>
    <x v="175"/>
    <n v="22124722"/>
    <x v="0"/>
    <s v="CH (Cheque)"/>
    <s v="II. Receipts form Clients - non matured"/>
    <s v="Cheque PF"/>
    <s v="Sales of batteries - local"/>
    <s v="P/STB+FAHS-0003953"/>
    <s v="TND"/>
    <n v="3200"/>
    <n v="1"/>
    <n v="3200"/>
    <x v="0"/>
    <d v="2022-06-24T00:00:00"/>
    <n v="88"/>
    <d v="2022-09-20T00:00:00"/>
    <n v="-35"/>
    <s v="W38_2022"/>
    <x v="0"/>
  </r>
  <r>
    <x v="0"/>
    <x v="221"/>
    <n v="22124742"/>
    <x v="0"/>
    <s v="CH (Cheque)"/>
    <s v="II. Receipts form Clients - non matured"/>
    <s v="Cheque PF"/>
    <s v="Sales of batteries - local"/>
    <s v="P/UIB+IBN KHALDOUN-470"/>
    <s v="TND"/>
    <n v="2216.6660000000002"/>
    <n v="1"/>
    <n v="2216.6660000000002"/>
    <x v="0"/>
    <d v="2022-06-27T00:00:00"/>
    <n v="85"/>
    <d v="2022-09-20T00:00:00"/>
    <n v="-35"/>
    <s v="W38_2022"/>
    <x v="0"/>
  </r>
  <r>
    <x v="0"/>
    <x v="176"/>
    <n v="22124757"/>
    <x v="0"/>
    <s v="CH (Cheque)"/>
    <s v="II. Receipts form Clients - non matured"/>
    <s v="Cheque PF"/>
    <s v="Sales of batteries - local"/>
    <s v="P/ATB+HAMMAMET-6006958"/>
    <s v="TND"/>
    <n v="2300"/>
    <n v="1"/>
    <n v="2300"/>
    <x v="0"/>
    <d v="2022-06-27T00:00:00"/>
    <n v="85"/>
    <d v="2022-09-20T00:00:00"/>
    <n v="-35"/>
    <s v="W38_2022"/>
    <x v="0"/>
  </r>
  <r>
    <x v="0"/>
    <x v="109"/>
    <n v="22124768"/>
    <x v="0"/>
    <s v="CH (Cheque)"/>
    <s v="II. Receipts form Clients - non matured"/>
    <s v="Cheque PF"/>
    <s v="Sales of batteries - local"/>
    <s v="P/BIAT+MEL JEMIL-00022"/>
    <s v="TND"/>
    <n v="2308.7669999999998"/>
    <n v="1"/>
    <n v="2308.7669999999998"/>
    <x v="0"/>
    <d v="2022-06-28T00:00:00"/>
    <n v="84"/>
    <d v="2022-09-20T00:00:00"/>
    <n v="-35"/>
    <s v="W38_2022"/>
    <x v="0"/>
  </r>
  <r>
    <x v="0"/>
    <x v="106"/>
    <n v="22124861"/>
    <x v="0"/>
    <s v="CH (Cheque)"/>
    <s v="II. Receipts form Clients - non matured"/>
    <s v="Cheque PF"/>
    <s v="Sales of batteries - local"/>
    <s v="P/ATTJ BQ+SOLIMAN-0305"/>
    <s v="TND"/>
    <n v="3591.4340000000002"/>
    <n v="1"/>
    <n v="3591.4340000000002"/>
    <x v="0"/>
    <d v="2022-07-20T00:00:00"/>
    <n v="62"/>
    <d v="2022-09-20T00:00:00"/>
    <n v="-35"/>
    <s v="W38_2022"/>
    <x v="0"/>
  </r>
  <r>
    <x v="0"/>
    <x v="53"/>
    <n v="22124927"/>
    <x v="0"/>
    <s v="CH (Cheque)"/>
    <s v="II. Receipts form Clients - non matured"/>
    <s v="Cheque PF"/>
    <s v="Sales of batteries - local"/>
    <s v="P/AB+TN-9562549"/>
    <s v="TND"/>
    <n v="2300"/>
    <n v="1"/>
    <n v="2300"/>
    <x v="0"/>
    <d v="2022-07-28T00:00:00"/>
    <n v="54"/>
    <d v="2022-09-20T00:00:00"/>
    <n v="-35"/>
    <s v="W38_2022"/>
    <x v="0"/>
  </r>
  <r>
    <x v="0"/>
    <x v="110"/>
    <n v="22124974"/>
    <x v="0"/>
    <s v="CH (Cheque)"/>
    <s v="II. Receipts form Clients - non matured"/>
    <s v="Cheque PF"/>
    <s v="Sales of batteries - local"/>
    <s v="P/BT+TN-8766941"/>
    <s v="TND"/>
    <n v="728.52599999999995"/>
    <n v="1"/>
    <n v="728.52599999999995"/>
    <x v="0"/>
    <d v="2022-07-29T00:00:00"/>
    <n v="53"/>
    <d v="2022-09-20T00:00:00"/>
    <n v="-35"/>
    <s v="W38_2022"/>
    <x v="0"/>
  </r>
  <r>
    <x v="0"/>
    <x v="125"/>
    <n v="22301409"/>
    <x v="0"/>
    <s v="CH (Cheque)"/>
    <s v="II. Receipts form Clients - non matured"/>
    <s v="Cheque PF"/>
    <s v="Sales of batteries - local"/>
    <s v="P/BIAT+SFAX-0007363"/>
    <s v="TND"/>
    <n v="830"/>
    <n v="1"/>
    <n v="830"/>
    <x v="0"/>
    <d v="2022-04-27T00:00:00"/>
    <n v="146"/>
    <d v="2022-09-20T00:00:00"/>
    <n v="-35"/>
    <s v="W38_2022"/>
    <x v="0"/>
  </r>
  <r>
    <x v="0"/>
    <x v="233"/>
    <n v="22301650"/>
    <x v="0"/>
    <s v="CH (Cheque)"/>
    <s v="II. Receipts form Clients - non matured"/>
    <s v="Cheque PF"/>
    <s v="Sales of batteries - local"/>
    <s v="P/BNA+SFAX-6035328"/>
    <s v="TND"/>
    <n v="3000"/>
    <n v="1"/>
    <n v="3000"/>
    <x v="0"/>
    <d v="2022-07-07T00:00:00"/>
    <n v="75"/>
    <d v="2022-09-20T00:00:00"/>
    <n v="-35"/>
    <s v="W38_2022"/>
    <x v="0"/>
  </r>
  <r>
    <x v="0"/>
    <x v="115"/>
    <n v="22301635"/>
    <x v="0"/>
    <s v="CH (Cheque)"/>
    <s v="II. Receipts form Clients - non matured"/>
    <s v="Cheque PF"/>
    <s v="Sales of batteries - local"/>
    <s v="P/UIB+SFAX-2493043"/>
    <s v="TND"/>
    <n v="1670"/>
    <n v="1"/>
    <n v="1670"/>
    <x v="0"/>
    <d v="2022-06-30T00:00:00"/>
    <n v="82"/>
    <d v="2022-09-20T00:00:00"/>
    <n v="-35"/>
    <s v="W38_2022"/>
    <x v="0"/>
  </r>
  <r>
    <x v="0"/>
    <x v="305"/>
    <n v="22301565"/>
    <x v="0"/>
    <s v="CH (Cheque)"/>
    <s v="II. Receipts form Clients - non matured"/>
    <s v="Cheque PF"/>
    <s v="Sales of batteries - local"/>
    <s v="P/BIAT+SFAX-0002016"/>
    <s v="TND"/>
    <n v="3500"/>
    <n v="1"/>
    <n v="3500"/>
    <x v="0"/>
    <d v="2022-06-20T00:00:00"/>
    <n v="92"/>
    <d v="2022-09-20T00:00:00"/>
    <n v="-35"/>
    <s v="W38_2022"/>
    <x v="0"/>
  </r>
  <r>
    <x v="0"/>
    <x v="116"/>
    <n v="22301673"/>
    <x v="0"/>
    <s v="CH (Cheque)"/>
    <s v="II. Receipts form Clients - non matured"/>
    <s v="Cheque PF"/>
    <s v="Sales of batteries - local"/>
    <s v="D/UBCI+MAHRES-8282658"/>
    <s v="TND"/>
    <n v="4000"/>
    <n v="1"/>
    <n v="4000"/>
    <x v="0"/>
    <d v="2022-07-14T00:00:00"/>
    <n v="68"/>
    <d v="2022-09-20T00:00:00"/>
    <n v="-35"/>
    <s v="W38_2022"/>
    <x v="0"/>
  </r>
  <r>
    <x v="0"/>
    <x v="138"/>
    <n v="22301690"/>
    <x v="0"/>
    <s v="CH (Cheque)"/>
    <s v="II. Receipts form Clients - non matured"/>
    <s v="Cheque PF"/>
    <s v="Sales of batteries - local"/>
    <s v="D/BIAT+SOUSSE-0003909"/>
    <s v="TND"/>
    <n v="3000"/>
    <n v="1"/>
    <n v="3000"/>
    <x v="0"/>
    <d v="2022-07-19T00:00:00"/>
    <n v="63"/>
    <d v="2022-09-20T00:00:00"/>
    <n v="-35"/>
    <s v="W38_2022"/>
    <x v="0"/>
  </r>
  <r>
    <x v="0"/>
    <x v="1"/>
    <n v="22601509"/>
    <x v="0"/>
    <s v="CH (Cheque)"/>
    <s v="II. Receipts form Clients - non matured"/>
    <s v="Cheque PF"/>
    <s v="Sales of batteries - local"/>
    <s v="P/BZ+TATOUINE-4001272"/>
    <s v="TND"/>
    <n v="1236.636"/>
    <n v="1"/>
    <n v="1236.636"/>
    <x v="0"/>
    <d v="2022-08-04T00:00:00"/>
    <n v="48"/>
    <d v="2022-09-21T00:00:00"/>
    <n v="-36"/>
    <s v="W38_2022"/>
    <x v="0"/>
  </r>
  <r>
    <x v="0"/>
    <x v="264"/>
    <n v="22601321"/>
    <x v="0"/>
    <s v="CH (Cheque)"/>
    <s v="II. Receipts form Clients - non matured"/>
    <s v="Cheque PF"/>
    <s v="Sales of batteries - local"/>
    <s v="P/BNA+GABES-4441669"/>
    <s v="TND"/>
    <n v="2500"/>
    <n v="1"/>
    <n v="2500"/>
    <x v="0"/>
    <d v="2022-05-25T00:00:00"/>
    <n v="119"/>
    <d v="2022-09-21T00:00:00"/>
    <n v="-36"/>
    <s v="W38_2022"/>
    <x v="0"/>
  </r>
  <r>
    <x v="0"/>
    <x v="28"/>
    <n v="22601370"/>
    <x v="0"/>
    <s v="CH (Cheque)"/>
    <s v="II. Receipts form Clients - non matured"/>
    <s v="Cheque PF"/>
    <s v="Sales of batteries - local"/>
    <s v="P/BNA+GABES-5795274"/>
    <s v="TND"/>
    <n v="2000"/>
    <n v="1"/>
    <n v="2000"/>
    <x v="0"/>
    <d v="2022-06-20T00:00:00"/>
    <n v="93"/>
    <d v="2022-09-21T00:00:00"/>
    <n v="-36"/>
    <s v="W38_2022"/>
    <x v="0"/>
  </r>
  <r>
    <x v="0"/>
    <x v="30"/>
    <n v="22701242"/>
    <x v="0"/>
    <s v="CH (Cheque)"/>
    <s v="II. Receipts form Clients - non matured"/>
    <s v="Cheque PF"/>
    <s v="Sales of batteries - local"/>
    <s v="P/BNA+THALA-5940247"/>
    <s v="TND"/>
    <n v="3654.2530000000002"/>
    <n v="1"/>
    <n v="3654.2530000000002"/>
    <x v="0"/>
    <d v="2022-07-16T00:00:00"/>
    <n v="67"/>
    <d v="2022-09-21T00:00:00"/>
    <n v="-36"/>
    <s v="W38_2022"/>
    <x v="0"/>
  </r>
  <r>
    <x v="0"/>
    <x v="34"/>
    <n v="22801311"/>
    <x v="0"/>
    <s v="CH (Cheque)"/>
    <s v="II. Receipts form Clients - non matured"/>
    <s v="Cheque PF"/>
    <s v="Sales of batteries - local"/>
    <s v="P/BNA+BEJA-5352880"/>
    <s v="TND"/>
    <n v="1590"/>
    <n v="1"/>
    <n v="1590"/>
    <x v="0"/>
    <d v="2022-06-17T00:00:00"/>
    <n v="96"/>
    <d v="2022-09-21T00:00:00"/>
    <n v="-36"/>
    <s v="W38_2022"/>
    <x v="0"/>
  </r>
  <r>
    <x v="0"/>
    <x v="74"/>
    <n v="22401434"/>
    <x v="0"/>
    <s v="CH (Cheque)"/>
    <s v="II. Receipts form Clients - non matured"/>
    <s v="Cheque PF"/>
    <s v="Sales of batteries - local"/>
    <s v="D/BIAT+MONASTIR-000771"/>
    <s v="TND"/>
    <n v="1500"/>
    <n v="1"/>
    <n v="1500"/>
    <x v="0"/>
    <d v="2022-05-31T00:00:00"/>
    <n v="113"/>
    <d v="2022-09-21T00:00:00"/>
    <n v="-36"/>
    <s v="W38_2022"/>
    <x v="0"/>
  </r>
  <r>
    <x v="0"/>
    <x v="145"/>
    <n v="22401568"/>
    <x v="0"/>
    <s v="CH (Cheque)"/>
    <s v="II. Receipts form Clients - non matured"/>
    <s v="Cheque PF"/>
    <s v="Sales of batteries - local"/>
    <s v="D/STB+TEBOULBA-0002617"/>
    <s v="TND"/>
    <n v="4645.1819999999998"/>
    <n v="1"/>
    <n v="4645.1819999999998"/>
    <x v="0"/>
    <d v="2022-06-30T00:00:00"/>
    <n v="83"/>
    <d v="2022-09-21T00:00:00"/>
    <n v="-36"/>
    <s v="W38_2022"/>
    <x v="0"/>
  </r>
  <r>
    <x v="0"/>
    <x v="75"/>
    <n v="22124356"/>
    <x v="0"/>
    <s v="CH (Cheque)"/>
    <s v="II. Receipts form Clients - non matured"/>
    <s v="Cheque PF"/>
    <s v="Sales of batteries - local"/>
    <s v="P/STB+KELIBIA-0008017"/>
    <s v="TND"/>
    <n v="875"/>
    <n v="1"/>
    <n v="875"/>
    <x v="0"/>
    <d v="2022-04-28T00:00:00"/>
    <n v="146"/>
    <d v="2022-09-21T00:00:00"/>
    <n v="-36"/>
    <s v="W38_2022"/>
    <x v="0"/>
  </r>
  <r>
    <x v="0"/>
    <x v="75"/>
    <n v="22124350"/>
    <x v="0"/>
    <s v="CH (Cheque)"/>
    <s v="II. Receipts form Clients - non matured"/>
    <s v="Cheque PF"/>
    <s v="Sales of batteries - local"/>
    <s v="P/STB+KELIBIA-0008021"/>
    <s v="TND"/>
    <n v="855"/>
    <n v="1"/>
    <n v="855"/>
    <x v="0"/>
    <d v="2022-04-28T00:00:00"/>
    <n v="146"/>
    <d v="2022-09-21T00:00:00"/>
    <n v="-36"/>
    <s v="W38_2022"/>
    <x v="0"/>
  </r>
  <r>
    <x v="0"/>
    <x v="76"/>
    <n v="22124477"/>
    <x v="0"/>
    <s v="CH (Cheque)"/>
    <s v="II. Receipts form Clients - non matured"/>
    <s v="Cheque PF"/>
    <s v="Sales of batteries - local"/>
    <s v="p/bna+tunis-5403344"/>
    <s v="TND"/>
    <n v="1321.4010000000001"/>
    <n v="1"/>
    <n v="1321.4010000000001"/>
    <x v="0"/>
    <d v="2022-05-24T00:00:00"/>
    <n v="120"/>
    <d v="2022-09-21T00:00:00"/>
    <n v="-36"/>
    <s v="W38_2022"/>
    <x v="0"/>
  </r>
  <r>
    <x v="0"/>
    <x v="7"/>
    <n v="22124594"/>
    <x v="0"/>
    <s v="CH (Cheque)"/>
    <s v="II. Receipts form Clients - non matured"/>
    <s v="Cheque PF"/>
    <s v="Sales of batteries - local"/>
    <s v="P/BIAT+RAOUED-0003529"/>
    <s v="TND"/>
    <n v="1112.557"/>
    <n v="1"/>
    <n v="1112.557"/>
    <x v="0"/>
    <d v="2022-06-10T00:00:00"/>
    <n v="103"/>
    <d v="2022-09-21T00:00:00"/>
    <n v="-36"/>
    <s v="W38_2022"/>
    <x v="0"/>
  </r>
  <r>
    <x v="0"/>
    <x v="102"/>
    <n v="22124790"/>
    <x v="0"/>
    <s v="CH (Cheque)"/>
    <s v="II. Receipts form Clients - non matured"/>
    <s v="Cheque PF"/>
    <s v="Sales of batteries - local"/>
    <s v="P/ATTJ BQ+BEN AROUS-01"/>
    <s v="TND"/>
    <n v="2500"/>
    <n v="1"/>
    <n v="2500"/>
    <x v="0"/>
    <d v="2022-06-30T00:00:00"/>
    <n v="83"/>
    <d v="2022-09-21T00:00:00"/>
    <n v="-36"/>
    <s v="W38_2022"/>
    <x v="0"/>
  </r>
  <r>
    <x v="0"/>
    <x v="29"/>
    <n v="22601475"/>
    <x v="0"/>
    <s v="CH (Cheque)"/>
    <s v="II. Receipts form Clients - non matured"/>
    <s v="Cheque PF"/>
    <s v="Sales of batteries - local"/>
    <s v="P/BIAT+ZERZIS-0003327"/>
    <s v="TND"/>
    <n v="930"/>
    <n v="1"/>
    <n v="930"/>
    <x v="0"/>
    <d v="2022-07-27T00:00:00"/>
    <n v="57"/>
    <d v="2022-09-22T00:00:00"/>
    <n v="-37"/>
    <s v="W38_2022"/>
    <x v="0"/>
  </r>
  <r>
    <x v="0"/>
    <x v="284"/>
    <n v="22801313"/>
    <x v="0"/>
    <s v="CH (Cheque)"/>
    <s v="II. Receipts form Clients - non matured"/>
    <s v="Cheque PF"/>
    <s v="Sales of batteries - local"/>
    <s v="P/UBCI+KEF-9346273"/>
    <s v="TND"/>
    <n v="2607.0819999999999"/>
    <n v="1"/>
    <n v="2607.0819999999999"/>
    <x v="0"/>
    <d v="2022-06-18T00:00:00"/>
    <n v="96"/>
    <d v="2022-09-22T00:00:00"/>
    <n v="-37"/>
    <s v="W38_2022"/>
    <x v="0"/>
  </r>
  <r>
    <x v="0"/>
    <x v="262"/>
    <n v="22801368"/>
    <x v="0"/>
    <s v="CH (Cheque)"/>
    <s v="II. Receipts form Clients - non matured"/>
    <s v="Cheque PF"/>
    <s v="Sales of batteries - local"/>
    <s v="P/BIAT+JEND-0004620"/>
    <s v="TND"/>
    <n v="1100"/>
    <n v="1"/>
    <n v="1100"/>
    <x v="0"/>
    <d v="2022-07-19T00:00:00"/>
    <n v="65"/>
    <d v="2022-09-22T00:00:00"/>
    <n v="-37"/>
    <s v="W38_2022"/>
    <x v="0"/>
  </r>
  <r>
    <x v="0"/>
    <x v="75"/>
    <n v="22124508"/>
    <x v="0"/>
    <s v="CH (Cheque)"/>
    <s v="II. Receipts form Clients - non matured"/>
    <s v="Cheque PF"/>
    <s v="Sales of batteries - local"/>
    <s v="P/STB+KELIBIA-0008263"/>
    <s v="TND"/>
    <n v="865"/>
    <n v="1"/>
    <n v="865"/>
    <x v="0"/>
    <d v="2022-05-26T00:00:00"/>
    <n v="119"/>
    <d v="2022-09-22T00:00:00"/>
    <n v="-37"/>
    <s v="W38_2022"/>
    <x v="0"/>
  </r>
  <r>
    <x v="0"/>
    <x v="123"/>
    <n v="22601421"/>
    <x v="0"/>
    <s v="CH (Cheque)"/>
    <s v="II. Receipts form Clients - non matured"/>
    <s v="Cheque PF"/>
    <s v="Sales of batteries - local"/>
    <s v="P/BH+TATOUINE-2224589"/>
    <s v="TND"/>
    <n v="3000"/>
    <n v="1"/>
    <n v="3000"/>
    <x v="0"/>
    <d v="2022-07-07T00:00:00"/>
    <n v="78"/>
    <d v="2022-09-23T00:00:00"/>
    <n v="-38"/>
    <s v="W38_2022"/>
    <x v="0"/>
  </r>
  <r>
    <x v="0"/>
    <x v="28"/>
    <n v="22601369"/>
    <x v="0"/>
    <s v="CH (Cheque)"/>
    <s v="II. Receipts form Clients - non matured"/>
    <s v="Cheque PF"/>
    <s v="Sales of batteries - local"/>
    <s v="P/BNA+GABES-5795275"/>
    <s v="TND"/>
    <n v="2022.5260000000001"/>
    <n v="1"/>
    <n v="2022.5260000000001"/>
    <x v="0"/>
    <d v="2022-06-20T00:00:00"/>
    <n v="95"/>
    <d v="2022-09-23T00:00:00"/>
    <n v="-38"/>
    <s v="W38_2022"/>
    <x v="0"/>
  </r>
  <r>
    <x v="0"/>
    <x v="120"/>
    <n v="22401401"/>
    <x v="0"/>
    <s v="CH (Cheque)"/>
    <s v="II. Receipts form Clients - non matured"/>
    <s v="Cheque PF"/>
    <s v="Sales of batteries - local"/>
    <s v="D/BNA+TEBOULBA-5150303"/>
    <s v="TND"/>
    <n v="1779.7270000000001"/>
    <n v="1"/>
    <n v="1779.7270000000001"/>
    <x v="0"/>
    <d v="2022-05-28T00:00:00"/>
    <n v="118"/>
    <d v="2022-09-23T00:00:00"/>
    <n v="-38"/>
    <s v="W38_2022"/>
    <x v="0"/>
  </r>
  <r>
    <x v="0"/>
    <x v="75"/>
    <n v="22124347"/>
    <x v="0"/>
    <s v="CH (Cheque)"/>
    <s v="II. Receipts form Clients - non matured"/>
    <s v="Cheque PF"/>
    <s v="Sales of batteries - local"/>
    <s v="P/STB+KELIBIA-0008018"/>
    <s v="TND"/>
    <n v="870"/>
    <n v="1"/>
    <n v="870"/>
    <x v="0"/>
    <d v="2022-04-28T00:00:00"/>
    <n v="148"/>
    <d v="2022-09-23T00:00:00"/>
    <n v="-38"/>
    <s v="W38_2022"/>
    <x v="0"/>
  </r>
  <r>
    <x v="0"/>
    <x v="75"/>
    <n v="22124349"/>
    <x v="0"/>
    <s v="CH (Cheque)"/>
    <s v="II. Receipts form Clients - non matured"/>
    <s v="Cheque PF"/>
    <s v="Sales of batteries - local"/>
    <s v="P/STB+KELIBIA-0008020"/>
    <s v="TND"/>
    <n v="860"/>
    <n v="1"/>
    <n v="860"/>
    <x v="0"/>
    <d v="2022-04-28T00:00:00"/>
    <n v="148"/>
    <d v="2022-09-23T00:00:00"/>
    <n v="-38"/>
    <s v="W38_2022"/>
    <x v="0"/>
  </r>
  <r>
    <x v="0"/>
    <x v="125"/>
    <n v="22301506"/>
    <x v="0"/>
    <s v="CH (Cheque)"/>
    <s v="II. Receipts form Clients - non matured"/>
    <s v="Cheque PF"/>
    <s v="Sales of batteries - local"/>
    <s v="P/BIAT+SFAX-0007428"/>
    <s v="TND"/>
    <n v="700"/>
    <n v="1"/>
    <n v="700"/>
    <x v="0"/>
    <d v="2022-05-27T00:00:00"/>
    <n v="119"/>
    <d v="2022-09-23T00:00:00"/>
    <n v="-38"/>
    <s v="W38_2022"/>
    <x v="0"/>
  </r>
  <r>
    <x v="0"/>
    <x v="78"/>
    <n v="22301594"/>
    <x v="0"/>
    <s v="CH (Cheque)"/>
    <s v="II. Receipts form Clients - non matured"/>
    <s v="Cheque PF"/>
    <s v="Sales of batteries - local"/>
    <s v="P/BIAT+SFAX-0007561"/>
    <s v="TND"/>
    <n v="2530"/>
    <n v="1"/>
    <n v="2530"/>
    <x v="0"/>
    <d v="2022-06-27T00:00:00"/>
    <n v="88"/>
    <d v="2022-09-23T00:00:00"/>
    <n v="-38"/>
    <s v="W38_2022"/>
    <x v="0"/>
  </r>
  <r>
    <x v="0"/>
    <x v="122"/>
    <n v="22801372"/>
    <x v="0"/>
    <s v="CH (Cheque)"/>
    <s v="II. Receipts form Clients - non matured"/>
    <s v="Cheque PF"/>
    <s v="Sales of batteries - local"/>
    <s v="P/ATB+BOUROIS-6231346"/>
    <s v="TND"/>
    <n v="1500"/>
    <n v="1"/>
    <n v="1500"/>
    <x v="0"/>
    <d v="2022-07-22T00:00:00"/>
    <n v="64"/>
    <d v="2022-09-24T00:00:00"/>
    <n v="-39"/>
    <s v="W39_2022"/>
    <x v="0"/>
  </r>
  <r>
    <x v="0"/>
    <x v="252"/>
    <n v="22401418"/>
    <x v="0"/>
    <s v="CH (Cheque)"/>
    <s v="II. Receipts form Clients - non matured"/>
    <s v="Cheque PF"/>
    <s v="Sales of batteries - local"/>
    <s v="D/UIB+KALAA KEBIRA-232"/>
    <s v="TND"/>
    <n v="3300"/>
    <n v="1"/>
    <n v="3300"/>
    <x v="0"/>
    <d v="2022-05-30T00:00:00"/>
    <n v="117"/>
    <d v="2022-09-24T00:00:00"/>
    <n v="-39"/>
    <s v="W39_2022"/>
    <x v="0"/>
  </r>
  <r>
    <x v="0"/>
    <x v="7"/>
    <n v="22124595"/>
    <x v="0"/>
    <s v="CH (Cheque)"/>
    <s v="II. Receipts form Clients - non matured"/>
    <s v="Cheque PF"/>
    <s v="Sales of batteries - local"/>
    <s v="P/BIAT+RAOUED-0003530"/>
    <s v="TND"/>
    <n v="1112.557"/>
    <n v="1"/>
    <n v="1112.557"/>
    <x v="0"/>
    <d v="2022-06-10T00:00:00"/>
    <n v="106"/>
    <d v="2022-09-24T00:00:00"/>
    <n v="-39"/>
    <s v="W39_2022"/>
    <x v="0"/>
  </r>
  <r>
    <x v="0"/>
    <x v="75"/>
    <n v="22124509"/>
    <x v="0"/>
    <s v="CH (Cheque)"/>
    <s v="II. Receipts form Clients - non matured"/>
    <s v="Cheque PF"/>
    <s v="Sales of batteries - local"/>
    <s v="P/STB+KELIBIA-0008262"/>
    <s v="TND"/>
    <n v="870"/>
    <n v="1"/>
    <n v="870"/>
    <x v="0"/>
    <d v="2022-05-26T00:00:00"/>
    <n v="121"/>
    <d v="2022-09-24T00:00:00"/>
    <n v="-39"/>
    <s v="W39_2022"/>
    <x v="0"/>
  </r>
  <r>
    <x v="0"/>
    <x v="121"/>
    <n v="22301758"/>
    <x v="0"/>
    <s v="CH (Cheque)"/>
    <s v="II. Receipts form Clients - non matured"/>
    <s v="Cheque PF"/>
    <s v="Sales of batteries - local"/>
    <s v="D/BNA+CHRARDA-5850677"/>
    <s v="TND"/>
    <n v="2212.9"/>
    <n v="1"/>
    <n v="2212.9"/>
    <x v="0"/>
    <d v="2022-08-05T00:00:00"/>
    <n v="51"/>
    <d v="2022-09-25T00:00:00"/>
    <n v="-40"/>
    <s v="W39_2022"/>
    <x v="0"/>
  </r>
  <r>
    <x v="0"/>
    <x v="130"/>
    <n v="22401654"/>
    <x v="0"/>
    <s v="CH (Cheque)"/>
    <s v="II. Receipts form Clients - non matured"/>
    <s v="Cheque PF"/>
    <s v="Sales of batteries - local"/>
    <s v="D/STB+MOKNINE-0003472"/>
    <s v="TND"/>
    <n v="1816.9069999999999"/>
    <n v="1"/>
    <n v="1816.9069999999999"/>
    <x v="0"/>
    <d v="2022-07-29T00:00:00"/>
    <n v="58"/>
    <d v="2022-09-25T00:00:00"/>
    <n v="-40"/>
    <s v="W39_2022"/>
    <x v="0"/>
  </r>
  <r>
    <x v="0"/>
    <x v="14"/>
    <n v="22601330"/>
    <x v="0"/>
    <s v="CH (Cheque)"/>
    <s v="II. Receipts form Clients - non matured"/>
    <s v="Cheque PF"/>
    <s v="Sales of batteries - local"/>
    <s v="P/UBCI+GABES-7466412"/>
    <s v="TND"/>
    <n v="900"/>
    <n v="1"/>
    <n v="900"/>
    <x v="0"/>
    <d v="2022-06-01T00:00:00"/>
    <n v="116"/>
    <d v="2022-09-25T00:00:00"/>
    <n v="-40"/>
    <s v="W39_2022"/>
    <x v="0"/>
  </r>
  <r>
    <x v="0"/>
    <x v="14"/>
    <n v="22601331"/>
    <x v="0"/>
    <s v="CH (Cheque)"/>
    <s v="II. Receipts form Clients - non matured"/>
    <s v="Cheque PF"/>
    <s v="Sales of batteries - local"/>
    <s v="P/UBCI+GABES-7466415"/>
    <s v="TND"/>
    <n v="900"/>
    <n v="1"/>
    <n v="900"/>
    <x v="0"/>
    <d v="2022-06-01T00:00:00"/>
    <n v="116"/>
    <d v="2022-09-25T00:00:00"/>
    <n v="-40"/>
    <s v="W39_2022"/>
    <x v="0"/>
  </r>
  <r>
    <x v="0"/>
    <x v="14"/>
    <n v="22601332"/>
    <x v="0"/>
    <s v="CH (Cheque)"/>
    <s v="II. Receipts form Clients - non matured"/>
    <s v="Cheque PF"/>
    <s v="Sales of batteries - local"/>
    <s v="P/UBCI+GABES-7466414"/>
    <s v="TND"/>
    <n v="900"/>
    <n v="1"/>
    <n v="900"/>
    <x v="0"/>
    <d v="2022-06-01T00:00:00"/>
    <n v="116"/>
    <d v="2022-09-25T00:00:00"/>
    <n v="-40"/>
    <s v="W39_2022"/>
    <x v="0"/>
  </r>
  <r>
    <x v="0"/>
    <x v="9"/>
    <n v="22601441"/>
    <x v="0"/>
    <s v="CH (Cheque)"/>
    <s v="II. Receipts form Clients - non matured"/>
    <s v="Cheque PF"/>
    <s v="Sales of batteries - local"/>
    <s v="P/BTL+GABES-3025438"/>
    <s v="TND"/>
    <n v="578.08699999999999"/>
    <n v="1"/>
    <n v="578.08699999999999"/>
    <x v="0"/>
    <d v="2022-07-20T00:00:00"/>
    <n v="67"/>
    <d v="2022-09-25T00:00:00"/>
    <n v="-40"/>
    <s v="W39_2022"/>
    <x v="0"/>
  </r>
  <r>
    <x v="0"/>
    <x v="201"/>
    <n v="22601435"/>
    <x v="0"/>
    <s v="CH (Cheque)"/>
    <s v="II. Receipts form Clients - non matured"/>
    <s v="Cheque PF"/>
    <s v="Sales of batteries - local"/>
    <s v="P/BH+DJERBA-1839700"/>
    <s v="TND"/>
    <n v="1574.585"/>
    <n v="1"/>
    <n v="1574.585"/>
    <x v="0"/>
    <d v="2022-07-18T00:00:00"/>
    <n v="69"/>
    <d v="2022-09-25T00:00:00"/>
    <n v="-40"/>
    <s v="W39_2022"/>
    <x v="0"/>
  </r>
  <r>
    <x v="0"/>
    <x v="89"/>
    <n v="22701216"/>
    <x v="0"/>
    <s v="CH (Cheque)"/>
    <s v="II. Receipts form Clients - non matured"/>
    <s v="Cheque PF"/>
    <s v="Sales of batteries - local"/>
    <s v="P/BNA+MEKNASY-6099072"/>
    <s v="TND"/>
    <n v="2596.797"/>
    <n v="1"/>
    <n v="2596.797"/>
    <x v="0"/>
    <d v="2022-06-30T00:00:00"/>
    <n v="87"/>
    <d v="2022-09-25T00:00:00"/>
    <n v="-40"/>
    <s v="W39_2022"/>
    <x v="0"/>
  </r>
  <r>
    <x v="0"/>
    <x v="91"/>
    <n v="22801303"/>
    <x v="0"/>
    <s v="CH (Cheque)"/>
    <s v="II. Receipts form Clients - non matured"/>
    <s v="Cheque PF"/>
    <s v="Sales of batteries - local"/>
    <s v="P/UIB+BEJA-9895808"/>
    <s v="TND"/>
    <n v="2827.5"/>
    <n v="1"/>
    <n v="2827.5"/>
    <x v="0"/>
    <d v="2022-06-15T00:00:00"/>
    <n v="102"/>
    <d v="2022-09-25T00:00:00"/>
    <n v="-40"/>
    <s v="W39_2022"/>
    <x v="0"/>
  </r>
  <r>
    <x v="0"/>
    <x v="306"/>
    <n v="22801286"/>
    <x v="0"/>
    <s v="CH (Cheque)"/>
    <s v="II. Receipts form Clients - non matured"/>
    <s v="Cheque PF"/>
    <s v="Sales of batteries - local"/>
    <s v="P/STB+TABARKA-0006546"/>
    <s v="TND"/>
    <n v="6889.723"/>
    <n v="1"/>
    <n v="6889.723"/>
    <x v="0"/>
    <d v="2022-06-08T00:00:00"/>
    <n v="109"/>
    <d v="2022-09-25T00:00:00"/>
    <n v="-40"/>
    <s v="W39_2022"/>
    <x v="0"/>
  </r>
  <r>
    <x v="0"/>
    <x v="131"/>
    <n v="22401591"/>
    <x v="0"/>
    <s v="CH (Cheque)"/>
    <s v="II. Receipts form Clients - non matured"/>
    <s v="Cheque PF"/>
    <s v="Sales of batteries - local"/>
    <s v="P/BH+SOUSSE-5467148"/>
    <s v="TND"/>
    <n v="403.678"/>
    <n v="1"/>
    <n v="403.678"/>
    <x v="0"/>
    <d v="2022-07-15T00:00:00"/>
    <n v="72"/>
    <d v="2022-09-25T00:00:00"/>
    <n v="-40"/>
    <s v="W39_2022"/>
    <x v="0"/>
  </r>
  <r>
    <x v="0"/>
    <x v="96"/>
    <n v="22401537"/>
    <x v="0"/>
    <s v="CH (Cheque)"/>
    <s v="II. Receipts form Clients - non matured"/>
    <s v="Cheque PF"/>
    <s v="Sales of batteries - local"/>
    <s v="P/UIB+KALAA KEBIRA-232"/>
    <s v="TND"/>
    <n v="1078.2280000000001"/>
    <n v="1"/>
    <n v="1078.2280000000001"/>
    <x v="0"/>
    <d v="2022-06-30T00:00:00"/>
    <n v="87"/>
    <d v="2022-09-25T00:00:00"/>
    <n v="-40"/>
    <s v="W39_2022"/>
    <x v="0"/>
  </r>
  <r>
    <x v="0"/>
    <x v="11"/>
    <n v="22401543"/>
    <x v="0"/>
    <s v="CH (Cheque)"/>
    <s v="II. Receipts form Clients - non matured"/>
    <s v="Cheque PF"/>
    <s v="Sales of batteries - local"/>
    <s v="D/BIAT+JEMMAL-0000434"/>
    <s v="TND"/>
    <n v="2500"/>
    <n v="1"/>
    <n v="2500"/>
    <x v="0"/>
    <d v="2022-06-30T00:00:00"/>
    <n v="87"/>
    <d v="2022-09-25T00:00:00"/>
    <n v="-40"/>
    <s v="W39_2022"/>
    <x v="0"/>
  </r>
  <r>
    <x v="0"/>
    <x v="307"/>
    <n v="22401498"/>
    <x v="0"/>
    <s v="CH (Cheque)"/>
    <s v="II. Receipts form Clients - non matured"/>
    <s v="Cheque PF"/>
    <s v="Sales of batteries - local"/>
    <s v="P/ATB+H.SOUSSE-6096763"/>
    <s v="TND"/>
    <n v="2236.56"/>
    <n v="1"/>
    <n v="2236.56"/>
    <x v="0"/>
    <d v="2022-06-23T00:00:00"/>
    <n v="94"/>
    <d v="2022-09-25T00:00:00"/>
    <n v="-40"/>
    <s v="W39_2022"/>
    <x v="0"/>
  </r>
  <r>
    <x v="0"/>
    <x v="308"/>
    <n v="22401551"/>
    <x v="0"/>
    <s v="CH (Cheque)"/>
    <s v="II. Receipts form Clients - non matured"/>
    <s v="Cheque PF"/>
    <s v="Sales of batteries - local"/>
    <s v="D/UIB+BEMBLA-7479731"/>
    <s v="TND"/>
    <n v="2000"/>
    <n v="1"/>
    <n v="2000"/>
    <x v="0"/>
    <d v="2022-06-30T00:00:00"/>
    <n v="87"/>
    <d v="2022-09-25T00:00:00"/>
    <n v="-40"/>
    <s v="W39_2022"/>
    <x v="0"/>
  </r>
  <r>
    <x v="0"/>
    <x v="212"/>
    <n v="22401562"/>
    <x v="0"/>
    <s v="CH (Cheque)"/>
    <s v="II. Receipts form Clients - non matured"/>
    <s v="Cheque PF"/>
    <s v="Sales of batteries - local"/>
    <s v="D/UBCI+TEBOULBA-932685"/>
    <s v="TND"/>
    <n v="3000"/>
    <n v="1"/>
    <n v="3000"/>
    <x v="0"/>
    <d v="2022-06-30T00:00:00"/>
    <n v="87"/>
    <d v="2022-09-25T00:00:00"/>
    <n v="-40"/>
    <s v="W39_2022"/>
    <x v="0"/>
  </r>
  <r>
    <x v="0"/>
    <x v="75"/>
    <n v="22124348"/>
    <x v="0"/>
    <s v="CH (Cheque)"/>
    <s v="II. Receipts form Clients - non matured"/>
    <s v="Cheque PF"/>
    <s v="Sales of batteries - local"/>
    <s v="P/STB+KELIBIA-0008019"/>
    <s v="TND"/>
    <n v="865"/>
    <n v="1"/>
    <n v="865"/>
    <x v="0"/>
    <d v="2022-04-28T00:00:00"/>
    <n v="150"/>
    <d v="2022-09-25T00:00:00"/>
    <n v="-40"/>
    <s v="W39_2022"/>
    <x v="0"/>
  </r>
  <r>
    <x v="0"/>
    <x v="309"/>
    <n v="22124456"/>
    <x v="0"/>
    <s v="CH (Cheque)"/>
    <s v="II. Receipts form Clients - non matured"/>
    <s v="Cheque PF"/>
    <s v="Sales of batteries - local"/>
    <s v="P/BIAT+BEN AROUS-00007"/>
    <s v="TND"/>
    <n v="5890.2520000000004"/>
    <n v="1"/>
    <n v="5890.2520000000004"/>
    <x v="0"/>
    <d v="2022-05-21T00:00:00"/>
    <n v="127"/>
    <d v="2022-09-25T00:00:00"/>
    <n v="-40"/>
    <s v="W39_2022"/>
    <x v="0"/>
  </r>
  <r>
    <x v="0"/>
    <x v="99"/>
    <n v="22124476"/>
    <x v="0"/>
    <s v="CH (Cheque)"/>
    <s v="II. Receipts form Clients - non matured"/>
    <s v="Cheque PF"/>
    <s v="Sales of batteries - local"/>
    <s v="P/STB+FOUCHANA-0000458"/>
    <s v="TND"/>
    <n v="388.00700000000001"/>
    <n v="1"/>
    <n v="388.00700000000001"/>
    <x v="0"/>
    <d v="2022-05-24T00:00:00"/>
    <n v="124"/>
    <d v="2022-09-25T00:00:00"/>
    <n v="-40"/>
    <s v="W39_2022"/>
    <x v="0"/>
  </r>
  <r>
    <x v="0"/>
    <x v="100"/>
    <n v="22124799"/>
    <x v="0"/>
    <s v="CH (Cheque)"/>
    <s v="II. Receipts form Clients - non matured"/>
    <s v="Cheque PF"/>
    <s v="Sales of batteries - local"/>
    <s v="P/BNA+TN-5439887"/>
    <s v="TND"/>
    <n v="971.154"/>
    <n v="1"/>
    <n v="971.154"/>
    <x v="0"/>
    <d v="2022-06-30T00:00:00"/>
    <n v="87"/>
    <d v="2022-09-25T00:00:00"/>
    <n v="-40"/>
    <s v="W39_2022"/>
    <x v="0"/>
  </r>
  <r>
    <x v="0"/>
    <x v="221"/>
    <n v="22124741"/>
    <x v="0"/>
    <s v="CH (Cheque)"/>
    <s v="II. Receipts form Clients - non matured"/>
    <s v="Cheque PF"/>
    <s v="Sales of batteries - local"/>
    <s v="P/UIB+IBN KHALDOUN-470"/>
    <s v="TND"/>
    <n v="2216.6660000000002"/>
    <n v="1"/>
    <n v="2216.6660000000002"/>
    <x v="0"/>
    <d v="2022-06-27T00:00:00"/>
    <n v="90"/>
    <d v="2022-09-25T00:00:00"/>
    <n v="-40"/>
    <s v="W39_2022"/>
    <x v="0"/>
  </r>
  <r>
    <x v="0"/>
    <x v="134"/>
    <n v="22124774"/>
    <x v="0"/>
    <s v="CH (Cheque)"/>
    <s v="II. Receipts form Clients - non matured"/>
    <s v="Cheque PF"/>
    <s v="Sales of batteries - local"/>
    <s v="P/STB+EL MOUROUJ-00037"/>
    <s v="TND"/>
    <n v="1501.95"/>
    <n v="1"/>
    <n v="1501.95"/>
    <x v="0"/>
    <d v="2022-06-29T00:00:00"/>
    <n v="88"/>
    <d v="2022-09-25T00:00:00"/>
    <n v="-40"/>
    <s v="W39_2022"/>
    <x v="0"/>
  </r>
  <r>
    <x v="0"/>
    <x v="143"/>
    <n v="22124883"/>
    <x v="0"/>
    <s v="CH (Cheque)"/>
    <s v="II. Receipts form Clients - non matured"/>
    <s v="Cheque PF"/>
    <s v="Sales of batteries - local"/>
    <s v="P/BIAAT+TN-0002691"/>
    <s v="TND"/>
    <n v="1050"/>
    <n v="1"/>
    <n v="1050"/>
    <x v="0"/>
    <d v="2022-07-27T00:00:00"/>
    <n v="60"/>
    <d v="2022-09-25T00:00:00"/>
    <n v="-40"/>
    <s v="W39_2022"/>
    <x v="0"/>
  </r>
  <r>
    <x v="0"/>
    <x v="53"/>
    <n v="22124926"/>
    <x v="0"/>
    <s v="CH (Cheque)"/>
    <s v="II. Receipts form Clients - non matured"/>
    <s v="Cheque PF"/>
    <s v="Sales of batteries - local"/>
    <s v="P/AB+TN-9562550"/>
    <s v="TND"/>
    <n v="2249.6280000000002"/>
    <n v="1"/>
    <n v="2249.6280000000002"/>
    <x v="0"/>
    <d v="2022-07-28T00:00:00"/>
    <n v="59"/>
    <d v="2022-09-25T00:00:00"/>
    <n v="-40"/>
    <s v="W39_2022"/>
    <x v="0"/>
  </r>
  <r>
    <x v="0"/>
    <x v="115"/>
    <n v="22301511"/>
    <x v="0"/>
    <s v="CH (Cheque)"/>
    <s v="II. Receipts form Clients - non matured"/>
    <s v="Cheque PF"/>
    <s v="Sales of batteries - local"/>
    <s v="P/UIB+SFAX-2493059"/>
    <s v="TND"/>
    <n v="470"/>
    <n v="1"/>
    <n v="470"/>
    <x v="0"/>
    <d v="2022-05-27T00:00:00"/>
    <n v="121"/>
    <d v="2022-09-25T00:00:00"/>
    <n v="-40"/>
    <s v="W39_2022"/>
    <x v="0"/>
  </r>
  <r>
    <x v="0"/>
    <x v="121"/>
    <n v="22301619"/>
    <x v="0"/>
    <s v="CH (Cheque)"/>
    <s v="II. Receipts form Clients - non matured"/>
    <s v="Cheque PF"/>
    <s v="Sales of batteries - local"/>
    <s v="D/BNA+CHRARDA-5316608"/>
    <s v="TND"/>
    <n v="1155"/>
    <n v="1"/>
    <n v="1155"/>
    <x v="0"/>
    <d v="2022-06-30T00:00:00"/>
    <n v="87"/>
    <d v="2022-09-25T00:00:00"/>
    <n v="-40"/>
    <s v="W39_2022"/>
    <x v="0"/>
  </r>
  <r>
    <x v="0"/>
    <x v="115"/>
    <n v="22301636"/>
    <x v="0"/>
    <s v="CH (Cheque)"/>
    <s v="II. Receipts form Clients - non matured"/>
    <s v="Cheque PF"/>
    <s v="Sales of batteries - local"/>
    <s v="P/UIB+SFAX-2493044"/>
    <s v="TND"/>
    <n v="1670"/>
    <n v="1"/>
    <n v="1670"/>
    <x v="0"/>
    <d v="2022-06-30T00:00:00"/>
    <n v="87"/>
    <d v="2022-09-25T00:00:00"/>
    <n v="-40"/>
    <s v="W39_2022"/>
    <x v="0"/>
  </r>
  <r>
    <x v="0"/>
    <x v="140"/>
    <n v="22301611"/>
    <x v="0"/>
    <s v="CH (Cheque)"/>
    <s v="II. Receipts form Clients - non matured"/>
    <s v="Cheque PF"/>
    <s v="Sales of batteries - local"/>
    <s v="P/BIAT+SFAX-0001854"/>
    <s v="TND"/>
    <n v="2038.6379999999999"/>
    <n v="1"/>
    <n v="2038.6379999999999"/>
    <x v="0"/>
    <d v="2022-06-29T00:00:00"/>
    <n v="88"/>
    <d v="2022-09-25T00:00:00"/>
    <n v="-40"/>
    <s v="W39_2022"/>
    <x v="0"/>
  </r>
  <r>
    <x v="0"/>
    <x v="310"/>
    <n v="22401644"/>
    <x v="0"/>
    <s v="CH (Cheque)"/>
    <s v="II. Receipts form Clients - non matured"/>
    <s v="Cheque PF"/>
    <s v="Sales of batteries - local"/>
    <s v="D/BTL+KSAR HELLAL-3000"/>
    <s v="TND"/>
    <n v="2216.0729999999999"/>
    <n v="1"/>
    <n v="2216.0729999999999"/>
    <x v="0"/>
    <d v="2022-07-28T00:00:00"/>
    <n v="60"/>
    <d v="2022-09-26T00:00:00"/>
    <n v="-41"/>
    <s v="W39_2022"/>
    <x v="0"/>
  </r>
  <r>
    <x v="0"/>
    <x v="34"/>
    <n v="22801316"/>
    <x v="0"/>
    <s v="CH (Cheque)"/>
    <s v="II. Receipts form Clients - non matured"/>
    <s v="Cheque PF"/>
    <s v="Sales of batteries - local"/>
    <s v="P/BNA+BEJA-5352882"/>
    <s v="TND"/>
    <n v="1070"/>
    <n v="1"/>
    <n v="1070"/>
    <x v="0"/>
    <d v="2022-06-20T00:00:00"/>
    <n v="98"/>
    <d v="2022-09-26T00:00:00"/>
    <n v="-41"/>
    <s v="W39_2022"/>
    <x v="0"/>
  </r>
  <r>
    <x v="0"/>
    <x v="311"/>
    <n v="22124831"/>
    <x v="0"/>
    <s v="CH (Cheque)"/>
    <s v="II. Receipts form Clients - non matured"/>
    <s v="Cheque PF"/>
    <s v="Sales of batteries - local"/>
    <s v="P/BTE+TUNIS-6325782"/>
    <s v="TND"/>
    <n v="959.28300000000002"/>
    <n v="1"/>
    <n v="959.28300000000002"/>
    <x v="0"/>
    <d v="2022-07-12T00:00:00"/>
    <n v="76"/>
    <d v="2022-09-26T00:00:00"/>
    <n v="-41"/>
    <s v="W39_2022"/>
    <x v="0"/>
  </r>
  <r>
    <x v="0"/>
    <x v="75"/>
    <n v="22124505"/>
    <x v="0"/>
    <s v="CH (Cheque)"/>
    <s v="II. Receipts form Clients - non matured"/>
    <s v="Cheque PF"/>
    <s v="Sales of batteries - local"/>
    <s v="P/STB+KELIBIA-0008261"/>
    <s v="TND"/>
    <n v="875"/>
    <n v="1"/>
    <n v="875"/>
    <x v="0"/>
    <d v="2022-05-26T00:00:00"/>
    <n v="123"/>
    <d v="2022-09-26T00:00:00"/>
    <n v="-41"/>
    <s v="W39_2022"/>
    <x v="0"/>
  </r>
  <r>
    <x v="0"/>
    <x v="222"/>
    <n v="22124751"/>
    <x v="0"/>
    <s v="CH (Cheque)"/>
    <s v="II. Receipts form Clients - non matured"/>
    <s v="Cheque PF"/>
    <s v="Sales of batteries - local"/>
    <s v="P/UBCI+MORNEG-8896603"/>
    <s v="TND"/>
    <n v="1300"/>
    <n v="1"/>
    <n v="1300"/>
    <x v="0"/>
    <d v="2022-06-27T00:00:00"/>
    <n v="91"/>
    <d v="2022-09-26T00:00:00"/>
    <n v="-41"/>
    <s v="W39_2022"/>
    <x v="0"/>
  </r>
  <r>
    <x v="0"/>
    <x v="111"/>
    <n v="22124932"/>
    <x v="0"/>
    <s v="CH (Cheque)"/>
    <s v="II. Receipts form Clients - non matured"/>
    <s v="Cheque PF"/>
    <s v="Sales of batteries - local"/>
    <s v="P/BH+TN-2352275"/>
    <s v="TND"/>
    <n v="15000"/>
    <n v="1"/>
    <n v="15000"/>
    <x v="0"/>
    <d v="2022-07-28T00:00:00"/>
    <n v="60"/>
    <d v="2022-09-26T00:00:00"/>
    <n v="-41"/>
    <s v="W39_2022"/>
    <x v="0"/>
  </r>
  <r>
    <x v="0"/>
    <x v="78"/>
    <n v="22301595"/>
    <x v="0"/>
    <s v="CH (Cheque)"/>
    <s v="II. Receipts form Clients - non matured"/>
    <s v="Cheque PF"/>
    <s v="Sales of batteries - local"/>
    <s v="P/BIAT+SFAX-0007562"/>
    <s v="TND"/>
    <n v="1967.701"/>
    <n v="1"/>
    <n v="1967.701"/>
    <x v="0"/>
    <d v="2022-06-27T00:00:00"/>
    <n v="91"/>
    <d v="2022-09-26T00:00:00"/>
    <n v="-41"/>
    <s v="W39_2022"/>
    <x v="0"/>
  </r>
  <r>
    <x v="0"/>
    <x v="9"/>
    <n v="22601442"/>
    <x v="0"/>
    <s v="CH (Cheque)"/>
    <s v="II. Receipts form Clients - non matured"/>
    <s v="Cheque PF"/>
    <s v="Sales of batteries - local"/>
    <s v="P/BTL+GABES-3025440"/>
    <s v="TND"/>
    <n v="578.08699999999999"/>
    <n v="1"/>
    <n v="578.08699999999999"/>
    <x v="0"/>
    <d v="2022-07-20T00:00:00"/>
    <n v="69"/>
    <d v="2022-09-27T00:00:00"/>
    <n v="-42"/>
    <s v="W39_2022"/>
    <x v="0"/>
  </r>
  <r>
    <x v="0"/>
    <x v="9"/>
    <n v="22601354"/>
    <x v="0"/>
    <s v="CH (Cheque)"/>
    <s v="II. Receipts form Clients - non matured"/>
    <s v="Cheque PF"/>
    <s v="Sales of batteries - local"/>
    <s v="P/BTL+GABES-3010831"/>
    <s v="TND"/>
    <n v="582.37199999999996"/>
    <n v="1"/>
    <n v="582.37199999999996"/>
    <x v="0"/>
    <d v="2022-06-15T00:00:00"/>
    <n v="104"/>
    <d v="2022-09-27T00:00:00"/>
    <n v="-42"/>
    <s v="W39_2022"/>
    <x v="0"/>
  </r>
  <r>
    <x v="0"/>
    <x v="144"/>
    <n v="22401360"/>
    <x v="0"/>
    <s v="CH (Cheque)"/>
    <s v="II. Receipts form Clients - non matured"/>
    <s v="Cheque PF"/>
    <s v="Sales of batteries - local"/>
    <s v="P/UIB+SOUSSE-1052364"/>
    <s v="TND"/>
    <n v="10930.751"/>
    <n v="1"/>
    <n v="10930.751"/>
    <x v="0"/>
    <d v="2022-04-30T00:00:00"/>
    <n v="150"/>
    <d v="2022-09-27T00:00:00"/>
    <n v="-42"/>
    <s v="W39_2022"/>
    <x v="0"/>
  </r>
  <r>
    <x v="0"/>
    <x v="7"/>
    <n v="22124596"/>
    <x v="0"/>
    <s v="CH (Cheque)"/>
    <s v="II. Receipts form Clients - non matured"/>
    <s v="Cheque PF"/>
    <s v="Sales of batteries - local"/>
    <s v="P/BIAT+RAOUED-0003531"/>
    <s v="TND"/>
    <n v="1112.557"/>
    <n v="1"/>
    <n v="1112.557"/>
    <x v="0"/>
    <d v="2022-06-10T00:00:00"/>
    <n v="109"/>
    <d v="2022-09-27T00:00:00"/>
    <n v="-42"/>
    <s v="W39_2022"/>
    <x v="0"/>
  </r>
  <r>
    <x v="0"/>
    <x v="296"/>
    <n v="22124827"/>
    <x v="0"/>
    <s v="CH (Cheque)"/>
    <s v="II. Receipts form Clients - non matured"/>
    <s v="Cheque PF"/>
    <s v="Sales of batteries - local"/>
    <s v="P/STB+EL HRAIRIA-00008"/>
    <s v="TND"/>
    <n v="1800"/>
    <n v="1"/>
    <n v="1800"/>
    <x v="0"/>
    <d v="2022-07-12T00:00:00"/>
    <n v="77"/>
    <d v="2022-09-27T00:00:00"/>
    <n v="-42"/>
    <s v="W39_2022"/>
    <x v="0"/>
  </r>
  <r>
    <x v="0"/>
    <x v="139"/>
    <n v="22301670"/>
    <x v="0"/>
    <s v="CH (Cheque)"/>
    <s v="II. Receipts form Clients - non matured"/>
    <s v="Cheque PF"/>
    <s v="Sales of batteries - local"/>
    <s v="P/BNA+SFAX-5462959"/>
    <s v="TND"/>
    <n v="2087.3229999999999"/>
    <n v="1"/>
    <n v="2087.3229999999999"/>
    <x v="0"/>
    <d v="2022-07-13T00:00:00"/>
    <n v="76"/>
    <d v="2022-09-27T00:00:00"/>
    <n v="-42"/>
    <s v="W39_2022"/>
    <x v="0"/>
  </r>
  <r>
    <x v="0"/>
    <x v="312"/>
    <n v="22401667"/>
    <x v="0"/>
    <s v="CH (Cheque)"/>
    <s v="II. Receipts form Clients - non matured"/>
    <s v="Cheque PF"/>
    <s v="Sales of batteries - local"/>
    <s v="D/BIAT+SIDI BOUALI-000"/>
    <s v="TND"/>
    <n v="213"/>
    <n v="1"/>
    <n v="213"/>
    <x v="0"/>
    <d v="2022-08-02T00:00:00"/>
    <n v="57"/>
    <d v="2022-09-28T00:00:00"/>
    <n v="-43"/>
    <s v="W39_2022"/>
    <x v="0"/>
  </r>
  <r>
    <x v="0"/>
    <x v="313"/>
    <n v="22701266"/>
    <x v="0"/>
    <s v="CH (Cheque)"/>
    <s v="II. Receipts form Clients - non matured"/>
    <s v="Cheque PF"/>
    <s v="Sales of batteries - local"/>
    <s v="P/UIB+SAKIET EZIT-9131"/>
    <s v="TND"/>
    <n v="1707.827"/>
    <n v="1"/>
    <n v="1707.827"/>
    <x v="0"/>
    <d v="2022-08-02T00:00:00"/>
    <n v="57"/>
    <d v="2022-09-28T00:00:00"/>
    <n v="-43"/>
    <s v="W39_2022"/>
    <x v="0"/>
  </r>
  <r>
    <x v="0"/>
    <x v="123"/>
    <n v="22601420"/>
    <x v="0"/>
    <s v="CH (Cheque)"/>
    <s v="II. Receipts form Clients - non matured"/>
    <s v="Cheque PF"/>
    <s v="Sales of batteries - local"/>
    <s v="P/BH+TATOUINE-2224588"/>
    <s v="TND"/>
    <n v="3000"/>
    <n v="1"/>
    <n v="3000"/>
    <x v="0"/>
    <d v="2022-07-07T00:00:00"/>
    <n v="83"/>
    <d v="2022-09-28T00:00:00"/>
    <n v="-43"/>
    <s v="W39_2022"/>
    <x v="0"/>
  </r>
  <r>
    <x v="0"/>
    <x v="155"/>
    <n v="22601417"/>
    <x v="0"/>
    <s v="CH (Cheque)"/>
    <s v="II. Receipts form Clients - non matured"/>
    <s v="Cheque PF"/>
    <s v="Sales of batteries - local"/>
    <s v="P/STB+TATOUINE-0000985"/>
    <s v="TND"/>
    <n v="4528.8429999999998"/>
    <n v="1"/>
    <n v="4528.8429999999998"/>
    <x v="0"/>
    <d v="2022-07-07T00:00:00"/>
    <n v="83"/>
    <d v="2022-09-28T00:00:00"/>
    <n v="-43"/>
    <s v="W39_2022"/>
    <x v="0"/>
  </r>
  <r>
    <x v="0"/>
    <x v="129"/>
    <n v="22601381"/>
    <x v="0"/>
    <s v="CH (Cheque)"/>
    <s v="II. Receipts form Clients - non matured"/>
    <s v="Cheque PF"/>
    <s v="Sales of batteries - local"/>
    <s v="P/BZ+MEDNINE-4000558"/>
    <s v="TND"/>
    <n v="855.05600000000004"/>
    <n v="1"/>
    <n v="855.05600000000004"/>
    <x v="0"/>
    <d v="2022-06-24T00:00:00"/>
    <n v="96"/>
    <d v="2022-09-28T00:00:00"/>
    <n v="-43"/>
    <s v="W39_2022"/>
    <x v="0"/>
  </r>
  <r>
    <x v="0"/>
    <x v="148"/>
    <n v="22801375"/>
    <x v="0"/>
    <s v="CH (Cheque)"/>
    <s v="II. Receipts form Clients - non matured"/>
    <s v="Cheque PF"/>
    <s v="Sales of batteries - local"/>
    <s v="P/BNA+SERS-5025808"/>
    <s v="TND"/>
    <n v="1213.1300000000001"/>
    <n v="1"/>
    <n v="1213.1300000000001"/>
    <x v="0"/>
    <d v="2022-07-22T00:00:00"/>
    <n v="68"/>
    <d v="2022-09-28T00:00:00"/>
    <n v="-43"/>
    <s v="W39_2022"/>
    <x v="0"/>
  </r>
  <r>
    <x v="0"/>
    <x v="211"/>
    <n v="22401399"/>
    <x v="0"/>
    <s v="CH (Cheque)"/>
    <s v="II. Receipts form Clients - non matured"/>
    <s v="Cheque PF"/>
    <s v="Sales of batteries - local"/>
    <s v="D/UIB+TEBOULBA-1539151"/>
    <s v="TND"/>
    <n v="1677.472"/>
    <n v="1"/>
    <n v="1677.472"/>
    <x v="0"/>
    <d v="2022-05-27T00:00:00"/>
    <n v="124"/>
    <d v="2022-09-28T00:00:00"/>
    <n v="-43"/>
    <s v="W39_2022"/>
    <x v="0"/>
  </r>
  <r>
    <x v="0"/>
    <x v="75"/>
    <n v="22124507"/>
    <x v="0"/>
    <s v="CH (Cheque)"/>
    <s v="II. Receipts form Clients - non matured"/>
    <s v="Cheque PF"/>
    <s v="Sales of batteries - local"/>
    <s v="P/STB+KELIBIA-0008260"/>
    <s v="TND"/>
    <n v="880"/>
    <n v="1"/>
    <n v="880"/>
    <x v="0"/>
    <d v="2022-05-26T00:00:00"/>
    <n v="125"/>
    <d v="2022-09-28T00:00:00"/>
    <n v="-43"/>
    <s v="W39_2022"/>
    <x v="0"/>
  </r>
  <r>
    <x v="0"/>
    <x v="314"/>
    <n v="22124852"/>
    <x v="0"/>
    <s v="CH (Cheque)"/>
    <s v="II. Receipts form Clients - non matured"/>
    <s v="Cheque PF"/>
    <s v="Sales of batteries - local"/>
    <s v="P/BTL+DENDEN-2931428"/>
    <s v="TND"/>
    <n v="3988.7959999999998"/>
    <n v="1"/>
    <n v="3988.7959999999998"/>
    <x v="0"/>
    <d v="2022-07-18T00:00:00"/>
    <n v="72"/>
    <d v="2022-09-28T00:00:00"/>
    <n v="-43"/>
    <s v="W39_2022"/>
    <x v="0"/>
  </r>
  <r>
    <x v="0"/>
    <x v="70"/>
    <n v="22124891"/>
    <x v="0"/>
    <s v="CH (Cheque)"/>
    <s v="II. Receipts form Clients - non matured"/>
    <s v="Cheque PF"/>
    <s v="Sales of batteries - local"/>
    <s v="P/ATJ+SIDI THABET-0070"/>
    <s v="TND"/>
    <n v="272.15800000000002"/>
    <n v="1"/>
    <n v="272.15800000000002"/>
    <x v="0"/>
    <d v="2022-07-27T00:00:00"/>
    <n v="63"/>
    <d v="2022-09-28T00:00:00"/>
    <n v="-43"/>
    <s v="W39_2022"/>
    <x v="0"/>
  </r>
  <r>
    <x v="0"/>
    <x v="61"/>
    <n v="22124886"/>
    <x v="0"/>
    <s v="CH (Cheque)"/>
    <s v="II. Receipts form Clients - non matured"/>
    <s v="Cheque PF"/>
    <s v="Sales of batteries - local"/>
    <s v="P/ATB+TN-5028173"/>
    <s v="TND"/>
    <n v="660.75699999999995"/>
    <n v="1"/>
    <n v="660.75699999999995"/>
    <x v="0"/>
    <d v="2022-07-27T00:00:00"/>
    <n v="63"/>
    <d v="2022-09-28T00:00:00"/>
    <n v="-43"/>
    <s v="W39_2022"/>
    <x v="0"/>
  </r>
  <r>
    <x v="0"/>
    <x v="29"/>
    <n v="22601474"/>
    <x v="0"/>
    <s v="CH (Cheque)"/>
    <s v="II. Receipts form Clients - non matured"/>
    <s v="Cheque PF"/>
    <s v="Sales of batteries - local"/>
    <s v="P/BIAT+ZERZIS-0003328"/>
    <s v="TND"/>
    <n v="930"/>
    <n v="1"/>
    <n v="930"/>
    <x v="0"/>
    <d v="2022-07-27T00:00:00"/>
    <n v="64"/>
    <d v="2022-09-29T00:00:00"/>
    <n v="-44"/>
    <s v="W39_2022"/>
    <x v="0"/>
  </r>
  <r>
    <x v="0"/>
    <x v="9"/>
    <n v="22601455"/>
    <x v="0"/>
    <s v="CH (Cheque)"/>
    <s v="II. Receipts form Clients - non matured"/>
    <s v="Cheque PF"/>
    <s v="Sales of batteries - local"/>
    <s v="P/BTL+GABES-3025445"/>
    <s v="TND"/>
    <n v="578.08699999999999"/>
    <n v="1"/>
    <n v="578.08699999999999"/>
    <x v="0"/>
    <d v="2022-07-26T00:00:00"/>
    <n v="65"/>
    <d v="2022-09-29T00:00:00"/>
    <n v="-44"/>
    <s v="W39_2022"/>
    <x v="0"/>
  </r>
  <r>
    <x v="0"/>
    <x v="88"/>
    <n v="22601459"/>
    <x v="0"/>
    <s v="CH (Cheque)"/>
    <s v="II. Receipts form Clients - non matured"/>
    <s v="Cheque PF"/>
    <s v="Sales of batteries - local"/>
    <s v="P/BTE+DJERBA-6335037"/>
    <s v="TND"/>
    <n v="801.43600000000004"/>
    <n v="1"/>
    <n v="801.43600000000004"/>
    <x v="0"/>
    <d v="2022-07-26T00:00:00"/>
    <n v="65"/>
    <d v="2022-09-29T00:00:00"/>
    <n v="-44"/>
    <s v="W39_2022"/>
    <x v="0"/>
  </r>
  <r>
    <x v="0"/>
    <x v="210"/>
    <n v="22801383"/>
    <x v="0"/>
    <s v="CH (Cheque)"/>
    <s v="II. Receipts form Clients - non matured"/>
    <s v="Cheque PF"/>
    <s v="Sales of batteries - local"/>
    <s v="P/BIAT+JENDOUBA-000270"/>
    <s v="TND"/>
    <n v="3830.17"/>
    <n v="1"/>
    <n v="3830.17"/>
    <x v="0"/>
    <d v="2022-07-26T00:00:00"/>
    <n v="65"/>
    <d v="2022-09-29T00:00:00"/>
    <n v="-44"/>
    <s v="W39_2022"/>
    <x v="0"/>
  </r>
  <r>
    <x v="0"/>
    <x v="262"/>
    <n v="22801369"/>
    <x v="0"/>
    <s v="CH (Cheque)"/>
    <s v="II. Receipts form Clients - non matured"/>
    <s v="Cheque PF"/>
    <s v="Sales of batteries - local"/>
    <s v="P/BIAT+JEND-0004621"/>
    <s v="TND"/>
    <n v="1157.5309999999999"/>
    <n v="1"/>
    <n v="1157.5309999999999"/>
    <x v="0"/>
    <d v="2022-07-19T00:00:00"/>
    <n v="72"/>
    <d v="2022-09-29T00:00:00"/>
    <n v="-44"/>
    <s v="W39_2022"/>
    <x v="0"/>
  </r>
  <r>
    <x v="0"/>
    <x v="172"/>
    <n v="22401556"/>
    <x v="0"/>
    <s v="CH (Cheque)"/>
    <s v="II. Receipts form Clients - non matured"/>
    <s v="Cheque PF"/>
    <s v="Sales of batteries - local"/>
    <s v="D/UIB+BEMBLA-9368430"/>
    <s v="TND"/>
    <n v="2330.5889999999999"/>
    <n v="1"/>
    <n v="2330.5889999999999"/>
    <x v="0"/>
    <d v="2022-06-30T00:00:00"/>
    <n v="91"/>
    <d v="2022-09-29T00:00:00"/>
    <n v="-44"/>
    <s v="W39_2022"/>
    <x v="0"/>
  </r>
  <r>
    <x v="0"/>
    <x v="315"/>
    <n v="22124876"/>
    <x v="0"/>
    <s v="CH (Cheque)"/>
    <s v="II. Receipts form Clients - non matured"/>
    <s v="Cheque PF"/>
    <s v="Sales of batteries - local"/>
    <s v="P/AMEN B+SIDI THABET-1"/>
    <s v="TND"/>
    <n v="725"/>
    <n v="1"/>
    <n v="725"/>
    <x v="0"/>
    <d v="2022-07-23T00:00:00"/>
    <n v="68"/>
    <d v="2022-09-29T00:00:00"/>
    <n v="-44"/>
    <s v="W39_2022"/>
    <x v="0"/>
  </r>
  <r>
    <x v="0"/>
    <x v="175"/>
    <n v="22124995"/>
    <x v="0"/>
    <s v="CH (Cheque)"/>
    <s v="II. Receipts form Clients - non matured"/>
    <s v="Cheque PF"/>
    <s v="Sales of batteries - local"/>
    <s v="P/STB+FAHS-0003970"/>
    <s v="TND"/>
    <n v="2895.4940000000001"/>
    <n v="1"/>
    <n v="2895.4940000000001"/>
    <x v="0"/>
    <d v="2022-08-05T00:00:00"/>
    <n v="56"/>
    <d v="2022-09-30T00:00:00"/>
    <n v="-45"/>
    <s v="W39_2022"/>
    <x v="0"/>
  </r>
  <r>
    <x v="0"/>
    <x v="316"/>
    <n v="22125004"/>
    <x v="0"/>
    <s v="CH (Cheque)"/>
    <s v="II. Receipts form Clients - non matured"/>
    <s v="Cheque PF"/>
    <s v="Sales of batteries - local"/>
    <s v="P/AB+TN-1690684"/>
    <s v="TND"/>
    <n v="3963.97"/>
    <n v="1"/>
    <n v="3963.97"/>
    <x v="0"/>
    <d v="2022-08-08T00:00:00"/>
    <n v="53"/>
    <d v="2022-09-30T00:00:00"/>
    <n v="-45"/>
    <s v="W39_2022"/>
    <x v="0"/>
  </r>
  <r>
    <x v="0"/>
    <x v="186"/>
    <n v="22125002"/>
    <x v="0"/>
    <s v="CH (Cheque)"/>
    <s v="II. Receipts form Clients - non matured"/>
    <s v="Cheque PF"/>
    <s v="Sales of batteries - local"/>
    <s v="P/STB+MEGRINE-0000162"/>
    <s v="TND"/>
    <n v="3000"/>
    <n v="1"/>
    <n v="3000"/>
    <x v="0"/>
    <d v="2022-08-05T00:00:00"/>
    <n v="56"/>
    <d v="2022-09-30T00:00:00"/>
    <n v="-45"/>
    <s v="W39_2022"/>
    <x v="0"/>
  </r>
  <r>
    <x v="0"/>
    <x v="317"/>
    <n v="22301752"/>
    <x v="0"/>
    <s v="CH (Cheque)"/>
    <s v="II. Receipts form Clients - non matured"/>
    <s v="Cheque PF"/>
    <s v="Sales of batteries - local"/>
    <s v="P/ATTB+SFAX-0000009"/>
    <s v="TND"/>
    <n v="2558.875"/>
    <n v="1"/>
    <n v="2558.875"/>
    <x v="0"/>
    <d v="2022-08-05T00:00:00"/>
    <n v="56"/>
    <d v="2022-09-30T00:00:00"/>
    <n v="-45"/>
    <s v="W39_2022"/>
    <x v="0"/>
  </r>
  <r>
    <x v="0"/>
    <x v="234"/>
    <n v="22301746"/>
    <x v="0"/>
    <s v="CH (Cheque)"/>
    <s v="II. Receipts form Clients - non matured"/>
    <s v="Cheque PF"/>
    <s v="Sales of batteries - local"/>
    <s v="P/BNA+SFAX-6035137"/>
    <s v="TND"/>
    <n v="2965.1179999999999"/>
    <n v="1"/>
    <n v="2965.1179999999999"/>
    <x v="0"/>
    <d v="2022-08-04T00:00:00"/>
    <n v="57"/>
    <d v="2022-09-30T00:00:00"/>
    <n v="-45"/>
    <s v="W39_2022"/>
    <x v="0"/>
  </r>
  <r>
    <x v="0"/>
    <x v="118"/>
    <n v="22301730"/>
    <x v="0"/>
    <s v="CH (Cheque)"/>
    <s v="II. Receipts form Clients - non matured"/>
    <s v="Cheque PF"/>
    <s v="Sales of batteries - local"/>
    <s v="P/BZ+SFAX-4003063"/>
    <s v="TND"/>
    <n v="8222.75"/>
    <n v="1"/>
    <n v="8222.75"/>
    <x v="0"/>
    <d v="2022-07-29T00:00:00"/>
    <n v="63"/>
    <d v="2022-09-30T00:00:00"/>
    <n v="-45"/>
    <s v="W39_2022"/>
    <x v="0"/>
  </r>
  <r>
    <x v="0"/>
    <x v="4"/>
    <n v="22301739"/>
    <x v="0"/>
    <s v="CH (Cheque)"/>
    <s v="II. Receipts form Clients - non matured"/>
    <s v="Cheque PF"/>
    <s v="Sales of batteries - local"/>
    <s v="D/BNA+CHEBBA-6036902"/>
    <s v="TND"/>
    <n v="503.35700000000003"/>
    <n v="1"/>
    <n v="503.35700000000003"/>
    <x v="0"/>
    <d v="2022-07-30T00:00:00"/>
    <n v="62"/>
    <d v="2022-09-30T00:00:00"/>
    <n v="-45"/>
    <s v="W39_2022"/>
    <x v="0"/>
  </r>
  <r>
    <x v="0"/>
    <x v="193"/>
    <n v="22301741"/>
    <x v="0"/>
    <s v="CH (Cheque)"/>
    <s v="II. Receipts form Clients - non matured"/>
    <s v="Cheque PF"/>
    <s v="Sales of batteries - local"/>
    <s v="D/STB+KERKENNAH-000209"/>
    <s v="TND"/>
    <n v="4047.4949999999999"/>
    <n v="1"/>
    <n v="4047.4949999999999"/>
    <x v="0"/>
    <d v="2022-08-04T00:00:00"/>
    <n v="57"/>
    <d v="2022-09-30T00:00:00"/>
    <n v="-45"/>
    <s v="W39_2022"/>
    <x v="0"/>
  </r>
  <r>
    <x v="0"/>
    <x v="114"/>
    <n v="22301769"/>
    <x v="0"/>
    <s v="CH (Cheque)"/>
    <s v="II. Receipts form Clients - non matured"/>
    <s v="Cheque PF"/>
    <s v="Sales of batteries - local"/>
    <s v="P/BZ+SFAX-4000666"/>
    <s v="TND"/>
    <n v="1184.4010000000001"/>
    <n v="1"/>
    <n v="1184.4010000000001"/>
    <x v="0"/>
    <d v="2022-08-05T00:00:00"/>
    <n v="56"/>
    <d v="2022-09-30T00:00:00"/>
    <n v="-45"/>
    <s v="W39_2022"/>
    <x v="0"/>
  </r>
  <r>
    <x v="0"/>
    <x v="191"/>
    <n v="22301770"/>
    <x v="0"/>
    <s v="CH (Cheque)"/>
    <s v="II. Receipts form Clients - non matured"/>
    <s v="Cheque PF"/>
    <s v="Sales of batteries - local"/>
    <s v="P/BIAT+SFAX-0000508"/>
    <s v="TND"/>
    <n v="5127.5460000000003"/>
    <n v="1"/>
    <n v="5127.5460000000003"/>
    <x v="0"/>
    <d v="2022-08-05T00:00:00"/>
    <n v="56"/>
    <d v="2022-09-30T00:00:00"/>
    <n v="-45"/>
    <s v="W39_2022"/>
    <x v="0"/>
  </r>
  <r>
    <x v="0"/>
    <x v="190"/>
    <n v="22301726"/>
    <x v="0"/>
    <s v="CH (Cheque)"/>
    <s v="II. Receipts form Clients - non matured"/>
    <s v="Cheque PF"/>
    <s v="Sales of batteries - local"/>
    <s v="P/UBCI+SFAX-6630748"/>
    <s v="TND"/>
    <n v="734.55499999999995"/>
    <n v="1"/>
    <n v="734.55499999999995"/>
    <x v="0"/>
    <d v="2022-07-29T00:00:00"/>
    <n v="63"/>
    <d v="2022-09-30T00:00:00"/>
    <n v="-45"/>
    <s v="W39_2022"/>
    <x v="0"/>
  </r>
  <r>
    <x v="0"/>
    <x v="26"/>
    <n v="22301729"/>
    <x v="0"/>
    <s v="CH (Cheque)"/>
    <s v="II. Receipts form Clients - non matured"/>
    <s v="Cheque PF"/>
    <s v="Sales of batteries - local"/>
    <s v="P/UBCI+SFAX-9306516"/>
    <s v="TND"/>
    <n v="1231.02"/>
    <n v="1"/>
    <n v="1231.02"/>
    <x v="0"/>
    <d v="2022-07-29T00:00:00"/>
    <n v="63"/>
    <d v="2022-09-30T00:00:00"/>
    <n v="-45"/>
    <s v="W39_2022"/>
    <x v="0"/>
  </r>
  <r>
    <x v="0"/>
    <x v="171"/>
    <n v="22401623"/>
    <x v="0"/>
    <s v="CH (Cheque)"/>
    <s v="II. Receipts form Clients - non matured"/>
    <s v="Cheque PF"/>
    <s v="Sales of batteries - local"/>
    <s v="D/TSB+KAIROUAN-8846436"/>
    <s v="TND"/>
    <n v="1674.12"/>
    <n v="1"/>
    <n v="1674.12"/>
    <x v="0"/>
    <d v="2022-07-23T00:00:00"/>
    <n v="69"/>
    <d v="2022-09-30T00:00:00"/>
    <n v="-45"/>
    <s v="W39_2022"/>
    <x v="0"/>
  </r>
  <r>
    <x v="0"/>
    <x v="291"/>
    <n v="22401675"/>
    <x v="0"/>
    <s v="CH (Cheque)"/>
    <s v="II. Receipts form Clients - non matured"/>
    <s v="Cheque PF"/>
    <s v="Sales of batteries - local"/>
    <s v="P/ATTIJARI+SOUSSE-0086"/>
    <s v="TND"/>
    <n v="3000"/>
    <n v="1"/>
    <n v="3000"/>
    <x v="0"/>
    <d v="2022-08-04T00:00:00"/>
    <n v="57"/>
    <d v="2022-09-30T00:00:00"/>
    <n v="-45"/>
    <s v="W39_2022"/>
    <x v="0"/>
  </r>
  <r>
    <x v="0"/>
    <x v="13"/>
    <n v="22401626"/>
    <x v="0"/>
    <s v="CH (Cheque)"/>
    <s v="II. Receipts form Clients - non matured"/>
    <s v="Cheque PF"/>
    <s v="Sales of batteries - local"/>
    <s v="D/AMEN+MOKNINE-1855155"/>
    <s v="TND"/>
    <n v="5000"/>
    <n v="1"/>
    <n v="5000"/>
    <x v="0"/>
    <d v="2022-07-23T00:00:00"/>
    <n v="69"/>
    <d v="2022-09-30T00:00:00"/>
    <n v="-45"/>
    <s v="W39_2022"/>
    <x v="0"/>
  </r>
  <r>
    <x v="0"/>
    <x v="267"/>
    <n v="22601502"/>
    <x v="0"/>
    <s v="CH (Cheque)"/>
    <s v="II. Receipts form Clients - non matured"/>
    <s v="Cheque PF"/>
    <s v="Sales of batteries - local"/>
    <s v="P/BNA+DJERBA-6143836"/>
    <s v="TND"/>
    <n v="726"/>
    <n v="1"/>
    <n v="726"/>
    <x v="0"/>
    <d v="2022-08-04T00:00:00"/>
    <n v="57"/>
    <d v="2022-09-30T00:00:00"/>
    <n v="-45"/>
    <s v="W39_2022"/>
    <x v="0"/>
  </r>
  <r>
    <x v="0"/>
    <x v="154"/>
    <n v="22601482"/>
    <x v="0"/>
    <s v="CH (Cheque)"/>
    <s v="II. Receipts form Clients - non matured"/>
    <s v="Cheque PF"/>
    <s v="Sales of batteries - local"/>
    <s v="p/amen+gabes-9607574"/>
    <s v="TND"/>
    <n v="1100"/>
    <n v="1"/>
    <n v="1100"/>
    <x v="0"/>
    <d v="2022-07-27T00:00:00"/>
    <n v="65"/>
    <d v="2022-09-30T00:00:00"/>
    <n v="-45"/>
    <s v="W39_2022"/>
    <x v="0"/>
  </r>
  <r>
    <x v="0"/>
    <x v="1"/>
    <n v="22601510"/>
    <x v="0"/>
    <s v="CH (Cheque)"/>
    <s v="II. Receipts form Clients - non matured"/>
    <s v="Cheque PF"/>
    <s v="Sales of batteries - local"/>
    <s v="P/BZ+TATOUINE-4001270"/>
    <s v="TND"/>
    <n v="1212.366"/>
    <n v="1"/>
    <n v="1212.366"/>
    <x v="0"/>
    <d v="2022-08-04T00:00:00"/>
    <n v="57"/>
    <d v="2022-09-30T00:00:00"/>
    <n v="-45"/>
    <s v="W39_2022"/>
    <x v="0"/>
  </r>
  <r>
    <x v="0"/>
    <x v="268"/>
    <n v="22701274"/>
    <x v="0"/>
    <s v="CH (Cheque)"/>
    <s v="II. Receipts form Clients - non matured"/>
    <s v="Cheque PF"/>
    <s v="Sales of batteries - local"/>
    <s v="P/ATB+TOZEUR-4468618"/>
    <s v="TND"/>
    <n v="2000"/>
    <n v="1"/>
    <n v="2000"/>
    <x v="0"/>
    <d v="2022-08-04T00:00:00"/>
    <n v="57"/>
    <d v="2022-09-30T00:00:00"/>
    <n v="-45"/>
    <s v="W39_2022"/>
    <x v="0"/>
  </r>
  <r>
    <x v="0"/>
    <x v="288"/>
    <n v="22701264"/>
    <x v="0"/>
    <s v="CH (Cheque)"/>
    <s v="II. Receipts form Clients - non matured"/>
    <s v="Cheque PF"/>
    <s v="Sales of batteries - local"/>
    <s v="P/STB+REDEYEF-0000302"/>
    <s v="TND"/>
    <n v="3500"/>
    <n v="1"/>
    <n v="3500"/>
    <x v="0"/>
    <d v="2022-08-02T00:00:00"/>
    <n v="59"/>
    <d v="2022-09-30T00:00:00"/>
    <n v="-45"/>
    <s v="W39_2022"/>
    <x v="0"/>
  </r>
  <r>
    <x v="0"/>
    <x v="156"/>
    <n v="22701271"/>
    <x v="0"/>
    <s v="CH (Cheque)"/>
    <s v="II. Receipts form Clients - non matured"/>
    <s v="Cheque PF"/>
    <s v="Sales of batteries - local"/>
    <s v="P/ZITOUNA+SBEITLA-4000"/>
    <s v="TND"/>
    <n v="2476.8440000000001"/>
    <n v="1"/>
    <n v="2476.8440000000001"/>
    <x v="0"/>
    <d v="2022-08-04T00:00:00"/>
    <n v="57"/>
    <d v="2022-09-30T00:00:00"/>
    <n v="-45"/>
    <s v="W39_2022"/>
    <x v="0"/>
  </r>
  <r>
    <x v="0"/>
    <x v="156"/>
    <n v="22701272"/>
    <x v="0"/>
    <s v="CH (Cheque)"/>
    <s v="II. Receipts form Clients - non matured"/>
    <s v="Cheque PF"/>
    <s v="Sales of batteries - local"/>
    <s v="P/ZITOUNA+SIDI BOUZID-"/>
    <s v="TND"/>
    <n v="3558.6869999999999"/>
    <n v="1"/>
    <n v="3558.6869999999999"/>
    <x v="0"/>
    <d v="2022-08-04T00:00:00"/>
    <n v="57"/>
    <d v="2022-09-30T00:00:00"/>
    <n v="-45"/>
    <s v="W39_2022"/>
    <x v="0"/>
  </r>
  <r>
    <x v="0"/>
    <x v="167"/>
    <n v="22801400"/>
    <x v="0"/>
    <s v="CH (Cheque)"/>
    <s v="II. Receipts form Clients - non matured"/>
    <s v="Cheque PF"/>
    <s v="Sales of batteries - local"/>
    <s v="P/BNA+MAKTHAR-3507044"/>
    <s v="TND"/>
    <n v="2230.9989999999998"/>
    <n v="1"/>
    <n v="2230.9989999999998"/>
    <x v="0"/>
    <d v="2022-07-29T00:00:00"/>
    <n v="63"/>
    <d v="2022-09-30T00:00:00"/>
    <n v="-45"/>
    <s v="W39_2022"/>
    <x v="0"/>
  </r>
  <r>
    <x v="0"/>
    <x v="33"/>
    <n v="22801382"/>
    <x v="0"/>
    <s v="CH (Cheque)"/>
    <s v="II. Receipts form Clients - non matured"/>
    <s v="Cheque PF"/>
    <s v="Sales of batteries - local"/>
    <s v="P/BQ ZIT+JEND-4000603"/>
    <s v="TND"/>
    <n v="3000"/>
    <n v="1"/>
    <n v="3000"/>
    <x v="0"/>
    <d v="2022-07-23T00:00:00"/>
    <n v="69"/>
    <d v="2022-09-30T00:00:00"/>
    <n v="-45"/>
    <s v="W39_2022"/>
    <x v="0"/>
  </r>
  <r>
    <x v="0"/>
    <x v="32"/>
    <n v="22801379"/>
    <x v="0"/>
    <s v="CH (Cheque)"/>
    <s v="II. Receipts form Clients - non matured"/>
    <s v="Cheque PF"/>
    <s v="Sales of batteries - local"/>
    <s v="P/BNA+MAKTHAR-6268072"/>
    <s v="TND"/>
    <n v="2832.491"/>
    <n v="1"/>
    <n v="2832.491"/>
    <x v="0"/>
    <d v="2022-07-23T00:00:00"/>
    <n v="69"/>
    <d v="2022-09-30T00:00:00"/>
    <n v="-45"/>
    <s v="W39_2022"/>
    <x v="0"/>
  </r>
  <r>
    <x v="0"/>
    <x v="10"/>
    <n v="22801404"/>
    <x v="0"/>
    <s v="CH (Cheque)"/>
    <s v="II. Receipts form Clients - non matured"/>
    <s v="Cheque PF"/>
    <s v="Sales of batteries - local"/>
    <s v="P/ATTIJ BK+TAJER-00419"/>
    <s v="TND"/>
    <n v="4230.8649999999998"/>
    <n v="1"/>
    <n v="4230.8649999999998"/>
    <x v="0"/>
    <d v="2022-08-03T00:00:00"/>
    <n v="58"/>
    <d v="2022-09-30T00:00:00"/>
    <n v="-45"/>
    <s v="W39_2022"/>
    <x v="0"/>
  </r>
  <r>
    <x v="0"/>
    <x v="147"/>
    <n v="22601390"/>
    <x v="0"/>
    <s v="CH (Cheque)"/>
    <s v="II. Receipts form Clients - non matured"/>
    <s v="Cheque PF"/>
    <s v="Sales of batteries - local"/>
    <s v="P/BIAT+JERBA-0002268"/>
    <s v="TND"/>
    <n v="3375.58"/>
    <n v="1"/>
    <n v="3375.58"/>
    <x v="0"/>
    <d v="2022-06-29T00:00:00"/>
    <n v="93"/>
    <d v="2022-09-30T00:00:00"/>
    <n v="-45"/>
    <s v="W39_2022"/>
    <x v="0"/>
  </r>
  <r>
    <x v="0"/>
    <x v="199"/>
    <n v="22601452"/>
    <x v="0"/>
    <s v="CH (Cheque)"/>
    <s v="II. Receipts form Clients - non matured"/>
    <s v="Cheque PF"/>
    <s v="Sales of batteries - local"/>
    <s v="P/BNA+GABES-4733404"/>
    <s v="TND"/>
    <n v="278.5"/>
    <n v="1"/>
    <n v="278.5"/>
    <x v="0"/>
    <d v="2022-07-21T00:00:00"/>
    <n v="71"/>
    <d v="2022-09-30T00:00:00"/>
    <n v="-45"/>
    <s v="W39_2022"/>
    <x v="0"/>
  </r>
  <r>
    <x v="0"/>
    <x v="318"/>
    <n v="22601428"/>
    <x v="0"/>
    <s v="CH (Cheque)"/>
    <s v="II. Receipts form Clients - non matured"/>
    <s v="Cheque PF"/>
    <s v="Sales of batteries - local"/>
    <s v="P/BZ+MARETH-4000163"/>
    <s v="TND"/>
    <n v="1839.1079999999999"/>
    <n v="1"/>
    <n v="1839.1079999999999"/>
    <x v="0"/>
    <d v="2022-07-13T00:00:00"/>
    <n v="79"/>
    <d v="2022-09-30T00:00:00"/>
    <n v="-45"/>
    <s v="W39_2022"/>
    <x v="0"/>
  </r>
  <r>
    <x v="0"/>
    <x v="201"/>
    <n v="22601434"/>
    <x v="0"/>
    <s v="CH (Cheque)"/>
    <s v="II. Receipts form Clients - non matured"/>
    <s v="Cheque PF"/>
    <s v="Sales of batteries - local"/>
    <s v="P/BH+DJERBA-1839701"/>
    <s v="TND"/>
    <n v="1574.585"/>
    <n v="1"/>
    <n v="1574.585"/>
    <x v="0"/>
    <d v="2022-07-18T00:00:00"/>
    <n v="74"/>
    <d v="2022-09-30T00:00:00"/>
    <n v="-45"/>
    <s v="W39_2022"/>
    <x v="0"/>
  </r>
  <r>
    <x v="0"/>
    <x v="203"/>
    <n v="22601436"/>
    <x v="0"/>
    <s v="CH (Cheque)"/>
    <s v="II. Receipts form Clients - non matured"/>
    <s v="Cheque PF"/>
    <s v="Sales of batteries - local"/>
    <s v="P/ATB+JERBA-6206709"/>
    <s v="TND"/>
    <n v="2653.8620000000001"/>
    <n v="1"/>
    <n v="2653.8620000000001"/>
    <x v="0"/>
    <d v="2022-07-18T00:00:00"/>
    <n v="74"/>
    <d v="2022-09-30T00:00:00"/>
    <n v="-45"/>
    <s v="W39_2022"/>
    <x v="0"/>
  </r>
  <r>
    <x v="0"/>
    <x v="264"/>
    <n v="22601387"/>
    <x v="0"/>
    <s v="CH (Cheque)"/>
    <s v="II. Receipts form Clients - non matured"/>
    <s v="Cheque PF"/>
    <s v="Sales of batteries - local"/>
    <s v="P/BNA+GABES-5703595"/>
    <s v="TND"/>
    <n v="1734.7239999999999"/>
    <n v="1"/>
    <n v="1734.7239999999999"/>
    <x v="0"/>
    <d v="2022-06-24T00:00:00"/>
    <n v="98"/>
    <d v="2022-09-30T00:00:00"/>
    <n v="-45"/>
    <s v="W39_2022"/>
    <x v="0"/>
  </r>
  <r>
    <x v="0"/>
    <x v="202"/>
    <n v="22601399"/>
    <x v="0"/>
    <s v="CH (Cheque)"/>
    <s v="II. Receipts form Clients - non matured"/>
    <s v="Cheque PF"/>
    <s v="Sales of batteries - local"/>
    <s v="P/UIB+GABES-2181547"/>
    <s v="TND"/>
    <n v="3548.6129999999998"/>
    <n v="1"/>
    <n v="3548.6129999999998"/>
    <x v="0"/>
    <d v="2022-06-29T00:00:00"/>
    <n v="93"/>
    <d v="2022-09-30T00:00:00"/>
    <n v="-45"/>
    <s v="W39_2022"/>
    <x v="0"/>
  </r>
  <r>
    <x v="0"/>
    <x v="9"/>
    <n v="22601353"/>
    <x v="0"/>
    <s v="CH (Cheque)"/>
    <s v="II. Receipts form Clients - non matured"/>
    <s v="Cheque PF"/>
    <s v="Sales of batteries - local"/>
    <s v="P/BTL+GABES-3010832"/>
    <s v="TND"/>
    <n v="582.37199999999996"/>
    <n v="1"/>
    <n v="582.37199999999996"/>
    <x v="0"/>
    <d v="2022-06-15T00:00:00"/>
    <n v="107"/>
    <d v="2022-09-30T00:00:00"/>
    <n v="-45"/>
    <s v="W39_2022"/>
    <x v="0"/>
  </r>
  <r>
    <x v="0"/>
    <x v="160"/>
    <n v="22701225"/>
    <x v="0"/>
    <s v="CH (Cheque)"/>
    <s v="II. Receipts form Clients - non matured"/>
    <s v="Cheque PF"/>
    <s v="Sales of batteries - local"/>
    <s v="P/STB+FERIANNA-0000942"/>
    <s v="TND"/>
    <n v="1907.271"/>
    <n v="1"/>
    <n v="1907.271"/>
    <x v="0"/>
    <d v="2022-07-11T00:00:00"/>
    <n v="81"/>
    <d v="2022-09-30T00:00:00"/>
    <n v="-45"/>
    <s v="W39_2022"/>
    <x v="0"/>
  </r>
  <r>
    <x v="0"/>
    <x v="30"/>
    <n v="22701243"/>
    <x v="0"/>
    <s v="CH (Cheque)"/>
    <s v="II. Receipts form Clients - non matured"/>
    <s v="Cheque PF"/>
    <s v="Sales of batteries - local"/>
    <s v="P/BNA+THALA-5940248"/>
    <s v="TND"/>
    <n v="3750"/>
    <n v="1"/>
    <n v="3750"/>
    <x v="0"/>
    <d v="2022-07-16T00:00:00"/>
    <n v="76"/>
    <d v="2022-09-30T00:00:00"/>
    <n v="-45"/>
    <s v="W39_2022"/>
    <x v="0"/>
  </r>
  <r>
    <x v="0"/>
    <x v="319"/>
    <n v="22701211"/>
    <x v="0"/>
    <s v="CH (Cheque)"/>
    <s v="II. Receipts form Clients - non matured"/>
    <s v="Cheque PF"/>
    <s v="Sales of batteries - local"/>
    <s v="P/UIB+BEN AOUN-2331871"/>
    <s v="TND"/>
    <n v="1980"/>
    <n v="1"/>
    <n v="1980"/>
    <x v="0"/>
    <d v="2022-06-21T00:00:00"/>
    <n v="101"/>
    <d v="2022-09-30T00:00:00"/>
    <n v="-45"/>
    <s v="W39_2022"/>
    <x v="0"/>
  </r>
  <r>
    <x v="0"/>
    <x v="157"/>
    <n v="22701221"/>
    <x v="0"/>
    <s v="CH (Cheque)"/>
    <s v="II. Receipts form Clients - non matured"/>
    <s v="Cheque PF"/>
    <s v="Sales of batteries - local"/>
    <s v="P/BNA+METLAOUI-5348295"/>
    <s v="TND"/>
    <n v="6012.3310000000001"/>
    <n v="1"/>
    <n v="6012.3310000000001"/>
    <x v="0"/>
    <d v="2022-07-05T00:00:00"/>
    <n v="87"/>
    <d v="2022-09-30T00:00:00"/>
    <n v="-45"/>
    <s v="W39_2022"/>
    <x v="0"/>
  </r>
  <r>
    <x v="0"/>
    <x v="206"/>
    <n v="22701234"/>
    <x v="0"/>
    <s v="CH (Cheque)"/>
    <s v="II. Receipts form Clients - non matured"/>
    <s v="Cheque PF"/>
    <s v="Sales of batteries - local"/>
    <s v="P/BIAT+KEBILI-0001992"/>
    <s v="TND"/>
    <n v="2200"/>
    <n v="1"/>
    <n v="2200"/>
    <x v="0"/>
    <d v="2022-07-14T00:00:00"/>
    <n v="78"/>
    <d v="2022-09-30T00:00:00"/>
    <n v="-45"/>
    <s v="W39_2022"/>
    <x v="0"/>
  </r>
  <r>
    <x v="0"/>
    <x v="159"/>
    <n v="22701223"/>
    <x v="0"/>
    <s v="CH (Cheque)"/>
    <s v="II. Receipts form Clients - non matured"/>
    <s v="Cheque PF"/>
    <s v="Sales of batteries - local"/>
    <s v="P/ATTIJARI+REDEYEF-000"/>
    <s v="TND"/>
    <n v="6066.3739999999998"/>
    <n v="1"/>
    <n v="6066.3739999999998"/>
    <x v="0"/>
    <d v="2022-07-06T00:00:00"/>
    <n v="86"/>
    <d v="2022-09-30T00:00:00"/>
    <n v="-45"/>
    <s v="W39_2022"/>
    <x v="0"/>
  </r>
  <r>
    <x v="0"/>
    <x v="89"/>
    <n v="22701218"/>
    <x v="0"/>
    <s v="CH (Cheque)"/>
    <s v="II. Receipts form Clients - non matured"/>
    <s v="Cheque PF"/>
    <s v="Sales of batteries - local"/>
    <s v="P/BNA+MEKNASY-6099074"/>
    <s v="TND"/>
    <n v="2981.297"/>
    <n v="1"/>
    <n v="2981.297"/>
    <x v="0"/>
    <d v="2022-06-30T00:00:00"/>
    <n v="92"/>
    <d v="2022-09-30T00:00:00"/>
    <n v="-45"/>
    <s v="W39_2022"/>
    <x v="0"/>
  </r>
  <r>
    <x v="0"/>
    <x v="34"/>
    <n v="22801315"/>
    <x v="0"/>
    <s v="CH (Cheque)"/>
    <s v="II. Receipts form Clients - non matured"/>
    <s v="Cheque PF"/>
    <s v="Sales of batteries - local"/>
    <s v="P/BNA+BEJA-5352883"/>
    <s v="TND"/>
    <n v="1070.3050000000001"/>
    <n v="1"/>
    <n v="1070.3050000000001"/>
    <x v="0"/>
    <d v="2022-06-20T00:00:00"/>
    <n v="102"/>
    <d v="2022-09-30T00:00:00"/>
    <n v="-45"/>
    <s v="W39_2022"/>
    <x v="0"/>
  </r>
  <r>
    <x v="0"/>
    <x v="19"/>
    <n v="22801278"/>
    <x v="0"/>
    <s v="CH (Cheque)"/>
    <s v="II. Receipts form Clients - non matured"/>
    <s v="Cheque PF"/>
    <s v="Sales of batteries - local"/>
    <s v="P/BNA+TESTOUR-4118662"/>
    <s v="TND"/>
    <n v="2000"/>
    <n v="1"/>
    <n v="2000"/>
    <x v="0"/>
    <d v="2022-06-07T00:00:00"/>
    <n v="115"/>
    <d v="2022-09-30T00:00:00"/>
    <n v="-45"/>
    <s v="W39_2022"/>
    <x v="0"/>
  </r>
  <r>
    <x v="0"/>
    <x v="162"/>
    <n v="22801345"/>
    <x v="0"/>
    <s v="CH (Cheque)"/>
    <s v="II. Receipts form Clients - non matured"/>
    <s v="Cheque PF"/>
    <s v="Sales of batteries - local"/>
    <s v="P/BT+SILI-9035786"/>
    <s v="TND"/>
    <n v="7848.384"/>
    <n v="1"/>
    <n v="7848.384"/>
    <x v="0"/>
    <d v="2022-07-08T00:00:00"/>
    <n v="84"/>
    <d v="2022-09-30T00:00:00"/>
    <n v="-45"/>
    <s v="W39_2022"/>
    <x v="0"/>
  </r>
  <r>
    <x v="0"/>
    <x v="208"/>
    <n v="22801355"/>
    <x v="0"/>
    <s v="CH (Cheque)"/>
    <s v="II. Receipts form Clients - non matured"/>
    <s v="Cheque PF"/>
    <s v="Sales of batteries - local"/>
    <s v="P/BT+KEF-8447475"/>
    <s v="TND"/>
    <n v="2089.2860000000001"/>
    <n v="1"/>
    <n v="2089.2860000000001"/>
    <x v="0"/>
    <d v="2022-07-15T00:00:00"/>
    <n v="77"/>
    <d v="2022-09-30T00:00:00"/>
    <n v="-45"/>
    <s v="W39_2022"/>
    <x v="0"/>
  </r>
  <r>
    <x v="0"/>
    <x v="163"/>
    <n v="22801290"/>
    <x v="0"/>
    <s v="CH (Cheque)"/>
    <s v="II. Receipts form Clients - non matured"/>
    <s v="Cheque PF"/>
    <s v="Sales of batteries - local"/>
    <s v="P/BH+SILI-0160082"/>
    <s v="TND"/>
    <n v="4394.5190000000002"/>
    <n v="1"/>
    <n v="4394.5190000000002"/>
    <x v="0"/>
    <d v="2022-06-10T00:00:00"/>
    <n v="112"/>
    <d v="2022-09-30T00:00:00"/>
    <n v="-45"/>
    <s v="W39_2022"/>
    <x v="0"/>
  </r>
  <r>
    <x v="0"/>
    <x v="165"/>
    <n v="22801289"/>
    <x v="0"/>
    <s v="CH (Cheque)"/>
    <s v="II. Receipts form Clients - non matured"/>
    <s v="Cheque PF"/>
    <s v="Sales of batteries - local"/>
    <s v="P/BT+SILI-8884091"/>
    <s v="TND"/>
    <n v="3176.922"/>
    <n v="1"/>
    <n v="3176.922"/>
    <x v="0"/>
    <d v="2022-06-10T00:00:00"/>
    <n v="112"/>
    <d v="2022-09-30T00:00:00"/>
    <n v="-45"/>
    <s v="W39_2022"/>
    <x v="0"/>
  </r>
  <r>
    <x v="0"/>
    <x v="164"/>
    <n v="22801342"/>
    <x v="0"/>
    <s v="CH (Cheque)"/>
    <s v="II. Receipts form Clients - non matured"/>
    <s v="Cheque PF"/>
    <s v="Sales of batteries - local"/>
    <s v="P/BNA+ERROUH-5794224"/>
    <s v="TND"/>
    <n v="4000"/>
    <n v="1"/>
    <n v="4000"/>
    <x v="0"/>
    <d v="2022-07-08T00:00:00"/>
    <n v="84"/>
    <d v="2022-09-30T00:00:00"/>
    <n v="-45"/>
    <s v="W39_2022"/>
    <x v="0"/>
  </r>
  <r>
    <x v="0"/>
    <x v="320"/>
    <n v="22801268"/>
    <x v="0"/>
    <s v="CH (Cheque)"/>
    <s v="II. Receipts form Clients - non matured"/>
    <s v="Cheque PF"/>
    <s v="Sales of batteries - local"/>
    <s v="P/ATTIJ BK+BOUSALEM-00"/>
    <s v="TND"/>
    <n v="3845.0709999999999"/>
    <n v="1"/>
    <n v="3845.0709999999999"/>
    <x v="0"/>
    <d v="2022-06-02T00:00:00"/>
    <n v="120"/>
    <d v="2022-09-30T00:00:00"/>
    <n v="-45"/>
    <s v="W39_2022"/>
    <x v="0"/>
  </r>
  <r>
    <x v="0"/>
    <x v="207"/>
    <n v="22801370"/>
    <x v="0"/>
    <s v="CH (Cheque)"/>
    <s v="II. Receipts form Clients - non matured"/>
    <s v="Cheque PF"/>
    <s v="Sales of batteries - local"/>
    <s v="P/BIAT+TESTOUR-0000338"/>
    <s v="TND"/>
    <n v="4363.5640000000003"/>
    <n v="1"/>
    <n v="4363.5640000000003"/>
    <x v="0"/>
    <d v="2022-07-22T00:00:00"/>
    <n v="70"/>
    <d v="2022-09-30T00:00:00"/>
    <n v="-45"/>
    <s v="W39_2022"/>
    <x v="0"/>
  </r>
  <r>
    <x v="0"/>
    <x v="122"/>
    <n v="22801373"/>
    <x v="0"/>
    <s v="CH (Cheque)"/>
    <s v="II. Receipts form Clients - non matured"/>
    <s v="Cheque PF"/>
    <s v="Sales of batteries - local"/>
    <s v="P/ATB+BOUROIS-6231347"/>
    <s v="TND"/>
    <n v="1487.4829999999999"/>
    <n v="1"/>
    <n v="1487.4829999999999"/>
    <x v="0"/>
    <d v="2022-07-22T00:00:00"/>
    <n v="70"/>
    <d v="2022-09-30T00:00:00"/>
    <n v="-45"/>
    <s v="W39_2022"/>
    <x v="0"/>
  </r>
  <r>
    <x v="0"/>
    <x v="244"/>
    <n v="22401457"/>
    <x v="0"/>
    <s v="CH (Cheque)"/>
    <s v="II. Receipts form Clients - non matured"/>
    <s v="Cheque PF"/>
    <s v="Sales of batteries - local"/>
    <s v="D/BT+JEMMAL-8673762"/>
    <s v="TND"/>
    <n v="5543.2250000000004"/>
    <n v="1"/>
    <n v="5543.2250000000004"/>
    <x v="0"/>
    <d v="2022-06-11T00:00:00"/>
    <n v="111"/>
    <d v="2022-09-30T00:00:00"/>
    <n v="-45"/>
    <s v="W39_2022"/>
    <x v="0"/>
  </r>
  <r>
    <x v="0"/>
    <x v="74"/>
    <n v="22401435"/>
    <x v="0"/>
    <s v="CH (Cheque)"/>
    <s v="II. Receipts form Clients - non matured"/>
    <s v="Cheque PF"/>
    <s v="Sales of batteries - local"/>
    <s v="D/BITA+MONASTIR-000771"/>
    <s v="TND"/>
    <n v="1003.949"/>
    <n v="1"/>
    <n v="1003.949"/>
    <x v="0"/>
    <d v="2022-05-31T00:00:00"/>
    <n v="122"/>
    <d v="2022-09-30T00:00:00"/>
    <n v="-45"/>
    <s v="W39_2022"/>
    <x v="0"/>
  </r>
  <r>
    <x v="0"/>
    <x v="321"/>
    <n v="22401452"/>
    <x v="0"/>
    <s v="CH (Cheque)"/>
    <s v="II. Receipts form Clients - non matured"/>
    <s v="Cheque PF"/>
    <s v="Sales of batteries - local"/>
    <s v="D/UBCI+KAIROUAN-849238"/>
    <s v="TND"/>
    <n v="2311.114"/>
    <n v="1"/>
    <n v="2311.114"/>
    <x v="0"/>
    <d v="2022-06-09T00:00:00"/>
    <n v="113"/>
    <d v="2022-09-30T00:00:00"/>
    <n v="-45"/>
    <s v="W39_2022"/>
    <x v="0"/>
  </r>
  <r>
    <x v="0"/>
    <x v="96"/>
    <n v="22401539"/>
    <x v="0"/>
    <s v="CH (Cheque)"/>
    <s v="II. Receipts form Clients - non matured"/>
    <s v="Cheque PF"/>
    <s v="Sales of batteries - local"/>
    <s v="P/UIB+KALAA KEBIRA-232"/>
    <s v="TND"/>
    <n v="1078.2280000000001"/>
    <n v="1"/>
    <n v="1078.2280000000001"/>
    <x v="0"/>
    <d v="2022-06-30T00:00:00"/>
    <n v="92"/>
    <d v="2022-09-30T00:00:00"/>
    <n v="-45"/>
    <s v="W39_2022"/>
    <x v="0"/>
  </r>
  <r>
    <x v="0"/>
    <x v="291"/>
    <n v="22401583"/>
    <x v="0"/>
    <s v="CH (Cheque)"/>
    <s v="II. Receipts form Clients - non matured"/>
    <s v="Cheque PF"/>
    <s v="Sales of batteries - local"/>
    <s v="P/ATTIJARI+SOUSSE-0086"/>
    <s v="TND"/>
    <n v="3800"/>
    <n v="1"/>
    <n v="3800"/>
    <x v="0"/>
    <d v="2022-07-07T00:00:00"/>
    <n v="85"/>
    <d v="2022-09-30T00:00:00"/>
    <n v="-45"/>
    <s v="W39_2022"/>
    <x v="0"/>
  </r>
  <r>
    <x v="0"/>
    <x v="215"/>
    <n v="22401385"/>
    <x v="0"/>
    <s v="CH (Cheque)"/>
    <s v="II. Receipts form Clients - non matured"/>
    <s v="Cheque PF"/>
    <s v="Sales of batteries - local"/>
    <s v="D/BNA+JEMMAL-4448641"/>
    <s v="TND"/>
    <n v="2000"/>
    <n v="1"/>
    <n v="2000"/>
    <x v="0"/>
    <d v="2022-05-20T00:00:00"/>
    <n v="133"/>
    <d v="2022-09-30T00:00:00"/>
    <n v="-45"/>
    <s v="W39_2022"/>
    <x v="0"/>
  </r>
  <r>
    <x v="0"/>
    <x v="252"/>
    <n v="22401419"/>
    <x v="0"/>
    <s v="CH (Cheque)"/>
    <s v="II. Receipts form Clients - non matured"/>
    <s v="Cheque PF"/>
    <s v="Sales of batteries - local"/>
    <s v="D/UIB+KALAA KEBIRA-232"/>
    <s v="TND"/>
    <n v="3300"/>
    <n v="1"/>
    <n v="3300"/>
    <x v="0"/>
    <d v="2022-05-30T00:00:00"/>
    <n v="123"/>
    <d v="2022-09-30T00:00:00"/>
    <n v="-45"/>
    <s v="W39_2022"/>
    <x v="0"/>
  </r>
  <r>
    <x v="0"/>
    <x v="213"/>
    <n v="22401486"/>
    <x v="0"/>
    <s v="CH (Cheque)"/>
    <s v="II. Receipts form Clients - non matured"/>
    <s v="Cheque PF"/>
    <s v="Sales of batteries - local"/>
    <s v="P/BIAT+SOUSSE-0003506"/>
    <s v="TND"/>
    <n v="1094.52"/>
    <n v="1"/>
    <n v="1094.52"/>
    <x v="0"/>
    <d v="2022-06-17T00:00:00"/>
    <n v="105"/>
    <d v="2022-09-30T00:00:00"/>
    <n v="-45"/>
    <s v="W39_2022"/>
    <x v="0"/>
  </r>
  <r>
    <x v="0"/>
    <x v="322"/>
    <n v="22401487"/>
    <x v="0"/>
    <s v="CH (Cheque)"/>
    <s v="II. Receipts form Clients - non matured"/>
    <s v="Cheque PF"/>
    <s v="Sales of batteries - local"/>
    <s v="D/BTK+MONASTIR-8461831"/>
    <s v="TND"/>
    <n v="1289.652"/>
    <n v="1"/>
    <n v="1289.652"/>
    <x v="0"/>
    <d v="2022-06-17T00:00:00"/>
    <n v="105"/>
    <d v="2022-09-30T00:00:00"/>
    <n v="-45"/>
    <s v="W39_2022"/>
    <x v="0"/>
  </r>
  <r>
    <x v="0"/>
    <x v="64"/>
    <n v="22401593"/>
    <x v="0"/>
    <s v="CH (Cheque)"/>
    <s v="II. Receipts form Clients - non matured"/>
    <s v="Cheque PF"/>
    <s v="Sales of batteries - local"/>
    <s v="D/BNA+HAFFOUZ-5735746"/>
    <s v="TND"/>
    <n v="4134.1639999999998"/>
    <n v="1"/>
    <n v="4134.1639999999998"/>
    <x v="0"/>
    <d v="2022-07-16T00:00:00"/>
    <n v="76"/>
    <d v="2022-09-30T00:00:00"/>
    <n v="-45"/>
    <s v="W39_2022"/>
    <x v="0"/>
  </r>
  <r>
    <x v="0"/>
    <x v="216"/>
    <n v="22401513"/>
    <x v="0"/>
    <s v="CH (Cheque)"/>
    <s v="II. Receipts form Clients - non matured"/>
    <s v="Cheque PF"/>
    <s v="Sales of batteries - local"/>
    <s v="P/ALBARAKA+MSAKEN-7942"/>
    <s v="TND"/>
    <n v="757.64700000000005"/>
    <n v="1"/>
    <n v="757.64700000000005"/>
    <x v="0"/>
    <d v="2022-06-27T00:00:00"/>
    <n v="95"/>
    <d v="2022-09-30T00:00:00"/>
    <n v="-45"/>
    <s v="W39_2022"/>
    <x v="0"/>
  </r>
  <r>
    <x v="0"/>
    <x v="169"/>
    <n v="22401514"/>
    <x v="0"/>
    <s v="CH (Cheque)"/>
    <s v="II. Receipts form Clients - non matured"/>
    <s v="Cheque PF"/>
    <s v="Sales of batteries - local"/>
    <s v="D/BT+BOUHAJLA-8571009"/>
    <s v="TND"/>
    <n v="1864.578"/>
    <n v="1"/>
    <n v="1864.578"/>
    <x v="0"/>
    <d v="2022-06-28T00:00:00"/>
    <n v="94"/>
    <d v="2022-09-30T00:00:00"/>
    <n v="-45"/>
    <s v="W39_2022"/>
    <x v="0"/>
  </r>
  <r>
    <x v="0"/>
    <x v="229"/>
    <n v="22124838"/>
    <x v="0"/>
    <s v="CH (Cheque)"/>
    <s v="II. Receipts form Clients - non matured"/>
    <s v="Cheque PF"/>
    <s v="Sales of batteries - local"/>
    <s v="P/BZ+TN-4002142"/>
    <s v="TND"/>
    <n v="667.67700000000002"/>
    <n v="1"/>
    <n v="667.67700000000002"/>
    <x v="0"/>
    <d v="2022-07-14T00:00:00"/>
    <n v="78"/>
    <d v="2022-09-30T00:00:00"/>
    <n v="-45"/>
    <s v="W39_2022"/>
    <x v="0"/>
  </r>
  <r>
    <x v="0"/>
    <x v="97"/>
    <n v="22124571"/>
    <x v="0"/>
    <s v="CH (Cheque)"/>
    <s v="II. Receipts form Clients - non matured"/>
    <s v="Cheque PF"/>
    <s v="Sales of batteries - local"/>
    <s v="P/BIAT+BEN AROUS-00000"/>
    <s v="TND"/>
    <n v="9000"/>
    <n v="1"/>
    <n v="9000"/>
    <x v="0"/>
    <d v="2022-06-02T00:00:00"/>
    <n v="120"/>
    <d v="2022-09-30T00:00:00"/>
    <n v="-45"/>
    <s v="W39_2022"/>
    <x v="0"/>
  </r>
  <r>
    <x v="0"/>
    <x v="7"/>
    <n v="22124597"/>
    <x v="0"/>
    <s v="CH (Cheque)"/>
    <s v="II. Receipts form Clients - non matured"/>
    <s v="Cheque PF"/>
    <s v="Sales of batteries - local"/>
    <s v="P/BIAT+RAOUED-0003532"/>
    <s v="TND"/>
    <n v="1112.557"/>
    <n v="1"/>
    <n v="1112.557"/>
    <x v="0"/>
    <d v="2022-06-10T00:00:00"/>
    <n v="112"/>
    <d v="2022-09-30T00:00:00"/>
    <n v="-45"/>
    <s v="W39_2022"/>
    <x v="0"/>
  </r>
  <r>
    <x v="0"/>
    <x v="219"/>
    <n v="22124821"/>
    <x v="0"/>
    <s v="CH (Cheque)"/>
    <s v="II. Receipts form Clients - non matured"/>
    <s v="Cheque PF"/>
    <s v="Sales of batteries - local"/>
    <s v="P/ATTJ BQ+BOUFICHA-008"/>
    <s v="TND"/>
    <n v="1497.338"/>
    <n v="1"/>
    <n v="1497.338"/>
    <x v="0"/>
    <d v="2022-07-12T00:00:00"/>
    <n v="80"/>
    <d v="2022-09-30T00:00:00"/>
    <n v="-45"/>
    <s v="W39_2022"/>
    <x v="0"/>
  </r>
  <r>
    <x v="0"/>
    <x v="135"/>
    <n v="22124854"/>
    <x v="0"/>
    <s v="CH (Cheque)"/>
    <s v="II. Receipts form Clients - non matured"/>
    <s v="Cheque PF"/>
    <s v="Sales of batteries - local"/>
    <s v="P/ATB+EZZAHRA-5232170"/>
    <s v="TND"/>
    <n v="1532.836"/>
    <n v="1"/>
    <n v="1532.836"/>
    <x v="0"/>
    <d v="2022-07-18T00:00:00"/>
    <n v="74"/>
    <d v="2022-09-30T00:00:00"/>
    <n v="-45"/>
    <s v="W39_2022"/>
    <x v="0"/>
  </r>
  <r>
    <x v="0"/>
    <x v="173"/>
    <n v="22124425"/>
    <x v="0"/>
    <s v="CH (Cheque)"/>
    <s v="II. Receipts form Clients - non matured"/>
    <s v="Cheque PF"/>
    <s v="Sales of batteries - local"/>
    <s v="P/AMEN B+MORNAGUIA-782"/>
    <s v="TND"/>
    <n v="5060.1980000000003"/>
    <n v="1"/>
    <n v="5060.1980000000003"/>
    <x v="0"/>
    <d v="2022-05-18T00:00:00"/>
    <n v="135"/>
    <d v="2022-09-30T00:00:00"/>
    <n v="-45"/>
    <s v="W39_2022"/>
    <x v="0"/>
  </r>
  <r>
    <x v="0"/>
    <x v="224"/>
    <n v="22124814"/>
    <x v="0"/>
    <s v="CH (Cheque)"/>
    <s v="II. Receipts form Clients - non matured"/>
    <s v="Cheque PF"/>
    <s v="Sales of batteries - local"/>
    <s v="P/UIB+EL OUARDIA-11367"/>
    <s v="TND"/>
    <n v="2061.7199999999998"/>
    <n v="1"/>
    <n v="2061.7199999999998"/>
    <x v="0"/>
    <d v="2022-07-07T00:00:00"/>
    <n v="85"/>
    <d v="2022-09-30T00:00:00"/>
    <n v="-45"/>
    <s v="W39_2022"/>
    <x v="0"/>
  </r>
  <r>
    <x v="0"/>
    <x v="294"/>
    <n v="22124796"/>
    <x v="0"/>
    <s v="CH (Cheque)"/>
    <s v="II. Receipts form Clients - non matured"/>
    <s v="Cheque PF"/>
    <s v="Sales of batteries - local"/>
    <s v="P/BQ ZAIT+ENNASR-40012"/>
    <s v="TND"/>
    <n v="1000"/>
    <n v="1"/>
    <n v="1000"/>
    <x v="0"/>
    <d v="2022-06-30T00:00:00"/>
    <n v="92"/>
    <d v="2022-09-30T00:00:00"/>
    <n v="-45"/>
    <s v="W39_2022"/>
    <x v="0"/>
  </r>
  <r>
    <x v="0"/>
    <x v="178"/>
    <n v="22124613"/>
    <x v="0"/>
    <s v="CH (Cheque)"/>
    <s v="II. Receipts form Clients - non matured"/>
    <s v="Cheque PF"/>
    <s v="Sales of batteries - local"/>
    <s v="P/ATB+EL KHADRA-600380"/>
    <s v="TND"/>
    <n v="7779.9040000000005"/>
    <n v="1"/>
    <n v="7779.9040000000005"/>
    <x v="0"/>
    <d v="2022-06-13T00:00:00"/>
    <n v="109"/>
    <d v="2022-09-30T00:00:00"/>
    <n v="-45"/>
    <s v="W39_2022"/>
    <x v="0"/>
  </r>
  <r>
    <x v="0"/>
    <x v="100"/>
    <n v="22124802"/>
    <x v="0"/>
    <s v="CH (Cheque)"/>
    <s v="II. Receipts form Clients - non matured"/>
    <s v="Cheque PF"/>
    <s v="Sales of batteries - local"/>
    <s v="P/BNA+TN-5439891"/>
    <s v="TND"/>
    <n v="971.15800000000002"/>
    <n v="1"/>
    <n v="971.15800000000002"/>
    <x v="0"/>
    <d v="2022-06-30T00:00:00"/>
    <n v="92"/>
    <d v="2022-09-30T00:00:00"/>
    <n v="-45"/>
    <s v="W39_2022"/>
    <x v="0"/>
  </r>
  <r>
    <x v="0"/>
    <x v="223"/>
    <n v="22124811"/>
    <x v="0"/>
    <s v="CH (Cheque)"/>
    <s v="II. Receipts form Clients - non matured"/>
    <s v="Cheque PF"/>
    <s v="Sales of batteries - local"/>
    <s v="P/BT+BOUMHAL-8999979"/>
    <s v="TND"/>
    <n v="1643.54"/>
    <n v="1"/>
    <n v="1643.54"/>
    <x v="0"/>
    <d v="2022-07-05T00:00:00"/>
    <n v="87"/>
    <d v="2022-09-30T00:00:00"/>
    <n v="-45"/>
    <s v="W39_2022"/>
    <x v="0"/>
  </r>
  <r>
    <x v="0"/>
    <x v="101"/>
    <n v="22124637"/>
    <x v="0"/>
    <s v="CH (Cheque)"/>
    <s v="II. Receipts form Clients - non matured"/>
    <s v="Cheque PF"/>
    <s v="Sales of batteries - local"/>
    <s v="P/STB+FOUCHANA-0004403"/>
    <s v="TND"/>
    <n v="1000"/>
    <n v="1"/>
    <n v="1000"/>
    <x v="0"/>
    <d v="2022-06-16T00:00:00"/>
    <n v="106"/>
    <d v="2022-09-30T00:00:00"/>
    <n v="-45"/>
    <s v="W39_2022"/>
    <x v="0"/>
  </r>
  <r>
    <x v="0"/>
    <x v="323"/>
    <n v="22124634"/>
    <x v="0"/>
    <s v="CH (Cheque)"/>
    <s v="II. Receipts form Clients - non matured"/>
    <s v="Cheque PF"/>
    <s v="Sales of batteries - local"/>
    <s v="P/AL BARA+HAMMAM LIF-8"/>
    <s v="TND"/>
    <n v="894.55200000000002"/>
    <n v="1"/>
    <n v="894.55200000000002"/>
    <x v="0"/>
    <d v="2022-06-16T00:00:00"/>
    <n v="106"/>
    <d v="2022-09-30T00:00:00"/>
    <n v="-45"/>
    <s v="W39_2022"/>
    <x v="0"/>
  </r>
  <r>
    <x v="0"/>
    <x v="60"/>
    <n v="22124824"/>
    <x v="0"/>
    <s v="CH (Cheque)"/>
    <s v="II. Receipts form Clients - non matured"/>
    <s v="Cheque PF"/>
    <s v="Sales of batteries - local"/>
    <s v="P/ATTJ BQ+EL HRAIRIA-0"/>
    <s v="TND"/>
    <n v="1144.4860000000001"/>
    <n v="1"/>
    <n v="1144.4860000000001"/>
    <x v="0"/>
    <d v="2022-07-12T00:00:00"/>
    <n v="80"/>
    <d v="2022-09-30T00:00:00"/>
    <n v="-45"/>
    <s v="W39_2022"/>
    <x v="0"/>
  </r>
  <r>
    <x v="0"/>
    <x v="177"/>
    <n v="22124652"/>
    <x v="0"/>
    <s v="CH (Cheque)"/>
    <s v="II. Receipts form Clients - non matured"/>
    <s v="Cheque PF"/>
    <s v="Sales of batteries - local"/>
    <s v="P/ATTJ BQ+EL FAHS-0080"/>
    <s v="TND"/>
    <n v="2831.846"/>
    <n v="1"/>
    <n v="2831.846"/>
    <x v="0"/>
    <d v="2022-06-17T00:00:00"/>
    <n v="105"/>
    <d v="2022-09-30T00:00:00"/>
    <n v="-45"/>
    <s v="W39_2022"/>
    <x v="0"/>
  </r>
  <r>
    <x v="0"/>
    <x v="65"/>
    <n v="22124857"/>
    <x v="0"/>
    <s v="CH (Cheque)"/>
    <s v="II. Receipts form Clients - non matured"/>
    <s v="Cheque PF"/>
    <s v="Sales of batteries - local"/>
    <s v="P/ATB+BIZERTE-6159754"/>
    <s v="TND"/>
    <n v="9400.4150000000009"/>
    <n v="1"/>
    <n v="9400.4150000000009"/>
    <x v="0"/>
    <d v="2022-07-19T00:00:00"/>
    <n v="73"/>
    <d v="2022-09-30T00:00:00"/>
    <n v="-45"/>
    <s v="W39_2022"/>
    <x v="0"/>
  </r>
  <r>
    <x v="0"/>
    <x v="104"/>
    <n v="22124676"/>
    <x v="0"/>
    <s v="CH (Cheque)"/>
    <s v="II. Receipts form Clients - non matured"/>
    <s v="Cheque PF"/>
    <s v="Sales of batteries - local"/>
    <s v="P/BIAT+ARIANA-0001981"/>
    <s v="TND"/>
    <n v="2283.8449999999998"/>
    <n v="1"/>
    <n v="2283.8449999999998"/>
    <x v="0"/>
    <d v="2022-06-20T00:00:00"/>
    <n v="102"/>
    <d v="2022-09-30T00:00:00"/>
    <n v="-45"/>
    <s v="W39_2022"/>
    <x v="0"/>
  </r>
  <r>
    <x v="0"/>
    <x v="62"/>
    <n v="22124686"/>
    <x v="0"/>
    <s v="CH (Cheque)"/>
    <s v="II. Receipts form Clients - non matured"/>
    <s v="Cheque PF"/>
    <s v="Sales of batteries - local"/>
    <s v="P/BTE+SFAX-6359354"/>
    <s v="TND"/>
    <n v="502.36700000000002"/>
    <n v="1"/>
    <n v="502.36700000000002"/>
    <x v="0"/>
    <d v="2022-06-21T00:00:00"/>
    <n v="101"/>
    <d v="2022-09-30T00:00:00"/>
    <n v="-45"/>
    <s v="W39_2022"/>
    <x v="0"/>
  </r>
  <r>
    <x v="0"/>
    <x v="228"/>
    <n v="22124820"/>
    <x v="0"/>
    <s v="CH (Cheque)"/>
    <s v="II. Receipts form Clients - non matured"/>
    <s v="Cheque PF"/>
    <s v="Sales of batteries - local"/>
    <s v="P/STB+ZAGHOUAN-0001438"/>
    <s v="TND"/>
    <n v="1581.5160000000001"/>
    <n v="1"/>
    <n v="1581.5160000000001"/>
    <x v="0"/>
    <d v="2022-07-12T00:00:00"/>
    <n v="80"/>
    <d v="2022-09-30T00:00:00"/>
    <n v="-45"/>
    <s v="W39_2022"/>
    <x v="0"/>
  </r>
  <r>
    <x v="0"/>
    <x v="69"/>
    <n v="22124697"/>
    <x v="0"/>
    <s v="CH (Cheque)"/>
    <s v="II. Receipts form Clients - non matured"/>
    <s v="Cheque PF"/>
    <s v="Sales of batteries - local"/>
    <s v="P/UBCI+MENIHLA-8705911"/>
    <s v="TND"/>
    <n v="5959.8459999999995"/>
    <n v="1"/>
    <n v="5959.8459999999995"/>
    <x v="0"/>
    <d v="2022-06-22T00:00:00"/>
    <n v="100"/>
    <d v="2022-09-30T00:00:00"/>
    <n v="-45"/>
    <s v="W39_2022"/>
    <x v="0"/>
  </r>
  <r>
    <x v="0"/>
    <x v="57"/>
    <n v="22124819"/>
    <x v="0"/>
    <s v="CH (Cheque)"/>
    <s v="II. Receipts form Clients - non matured"/>
    <s v="Cheque PF"/>
    <s v="Sales of batteries - local"/>
    <s v="P/ATTJ BQ+KORBA-008767"/>
    <s v="TND"/>
    <n v="2088.3850000000002"/>
    <n v="1"/>
    <n v="2088.3850000000002"/>
    <x v="0"/>
    <d v="2022-07-11T00:00:00"/>
    <n v="81"/>
    <d v="2022-09-30T00:00:00"/>
    <n v="-45"/>
    <s v="W39_2022"/>
    <x v="0"/>
  </r>
  <r>
    <x v="0"/>
    <x v="324"/>
    <n v="22124703"/>
    <x v="0"/>
    <s v="CH (Cheque)"/>
    <s v="II. Receipts form Clients - non matured"/>
    <s v="Cheque PF"/>
    <s v="Sales of batteries - local"/>
    <s v="P/STB+KELIBIA-0000197"/>
    <s v="TND"/>
    <n v="5468.7479999999996"/>
    <n v="1"/>
    <n v="5468.7479999999996"/>
    <x v="0"/>
    <d v="2022-06-22T00:00:00"/>
    <n v="100"/>
    <d v="2022-09-30T00:00:00"/>
    <n v="-45"/>
    <s v="W39_2022"/>
    <x v="0"/>
  </r>
  <r>
    <x v="0"/>
    <x v="175"/>
    <n v="22124723"/>
    <x v="0"/>
    <s v="CH (Cheque)"/>
    <s v="II. Receipts form Clients - non matured"/>
    <s v="Cheque PF"/>
    <s v="Sales of batteries - local"/>
    <s v="P/STB+FAHS-0003954"/>
    <s v="TND"/>
    <n v="3170"/>
    <n v="1"/>
    <n v="3170"/>
    <x v="0"/>
    <d v="2022-06-24T00:00:00"/>
    <n v="98"/>
    <d v="2022-09-30T00:00:00"/>
    <n v="-45"/>
    <s v="W39_2022"/>
    <x v="0"/>
  </r>
  <r>
    <x v="0"/>
    <x v="179"/>
    <n v="22124724"/>
    <x v="0"/>
    <s v="CH (Cheque)"/>
    <s v="II. Receipts form Clients - non matured"/>
    <s v="Cheque PF"/>
    <s v="Sales of batteries - local"/>
    <s v="P/BNA+OUED ELLIL-50618"/>
    <s v="TND"/>
    <n v="5941.527"/>
    <n v="1"/>
    <n v="5941.527"/>
    <x v="0"/>
    <d v="2022-06-24T00:00:00"/>
    <n v="98"/>
    <d v="2022-09-30T00:00:00"/>
    <n v="-45"/>
    <s v="W39_2022"/>
    <x v="0"/>
  </r>
  <r>
    <x v="0"/>
    <x v="226"/>
    <n v="22124815"/>
    <x v="0"/>
    <s v="CH (Cheque)"/>
    <s v="II. Receipts form Clients - non matured"/>
    <s v="Cheque PF"/>
    <s v="Sales of batteries - local"/>
    <s v="P/ATB+ZAGHOUAN-5148116"/>
    <s v="TND"/>
    <n v="6972.0749999999998"/>
    <n v="1"/>
    <n v="6972.0749999999998"/>
    <x v="0"/>
    <d v="2022-07-08T00:00:00"/>
    <n v="84"/>
    <d v="2022-09-30T00:00:00"/>
    <n v="-45"/>
    <s v="W39_2022"/>
    <x v="0"/>
  </r>
  <r>
    <x v="0"/>
    <x v="221"/>
    <n v="22124740"/>
    <x v="0"/>
    <s v="CH (Cheque)"/>
    <s v="II. Receipts form Clients - non matured"/>
    <s v="Cheque PF"/>
    <s v="Sales of batteries - local"/>
    <s v="P/UIB+IBN KHALDOUN-470"/>
    <s v="TND"/>
    <n v="2216.6660000000002"/>
    <n v="1"/>
    <n v="2216.6660000000002"/>
    <x v="0"/>
    <d v="2022-06-27T00:00:00"/>
    <n v="95"/>
    <d v="2022-09-30T00:00:00"/>
    <n v="-45"/>
    <s v="W39_2022"/>
    <x v="0"/>
  </r>
  <r>
    <x v="0"/>
    <x v="222"/>
    <n v="22124750"/>
    <x v="0"/>
    <s v="CH (Cheque)"/>
    <s v="II. Receipts form Clients - non matured"/>
    <s v="Cheque PF"/>
    <s v="Sales of batteries - local"/>
    <s v="P/UBCI+MORNEG-8896602"/>
    <s v="TND"/>
    <n v="1300"/>
    <n v="1"/>
    <n v="1300"/>
    <x v="0"/>
    <d v="2022-06-27T00:00:00"/>
    <n v="95"/>
    <d v="2022-09-30T00:00:00"/>
    <n v="-45"/>
    <s v="W39_2022"/>
    <x v="0"/>
  </r>
  <r>
    <x v="0"/>
    <x v="176"/>
    <n v="22124756"/>
    <x v="0"/>
    <s v="CH (Cheque)"/>
    <s v="II. Receipts form Clients - non matured"/>
    <s v="Cheque PF"/>
    <s v="Sales of batteries - local"/>
    <s v="P/ATB+HAMMAMET-6006959"/>
    <s v="TND"/>
    <n v="2300"/>
    <n v="1"/>
    <n v="2300"/>
    <x v="0"/>
    <d v="2022-06-27T00:00:00"/>
    <n v="95"/>
    <d v="2022-09-30T00:00:00"/>
    <n v="-45"/>
    <s v="W39_2022"/>
    <x v="0"/>
  </r>
  <r>
    <x v="0"/>
    <x v="325"/>
    <n v="22124765"/>
    <x v="0"/>
    <s v="CH (Cheque)"/>
    <s v="II. Receipts form Clients - non matured"/>
    <s v="Cheque PF"/>
    <s v="Sales of batteries - local"/>
    <s v="P/BIAT+MANOUBA-0001948"/>
    <s v="TND"/>
    <n v="202.52199999999999"/>
    <n v="1"/>
    <n v="202.52199999999999"/>
    <x v="0"/>
    <d v="2022-06-28T00:00:00"/>
    <n v="94"/>
    <d v="2022-09-30T00:00:00"/>
    <n v="-45"/>
    <s v="W39_2022"/>
    <x v="0"/>
  </r>
  <r>
    <x v="0"/>
    <x v="256"/>
    <n v="22124860"/>
    <x v="0"/>
    <s v="CH (Cheque)"/>
    <s v="II. Receipts form Clients - non matured"/>
    <s v="Cheque PF"/>
    <s v="Sales of batteries - local"/>
    <s v="P/BQ ZAIT+NABEUL-40038"/>
    <s v="TND"/>
    <n v="754.36900000000003"/>
    <n v="1"/>
    <n v="754.36900000000003"/>
    <x v="0"/>
    <d v="2022-07-20T00:00:00"/>
    <n v="72"/>
    <d v="2022-09-30T00:00:00"/>
    <n v="-45"/>
    <s v="W39_2022"/>
    <x v="0"/>
  </r>
  <r>
    <x v="0"/>
    <x v="225"/>
    <n v="22124862"/>
    <x v="0"/>
    <s v="CH (Cheque)"/>
    <s v="II. Receipts form Clients - non matured"/>
    <s v="Cheque PF"/>
    <s v="Sales of batteries - local"/>
    <s v="P/BQ ZAIT+BOUMHAL-4000"/>
    <s v="TND"/>
    <n v="440.44400000000002"/>
    <n v="1"/>
    <n v="440.44400000000002"/>
    <x v="0"/>
    <d v="2022-07-21T00:00:00"/>
    <n v="71"/>
    <d v="2022-09-30T00:00:00"/>
    <n v="-45"/>
    <s v="W39_2022"/>
    <x v="0"/>
  </r>
  <r>
    <x v="0"/>
    <x v="326"/>
    <n v="22124863"/>
    <x v="0"/>
    <s v="CH (Cheque)"/>
    <s v="II. Receipts form Clients - non matured"/>
    <s v="Cheque PF"/>
    <s v="Sales of batteries - local"/>
    <s v="P/BTL+DENDEN-2443701"/>
    <s v="TND"/>
    <n v="3552.241"/>
    <n v="1"/>
    <n v="3552.241"/>
    <x v="0"/>
    <d v="2022-07-21T00:00:00"/>
    <n v="71"/>
    <d v="2022-09-30T00:00:00"/>
    <n v="-45"/>
    <s v="W39_2022"/>
    <x v="0"/>
  </r>
  <r>
    <x v="0"/>
    <x v="230"/>
    <n v="22124867"/>
    <x v="0"/>
    <s v="CH (Cheque)"/>
    <s v="II. Receipts form Clients - non matured"/>
    <s v="Cheque PF"/>
    <s v="Sales of batteries - local"/>
    <s v="P/BH+EL MAHMEDIA-20244"/>
    <s v="TND"/>
    <n v="4871.4160000000002"/>
    <n v="1"/>
    <n v="4871.4160000000002"/>
    <x v="0"/>
    <d v="2022-07-22T00:00:00"/>
    <n v="70"/>
    <d v="2022-09-30T00:00:00"/>
    <n v="-45"/>
    <s v="W39_2022"/>
    <x v="0"/>
  </r>
  <r>
    <x v="0"/>
    <x v="327"/>
    <n v="22124879"/>
    <x v="0"/>
    <s v="CH (Cheque)"/>
    <s v="II. Receipts form Clients - non matured"/>
    <s v="Cheque PF"/>
    <s v="Sales of batteries - local"/>
    <s v="p/cc+tn-6329562"/>
    <s v="TND"/>
    <n v="4260.2569999999996"/>
    <n v="1"/>
    <n v="4260.2569999999996"/>
    <x v="0"/>
    <d v="2022-07-26T00:00:00"/>
    <n v="66"/>
    <d v="2022-09-30T00:00:00"/>
    <n v="-45"/>
    <s v="W39_2022"/>
    <x v="0"/>
  </r>
  <r>
    <x v="0"/>
    <x v="328"/>
    <n v="22124880"/>
    <x v="0"/>
    <s v="CH (Cheque)"/>
    <s v="II. Receipts form Clients - non matured"/>
    <s v="Cheque PF"/>
    <s v="Sales of batteries - local"/>
    <s v="p/atb+tn-6541045"/>
    <s v="TND"/>
    <n v="664.41700000000003"/>
    <n v="1"/>
    <n v="664.41700000000003"/>
    <x v="0"/>
    <d v="2022-07-26T00:00:00"/>
    <n v="66"/>
    <d v="2022-09-30T00:00:00"/>
    <n v="-45"/>
    <s v="W39_2022"/>
    <x v="0"/>
  </r>
  <r>
    <x v="0"/>
    <x v="180"/>
    <n v="22124882"/>
    <x v="0"/>
    <s v="CH (Cheque)"/>
    <s v="II. Receipts form Clients - non matured"/>
    <s v="Cheque PF"/>
    <s v="Sales of batteries - local"/>
    <s v="p/bna+tn-5322476"/>
    <s v="TND"/>
    <n v="5018.9750000000004"/>
    <n v="1"/>
    <n v="5018.9750000000004"/>
    <x v="0"/>
    <d v="2022-07-26T00:00:00"/>
    <n v="66"/>
    <d v="2022-09-30T00:00:00"/>
    <n v="-45"/>
    <s v="W39_2022"/>
    <x v="0"/>
  </r>
  <r>
    <x v="0"/>
    <x v="58"/>
    <n v="22124895"/>
    <x v="0"/>
    <s v="CH (Cheque)"/>
    <s v="II. Receipts form Clients - non matured"/>
    <s v="Cheque PF"/>
    <s v="Sales of batteries - local"/>
    <s v="P/BIAT+TN-0001948"/>
    <s v="TND"/>
    <n v="1968.856"/>
    <n v="1"/>
    <n v="1968.856"/>
    <x v="0"/>
    <d v="2022-07-27T00:00:00"/>
    <n v="65"/>
    <d v="2022-09-30T00:00:00"/>
    <n v="-45"/>
    <s v="W39_2022"/>
    <x v="0"/>
  </r>
  <r>
    <x v="0"/>
    <x v="59"/>
    <n v="22124897"/>
    <x v="0"/>
    <s v="CH (Cheque)"/>
    <s v="II. Receipts form Clients - non matured"/>
    <s v="Cheque PF"/>
    <s v="Sales of batteries - local"/>
    <s v="P/BNA+TN-5295208"/>
    <s v="TND"/>
    <n v="5000"/>
    <n v="1"/>
    <n v="5000"/>
    <x v="0"/>
    <d v="2022-07-27T00:00:00"/>
    <n v="65"/>
    <d v="2022-09-30T00:00:00"/>
    <n v="-45"/>
    <s v="W39_2022"/>
    <x v="0"/>
  </r>
  <r>
    <x v="0"/>
    <x v="187"/>
    <n v="22124900"/>
    <x v="0"/>
    <s v="CH (Cheque)"/>
    <s v="II. Receipts form Clients - non matured"/>
    <s v="Cheque PF"/>
    <s v="Sales of batteries - local"/>
    <s v="P/BIAT+TN-0002181"/>
    <s v="TND"/>
    <n v="1580"/>
    <n v="1"/>
    <n v="1580"/>
    <x v="0"/>
    <d v="2022-07-27T00:00:00"/>
    <n v="65"/>
    <d v="2022-09-30T00:00:00"/>
    <n v="-45"/>
    <s v="W39_2022"/>
    <x v="0"/>
  </r>
  <r>
    <x v="0"/>
    <x v="67"/>
    <n v="22124885"/>
    <x v="0"/>
    <s v="CH (Cheque)"/>
    <s v="II. Receipts form Clients - non matured"/>
    <s v="Cheque PF"/>
    <s v="Sales of batteries - local"/>
    <s v="P/STB+TN-0000145"/>
    <s v="TND"/>
    <n v="662.93299999999999"/>
    <n v="1"/>
    <n v="662.93299999999999"/>
    <x v="0"/>
    <d v="2022-07-27T00:00:00"/>
    <n v="65"/>
    <d v="2022-09-30T00:00:00"/>
    <n v="-45"/>
    <s v="W39_2022"/>
    <x v="0"/>
  </r>
  <r>
    <x v="0"/>
    <x v="227"/>
    <n v="22124904"/>
    <x v="0"/>
    <s v="CH (Cheque)"/>
    <s v="II. Receipts form Clients - non matured"/>
    <s v="Cheque PF"/>
    <s v="Sales of batteries - local"/>
    <s v="P/BZ+TN-4000368"/>
    <s v="TND"/>
    <n v="28287.656999999999"/>
    <n v="1"/>
    <n v="28287.656999999999"/>
    <x v="0"/>
    <d v="2022-07-28T00:00:00"/>
    <n v="64"/>
    <d v="2022-09-30T00:00:00"/>
    <n v="-45"/>
    <s v="W39_2022"/>
    <x v="0"/>
  </r>
  <r>
    <x v="0"/>
    <x v="329"/>
    <n v="22124914"/>
    <x v="0"/>
    <s v="CH (Cheque)"/>
    <s v="II. Receipts form Clients - non matured"/>
    <s v="Cheque PF"/>
    <s v="Sales of batteries - local"/>
    <s v="P/BNA+TN-5225982"/>
    <s v="TND"/>
    <n v="5234.165"/>
    <n v="1"/>
    <n v="5234.165"/>
    <x v="0"/>
    <d v="2022-07-28T00:00:00"/>
    <n v="64"/>
    <d v="2022-09-30T00:00:00"/>
    <n v="-45"/>
    <s v="W39_2022"/>
    <x v="0"/>
  </r>
  <r>
    <x v="0"/>
    <x v="181"/>
    <n v="22124922"/>
    <x v="0"/>
    <s v="CH (Cheque)"/>
    <s v="II. Receipts form Clients - non matured"/>
    <s v="Cheque PF"/>
    <s v="Sales of batteries - local"/>
    <s v="P/BT+TN-8956628"/>
    <s v="TND"/>
    <n v="1331.1410000000001"/>
    <n v="1"/>
    <n v="1331.1410000000001"/>
    <x v="0"/>
    <d v="2022-07-28T00:00:00"/>
    <n v="64"/>
    <d v="2022-09-30T00:00:00"/>
    <n v="-45"/>
    <s v="W39_2022"/>
    <x v="0"/>
  </r>
  <r>
    <x v="0"/>
    <x v="330"/>
    <n v="22124928"/>
    <x v="0"/>
    <s v="CH (Cheque)"/>
    <s v="II. Receipts form Clients - non matured"/>
    <s v="Cheque PF"/>
    <s v="Sales of batteries - local"/>
    <s v="P/BH+TN-0792054"/>
    <s v="TND"/>
    <n v="367.99299999999999"/>
    <n v="1"/>
    <n v="367.99299999999999"/>
    <x v="0"/>
    <d v="2022-07-28T00:00:00"/>
    <n v="64"/>
    <d v="2022-09-30T00:00:00"/>
    <n v="-45"/>
    <s v="W39_2022"/>
    <x v="0"/>
  </r>
  <r>
    <x v="0"/>
    <x v="109"/>
    <n v="22124955"/>
    <x v="0"/>
    <s v="CH (Cheque)"/>
    <s v="II. Receipts form Clients - non matured"/>
    <s v="Cheque PF"/>
    <s v="Sales of batteries - local"/>
    <s v="P/BIAT+TN-0002335"/>
    <s v="TND"/>
    <n v="2147.4589999999998"/>
    <n v="1"/>
    <n v="2147.4589999999998"/>
    <x v="0"/>
    <d v="2022-07-29T00:00:00"/>
    <n v="63"/>
    <d v="2022-09-30T00:00:00"/>
    <n v="-45"/>
    <s v="W39_2022"/>
    <x v="0"/>
  </r>
  <r>
    <x v="0"/>
    <x v="110"/>
    <n v="22124975"/>
    <x v="0"/>
    <s v="CH (Cheque)"/>
    <s v="II. Receipts form Clients - non matured"/>
    <s v="Cheque PF"/>
    <s v="Sales of batteries - local"/>
    <s v="P/BT+TN-8766942"/>
    <s v="TND"/>
    <n v="728.52599999999995"/>
    <n v="1"/>
    <n v="728.52599999999995"/>
    <x v="0"/>
    <d v="2022-07-29T00:00:00"/>
    <n v="63"/>
    <d v="2022-09-30T00:00:00"/>
    <n v="-45"/>
    <s v="W39_2022"/>
    <x v="0"/>
  </r>
  <r>
    <x v="0"/>
    <x v="8"/>
    <n v="22301529"/>
    <x v="0"/>
    <s v="CH (Cheque)"/>
    <s v="II. Receipts form Clients - non matured"/>
    <s v="Cheque PF"/>
    <s v="Sales of batteries - local"/>
    <s v="P/BZ+SFAX-4000698"/>
    <s v="TND"/>
    <n v="6190.7520000000004"/>
    <n v="1"/>
    <n v="6190.7520000000004"/>
    <x v="0"/>
    <d v="2022-05-31T00:00:00"/>
    <n v="122"/>
    <d v="2022-09-30T00:00:00"/>
    <n v="-45"/>
    <s v="W39_2022"/>
    <x v="0"/>
  </r>
  <r>
    <x v="0"/>
    <x v="77"/>
    <n v="22301470"/>
    <x v="0"/>
    <s v="CH (Cheque)"/>
    <s v="II. Receipts form Clients - non matured"/>
    <s v="Cheque PF"/>
    <s v="Sales of batteries - local"/>
    <s v="P/BH+SFAX-1480008"/>
    <s v="TND"/>
    <n v="1278.0219999999999"/>
    <n v="1"/>
    <n v="1278.0219999999999"/>
    <x v="0"/>
    <d v="2022-05-17T00:00:00"/>
    <n v="136"/>
    <d v="2022-09-30T00:00:00"/>
    <n v="-45"/>
    <s v="W39_2022"/>
    <x v="0"/>
  </r>
  <r>
    <x v="0"/>
    <x v="232"/>
    <n v="22301494"/>
    <x v="0"/>
    <s v="CH (Cheque)"/>
    <s v="II. Receipts form Clients - non matured"/>
    <s v="Cheque PF"/>
    <s v="Sales of batteries - local"/>
    <s v="P/STB+SFAX-0007631"/>
    <s v="TND"/>
    <n v="5372.8689999999997"/>
    <n v="1"/>
    <n v="5372.8689999999997"/>
    <x v="0"/>
    <d v="2022-05-26T00:00:00"/>
    <n v="127"/>
    <d v="2022-09-30T00:00:00"/>
    <n v="-45"/>
    <s v="W39_2022"/>
    <x v="0"/>
  </r>
  <r>
    <x v="0"/>
    <x v="125"/>
    <n v="22301508"/>
    <x v="0"/>
    <s v="CH (Cheque)"/>
    <s v="II. Receipts form Clients - non matured"/>
    <s v="Cheque PF"/>
    <s v="Sales of batteries - local"/>
    <s v="P/BIAT+SFAX-0007429"/>
    <s v="TND"/>
    <n v="600"/>
    <n v="1"/>
    <n v="600"/>
    <x v="0"/>
    <d v="2022-05-27T00:00:00"/>
    <n v="126"/>
    <d v="2022-09-30T00:00:00"/>
    <n v="-45"/>
    <s v="W39_2022"/>
    <x v="0"/>
  </r>
  <r>
    <x v="0"/>
    <x v="233"/>
    <n v="22301651"/>
    <x v="0"/>
    <s v="CH (Cheque)"/>
    <s v="II. Receipts form Clients - non matured"/>
    <s v="Cheque PF"/>
    <s v="Sales of batteries - local"/>
    <s v="P/BNA+SFAX-6035329"/>
    <s v="TND"/>
    <n v="3062.384"/>
    <n v="1"/>
    <n v="3062.384"/>
    <x v="0"/>
    <d v="2022-07-07T00:00:00"/>
    <n v="85"/>
    <d v="2022-09-30T00:00:00"/>
    <n v="-45"/>
    <s v="W39_2022"/>
    <x v="0"/>
  </r>
  <r>
    <x v="0"/>
    <x v="331"/>
    <n v="22301564"/>
    <x v="0"/>
    <s v="CH (Cheque)"/>
    <s v="II. Receipts form Clients - non matured"/>
    <s v="Cheque PF"/>
    <s v="Sales of batteries - local"/>
    <s v="P/BNA+SFAX-5081113"/>
    <s v="TND"/>
    <n v="5118.2960000000003"/>
    <n v="1"/>
    <n v="5118.2960000000003"/>
    <x v="0"/>
    <d v="2022-06-17T00:00:00"/>
    <n v="105"/>
    <d v="2022-09-30T00:00:00"/>
    <n v="-45"/>
    <s v="W39_2022"/>
    <x v="0"/>
  </r>
  <r>
    <x v="0"/>
    <x v="115"/>
    <n v="22301637"/>
    <x v="0"/>
    <s v="CH (Cheque)"/>
    <s v="II. Receipts form Clients - non matured"/>
    <s v="Cheque PF"/>
    <s v="Sales of batteries - local"/>
    <s v="P/UIB+SFAX-2493045"/>
    <s v="TND"/>
    <n v="1670"/>
    <n v="1"/>
    <n v="1670"/>
    <x v="0"/>
    <d v="2022-06-30T00:00:00"/>
    <n v="92"/>
    <d v="2022-09-30T00:00:00"/>
    <n v="-45"/>
    <s v="W39_2022"/>
    <x v="0"/>
  </r>
  <r>
    <x v="0"/>
    <x v="305"/>
    <n v="22301566"/>
    <x v="0"/>
    <s v="CH (Cheque)"/>
    <s v="II. Receipts form Clients - non matured"/>
    <s v="Cheque PF"/>
    <s v="Sales of batteries - local"/>
    <s v="P/BIAT+SFAX-0002017"/>
    <s v="TND"/>
    <n v="3218.7890000000002"/>
    <n v="1"/>
    <n v="3218.7890000000002"/>
    <x v="0"/>
    <d v="2022-06-20T00:00:00"/>
    <n v="102"/>
    <d v="2022-09-30T00:00:00"/>
    <n v="-45"/>
    <s v="W39_2022"/>
    <x v="0"/>
  </r>
  <r>
    <x v="0"/>
    <x v="112"/>
    <n v="22301569"/>
    <x v="0"/>
    <s v="CH (Cheque)"/>
    <s v="II. Receipts form Clients - non matured"/>
    <s v="Cheque PF"/>
    <s v="Sales of batteries - local"/>
    <s v="P/BIAT+SFAX-0001580"/>
    <s v="TND"/>
    <n v="1942.422"/>
    <n v="1"/>
    <n v="1942.422"/>
    <x v="0"/>
    <d v="2022-06-20T00:00:00"/>
    <n v="102"/>
    <d v="2022-09-30T00:00:00"/>
    <n v="-45"/>
    <s v="W39_2022"/>
    <x v="0"/>
  </r>
  <r>
    <x v="0"/>
    <x v="235"/>
    <n v="22301646"/>
    <x v="0"/>
    <s v="CH (Cheque)"/>
    <s v="II. Receipts form Clients - non matured"/>
    <s v="Cheque PF"/>
    <s v="Sales of batteries - local"/>
    <s v="D/UIB+CHEBBA-2334676"/>
    <s v="TND"/>
    <n v="2181.5859999999998"/>
    <n v="1"/>
    <n v="2181.5859999999998"/>
    <x v="0"/>
    <d v="2022-07-07T00:00:00"/>
    <n v="85"/>
    <d v="2022-09-30T00:00:00"/>
    <n v="-45"/>
    <s v="W39_2022"/>
    <x v="0"/>
  </r>
  <r>
    <x v="0"/>
    <x v="116"/>
    <n v="22301674"/>
    <x v="0"/>
    <s v="CH (Cheque)"/>
    <s v="II. Receipts form Clients - non matured"/>
    <s v="Cheque PF"/>
    <s v="Sales of batteries - local"/>
    <s v="D/UBCI+MAHRES-8282659"/>
    <s v="TND"/>
    <n v="4935.0810000000001"/>
    <n v="1"/>
    <n v="4935.0810000000001"/>
    <x v="0"/>
    <d v="2022-07-14T00:00:00"/>
    <n v="78"/>
    <d v="2022-09-30T00:00:00"/>
    <n v="-45"/>
    <s v="W39_2022"/>
    <x v="0"/>
  </r>
  <r>
    <x v="0"/>
    <x v="239"/>
    <n v="22301680"/>
    <x v="0"/>
    <s v="CH (Cheque)"/>
    <s v="II. Receipts form Clients - non matured"/>
    <s v="Cheque PF"/>
    <s v="Sales of batteries - local"/>
    <s v="P/UBCI+SFAX-9409429"/>
    <s v="TND"/>
    <n v="1159.296"/>
    <n v="1"/>
    <n v="1159.296"/>
    <x v="0"/>
    <d v="2022-07-16T00:00:00"/>
    <n v="76"/>
    <d v="2022-09-30T00:00:00"/>
    <n v="-45"/>
    <s v="W39_2022"/>
    <x v="0"/>
  </r>
  <r>
    <x v="0"/>
    <x v="193"/>
    <n v="22301697"/>
    <x v="0"/>
    <s v="CH (Cheque)"/>
    <s v="II. Receipts form Clients - non matured"/>
    <s v="Cheque PF"/>
    <s v="Sales of batteries - local"/>
    <s v="D/STB+KERKENNAH-000206"/>
    <s v="TND"/>
    <n v="2836.5390000000002"/>
    <n v="1"/>
    <n v="2836.5390000000002"/>
    <x v="0"/>
    <d v="2022-07-19T00:00:00"/>
    <n v="73"/>
    <d v="2022-09-30T00:00:00"/>
    <n v="-45"/>
    <s v="W39_2022"/>
    <x v="0"/>
  </r>
  <r>
    <x v="0"/>
    <x v="332"/>
    <m/>
    <x v="0"/>
    <s v="CH (Cheque)"/>
    <s v="II. Receipts form Clients - non matured"/>
    <s v="Cheque PF"/>
    <s v="Sales of batteries - local"/>
    <s v="AGENCE MEGRINE"/>
    <s v="TND"/>
    <n v="51000"/>
    <n v="1"/>
    <n v="51000"/>
    <x v="1"/>
    <d v="2022-10-01T00:00:00"/>
    <n v="0"/>
    <d v="2022-10-01T00:00:00"/>
    <n v="-46"/>
    <s v="W40_2022"/>
    <x v="0"/>
  </r>
  <r>
    <x v="0"/>
    <x v="332"/>
    <m/>
    <x v="0"/>
    <s v="CH (Cheque)"/>
    <s v="II. Receipts form Clients - non matured"/>
    <s v="Cheque PF"/>
    <s v="Sales of batteries - local"/>
    <s v="AUTRE AGENCE"/>
    <s v="TND"/>
    <n v="37000"/>
    <n v="1"/>
    <n v="37000"/>
    <x v="1"/>
    <d v="2022-10-01T00:00:00"/>
    <n v="0"/>
    <d v="2022-10-01T00:00:00"/>
    <n v="-46"/>
    <s v="W40_2022"/>
    <x v="0"/>
  </r>
  <r>
    <x v="0"/>
    <x v="264"/>
    <n v="22601388"/>
    <x v="0"/>
    <s v="CH (Cheque)"/>
    <s v="II. Receipts form Clients - non matured"/>
    <s v="Cheque PF"/>
    <s v="Sales of batteries - local"/>
    <s v="P/BNA+GABES-5703594"/>
    <s v="TND"/>
    <n v="3000"/>
    <n v="1"/>
    <n v="3000"/>
    <x v="0"/>
    <d v="2022-06-24T00:00:00"/>
    <n v="99"/>
    <d v="2022-10-01T00:00:00"/>
    <n v="-46"/>
    <s v="W40_2022"/>
    <x v="0"/>
  </r>
  <r>
    <x v="0"/>
    <x v="242"/>
    <n v="22701229"/>
    <x v="0"/>
    <s v="CH (Cheque)"/>
    <s v="II. Receipts form Clients - non matured"/>
    <s v="Cheque PF"/>
    <s v="Sales of batteries - local"/>
    <s v="P/BNA+KEBILI-5099685"/>
    <s v="TND"/>
    <n v="15992.406999999999"/>
    <n v="1"/>
    <n v="15992.406999999999"/>
    <x v="0"/>
    <d v="2022-07-11T00:00:00"/>
    <n v="82"/>
    <d v="2022-10-01T00:00:00"/>
    <n v="-46"/>
    <s v="W40_2022"/>
    <x v="0"/>
  </r>
  <r>
    <x v="0"/>
    <x v="241"/>
    <n v="22701227"/>
    <x v="0"/>
    <s v="CH (Cheque)"/>
    <s v="II. Receipts form Clients - non matured"/>
    <s v="Cheque PF"/>
    <s v="Sales of batteries - local"/>
    <s v="P/STB+KEBILI-0000190"/>
    <s v="TND"/>
    <n v="7477.3720000000003"/>
    <n v="1"/>
    <n v="7477.3720000000003"/>
    <x v="0"/>
    <d v="2022-07-11T00:00:00"/>
    <n v="82"/>
    <d v="2022-10-01T00:00:00"/>
    <n v="-46"/>
    <s v="W40_2022"/>
    <x v="0"/>
  </r>
  <r>
    <x v="0"/>
    <x v="320"/>
    <n v="22801341"/>
    <x v="0"/>
    <s v="CH (Cheque)"/>
    <s v="II. Receipts form Clients - non matured"/>
    <s v="Cheque PF"/>
    <s v="Sales of batteries - local"/>
    <s v="P/ATTIJ BK+BOUSALEM-00"/>
    <s v="TND"/>
    <n v="2122.105"/>
    <n v="1"/>
    <n v="2122.105"/>
    <x v="0"/>
    <d v="2022-07-08T00:00:00"/>
    <n v="85"/>
    <d v="2022-10-01T00:00:00"/>
    <n v="-46"/>
    <s v="W40_2022"/>
    <x v="0"/>
  </r>
  <r>
    <x v="0"/>
    <x v="212"/>
    <n v="22401430"/>
    <x v="0"/>
    <s v="CH (Cheque)"/>
    <s v="II. Receipts form Clients - non matured"/>
    <s v="Cheque PF"/>
    <s v="Sales of batteries - local"/>
    <s v="D/UBCI+TEBOULBA-902204"/>
    <s v="TND"/>
    <n v="2000"/>
    <n v="1"/>
    <n v="2000"/>
    <x v="0"/>
    <d v="2022-05-31T00:00:00"/>
    <n v="123"/>
    <d v="2022-10-01T00:00:00"/>
    <n v="-46"/>
    <s v="W40_2022"/>
    <x v="0"/>
  </r>
  <r>
    <x v="0"/>
    <x v="11"/>
    <n v="22401549"/>
    <x v="0"/>
    <s v="CH (Cheque)"/>
    <s v="II. Receipts form Clients - non matured"/>
    <s v="Cheque PF"/>
    <s v="Sales of batteries - local"/>
    <s v="D/BIAT+JEMMAL-0000435"/>
    <s v="TND"/>
    <n v="1518.2329999999999"/>
    <n v="1"/>
    <n v="1518.2329999999999"/>
    <x v="0"/>
    <d v="2022-06-30T00:00:00"/>
    <n v="93"/>
    <d v="2022-10-01T00:00:00"/>
    <n v="-46"/>
    <s v="W40_2022"/>
    <x v="0"/>
  </r>
  <r>
    <x v="0"/>
    <x v="59"/>
    <n v="22124616"/>
    <x v="0"/>
    <s v="CH (Cheque)"/>
    <s v="II. Receipts form Clients - non matured"/>
    <s v="Cheque PF"/>
    <s v="Sales of batteries - local"/>
    <s v="P/BNA+BENI KHALLED-464"/>
    <s v="TND"/>
    <n v="3000"/>
    <n v="1"/>
    <n v="3000"/>
    <x v="0"/>
    <d v="2022-06-13T00:00:00"/>
    <n v="110"/>
    <d v="2022-10-01T00:00:00"/>
    <n v="-46"/>
    <s v="W40_2022"/>
    <x v="0"/>
  </r>
  <r>
    <x v="0"/>
    <x v="138"/>
    <n v="22301667"/>
    <x v="0"/>
    <s v="CH (Cheque)"/>
    <s v="II. Receipts form Clients - non matured"/>
    <s v="Cheque PF"/>
    <s v="Sales of batteries - local"/>
    <s v="D/BNA+CHEBBA-5858552"/>
    <s v="TND"/>
    <n v="1700"/>
    <n v="1"/>
    <n v="1700"/>
    <x v="0"/>
    <d v="2022-07-08T00:00:00"/>
    <n v="85"/>
    <d v="2022-10-01T00:00:00"/>
    <n v="-46"/>
    <s v="W40_2022"/>
    <x v="0"/>
  </r>
  <r>
    <x v="0"/>
    <x v="16"/>
    <n v="22601507"/>
    <x v="0"/>
    <s v="CH (Cheque)"/>
    <s v="II. Receipts form Clients - non matured"/>
    <s v="Cheque PF"/>
    <s v="Sales of batteries - local"/>
    <s v="P/AMEN+DJERBA-1061362"/>
    <s v="TND"/>
    <n v="1614.49"/>
    <n v="1"/>
    <n v="1614.49"/>
    <x v="0"/>
    <d v="2022-08-04T00:00:00"/>
    <n v="59"/>
    <d v="2022-10-02T00:00:00"/>
    <n v="-47"/>
    <s v="W40_2022"/>
    <x v="0"/>
  </r>
  <r>
    <x v="0"/>
    <x v="108"/>
    <n v="22124887"/>
    <x v="0"/>
    <s v="CH (Cheque)"/>
    <s v="II. Receipts form Clients - non matured"/>
    <s v="Cheque PF"/>
    <s v="Sales of batteries - local"/>
    <s v="P/STB+TN-0006108"/>
    <s v="TND"/>
    <n v="1526.0550000000001"/>
    <n v="1"/>
    <n v="1526.0550000000001"/>
    <x v="0"/>
    <d v="2022-07-27T00:00:00"/>
    <n v="67"/>
    <d v="2022-10-02T00:00:00"/>
    <n v="-47"/>
    <s v="W40_2022"/>
    <x v="0"/>
  </r>
  <r>
    <x v="0"/>
    <x v="78"/>
    <n v="22301716"/>
    <x v="0"/>
    <s v="CH (Cheque)"/>
    <s v="II. Receipts form Clients - non matured"/>
    <s v="Cheque PF"/>
    <s v="Sales of batteries - local"/>
    <s v="P/BIAT+SFAX-0007607"/>
    <s v="TND"/>
    <n v="2500"/>
    <n v="1"/>
    <n v="2500"/>
    <x v="0"/>
    <d v="2022-07-27T00:00:00"/>
    <n v="68"/>
    <d v="2022-10-03T00:00:00"/>
    <n v="-48"/>
    <s v="W40_2022"/>
    <x v="0"/>
  </r>
  <r>
    <x v="0"/>
    <x v="9"/>
    <n v="22601447"/>
    <x v="0"/>
    <s v="CH (Cheque)"/>
    <s v="II. Receipts form Clients - non matured"/>
    <s v="Cheque PF"/>
    <s v="Sales of batteries - local"/>
    <s v="P/BTL+GABES-3025434"/>
    <s v="TND"/>
    <n v="578.08699999999999"/>
    <n v="1"/>
    <n v="578.08699999999999"/>
    <x v="0"/>
    <d v="2022-07-20T00:00:00"/>
    <n v="75"/>
    <d v="2022-10-03T00:00:00"/>
    <n v="-48"/>
    <s v="W40_2022"/>
    <x v="0"/>
  </r>
  <r>
    <x v="0"/>
    <x v="133"/>
    <n v="22124923"/>
    <x v="0"/>
    <s v="CH (Cheque)"/>
    <s v="II. Receipts form Clients - non matured"/>
    <s v="Cheque PF"/>
    <s v="Sales of batteries - local"/>
    <s v="P/TSB+MANNOUBA-8823873"/>
    <s v="TND"/>
    <n v="10000"/>
    <n v="1"/>
    <n v="10000"/>
    <x v="0"/>
    <d v="2022-07-28T00:00:00"/>
    <n v="67"/>
    <d v="2022-10-03T00:00:00"/>
    <n v="-48"/>
    <s v="W40_2022"/>
    <x v="0"/>
  </r>
  <r>
    <x v="0"/>
    <x v="28"/>
    <n v="22601469"/>
    <x v="0"/>
    <s v="CH (Cheque)"/>
    <s v="II. Receipts form Clients - non matured"/>
    <s v="Cheque PF"/>
    <s v="Sales of batteries - local"/>
    <s v="P/BNA+GABES-5795285"/>
    <s v="TND"/>
    <n v="1000"/>
    <n v="1"/>
    <n v="1000"/>
    <x v="0"/>
    <d v="2022-07-26T00:00:00"/>
    <n v="70"/>
    <d v="2022-10-04T00:00:00"/>
    <n v="-49"/>
    <s v="W40_2022"/>
    <x v="0"/>
  </r>
  <r>
    <x v="0"/>
    <x v="129"/>
    <n v="22601425"/>
    <x v="0"/>
    <s v="CH (Cheque)"/>
    <s v="II. Receipts form Clients - non matured"/>
    <s v="Cheque PF"/>
    <s v="Sales of batteries - local"/>
    <s v="P/BZ+MEDNINE-4000562"/>
    <s v="TND"/>
    <n v="2500"/>
    <n v="1"/>
    <n v="2500"/>
    <x v="0"/>
    <d v="2022-07-07T00:00:00"/>
    <n v="89"/>
    <d v="2022-10-04T00:00:00"/>
    <n v="-49"/>
    <s v="W40_2022"/>
    <x v="0"/>
  </r>
  <r>
    <x v="0"/>
    <x v="81"/>
    <n v="22801332"/>
    <x v="0"/>
    <s v="CH (Cheque)"/>
    <s v="II. Receipts form Clients - non matured"/>
    <s v="Cheque PF"/>
    <s v="Sales of batteries - local"/>
    <s v="P/STB+JEND-0451705"/>
    <s v="TND"/>
    <n v="2637.7950000000001"/>
    <n v="1"/>
    <n v="2637.7950000000001"/>
    <x v="0"/>
    <d v="2022-06-27T00:00:00"/>
    <n v="99"/>
    <d v="2022-10-04T00:00:00"/>
    <n v="-49"/>
    <s v="W40_2022"/>
    <x v="0"/>
  </r>
  <r>
    <x v="0"/>
    <x v="43"/>
    <n v="22125003"/>
    <x v="0"/>
    <s v="CH (Cheque)"/>
    <s v="II. Receipts form Clients - non matured"/>
    <s v="Cheque PF"/>
    <s v="Sales of batteries - local"/>
    <s v="P/UBCI+MEL BOUZELFA-88"/>
    <s v="TND"/>
    <n v="3089.6179999999999"/>
    <n v="1"/>
    <n v="3089.6179999999999"/>
    <x v="0"/>
    <d v="2022-08-05T00:00:00"/>
    <n v="61"/>
    <d v="2022-10-05T00:00:00"/>
    <n v="-50"/>
    <s v="W40_2022"/>
    <x v="0"/>
  </r>
  <r>
    <x v="0"/>
    <x v="78"/>
    <n v="22301717"/>
    <x v="0"/>
    <s v="CH (Cheque)"/>
    <s v="II. Receipts form Clients - non matured"/>
    <s v="Cheque PF"/>
    <s v="Sales of batteries - local"/>
    <s v="P/BIAT+SFAX-0007608"/>
    <s v="TND"/>
    <n v="2510"/>
    <n v="1"/>
    <n v="2510"/>
    <x v="0"/>
    <d v="2022-07-27T00:00:00"/>
    <n v="70"/>
    <d v="2022-10-05T00:00:00"/>
    <n v="-50"/>
    <s v="W40_2022"/>
    <x v="0"/>
  </r>
  <r>
    <x v="0"/>
    <x v="118"/>
    <n v="22301731"/>
    <x v="0"/>
    <s v="CH (Cheque)"/>
    <s v="II. Receipts form Clients - non matured"/>
    <s v="Cheque PF"/>
    <s v="Sales of batteries - local"/>
    <s v="P/BZ+SFAX-4003064"/>
    <s v="TND"/>
    <n v="8200"/>
    <n v="1"/>
    <n v="8200"/>
    <x v="0"/>
    <d v="2022-07-29T00:00:00"/>
    <n v="68"/>
    <d v="2022-10-05T00:00:00"/>
    <n v="-50"/>
    <s v="W40_2022"/>
    <x v="0"/>
  </r>
  <r>
    <x v="0"/>
    <x v="195"/>
    <n v="22301767"/>
    <x v="0"/>
    <s v="CH (Cheque)"/>
    <s v="II. Receipts form Clients - non matured"/>
    <s v="Cheque PF"/>
    <s v="Sales of batteries - local"/>
    <s v="P/ATTB+SFAX-0096899"/>
    <s v="TND"/>
    <n v="2409.9009999999998"/>
    <n v="1"/>
    <n v="2409.9009999999998"/>
    <x v="0"/>
    <d v="2022-08-05T00:00:00"/>
    <n v="61"/>
    <d v="2022-10-05T00:00:00"/>
    <n v="-50"/>
    <s v="W40_2022"/>
    <x v="0"/>
  </r>
  <r>
    <x v="0"/>
    <x v="156"/>
    <n v="22701273"/>
    <x v="0"/>
    <s v="CH (Cheque)"/>
    <s v="II. Receipts form Clients - non matured"/>
    <s v="Cheque PF"/>
    <s v="Sales of batteries - local"/>
    <s v="P/ZITOUNA+SIDI BOUZID-"/>
    <s v="TND"/>
    <n v="3680.2350000000001"/>
    <n v="1"/>
    <n v="3680.2350000000001"/>
    <x v="0"/>
    <d v="2022-08-04T00:00:00"/>
    <n v="62"/>
    <d v="2022-10-05T00:00:00"/>
    <n v="-50"/>
    <s v="W40_2022"/>
    <x v="0"/>
  </r>
  <r>
    <x v="0"/>
    <x v="73"/>
    <n v="22801395"/>
    <x v="0"/>
    <s v="CH (Cheque)"/>
    <s v="II. Receipts form Clients - non matured"/>
    <s v="Cheque PF"/>
    <s v="Sales of batteries - local"/>
    <s v="P/BQ ZIT+BOUSALEM-4000"/>
    <s v="TND"/>
    <n v="2225.9609999999998"/>
    <n v="1"/>
    <n v="2225.9609999999998"/>
    <x v="0"/>
    <d v="2022-07-28T00:00:00"/>
    <n v="69"/>
    <d v="2022-10-05T00:00:00"/>
    <n v="-50"/>
    <s v="W40_2022"/>
    <x v="0"/>
  </r>
  <r>
    <x v="0"/>
    <x v="33"/>
    <n v="22801381"/>
    <x v="0"/>
    <s v="CH (Cheque)"/>
    <s v="II. Receipts form Clients - non matured"/>
    <s v="Cheque PF"/>
    <s v="Sales of batteries - local"/>
    <s v="P/BQ ZIT+JEND-4000602"/>
    <s v="TND"/>
    <n v="3331.4029999999998"/>
    <n v="1"/>
    <n v="3331.4029999999998"/>
    <x v="0"/>
    <d v="2022-07-23T00:00:00"/>
    <n v="74"/>
    <d v="2022-10-05T00:00:00"/>
    <n v="-50"/>
    <s v="W40_2022"/>
    <x v="0"/>
  </r>
  <r>
    <x v="0"/>
    <x v="34"/>
    <n v="22801414"/>
    <x v="0"/>
    <s v="CH (Cheque)"/>
    <s v="II. Receipts form Clients - non matured"/>
    <s v="Cheque PF"/>
    <s v="Sales of batteries - local"/>
    <s v="P/BNA+BEJA-5800152"/>
    <s v="TND"/>
    <n v="1850"/>
    <n v="1"/>
    <n v="1850"/>
    <x v="0"/>
    <d v="2022-08-04T00:00:00"/>
    <n v="62"/>
    <d v="2022-10-05T00:00:00"/>
    <n v="-50"/>
    <s v="W40_2022"/>
    <x v="0"/>
  </r>
  <r>
    <x v="0"/>
    <x v="264"/>
    <n v="22601389"/>
    <x v="0"/>
    <s v="CH (Cheque)"/>
    <s v="II. Receipts form Clients - non matured"/>
    <s v="Cheque PF"/>
    <s v="Sales of batteries - local"/>
    <s v="P/BNA+GABES-5703590"/>
    <s v="TND"/>
    <n v="3000"/>
    <n v="1"/>
    <n v="3000"/>
    <x v="0"/>
    <d v="2022-06-24T00:00:00"/>
    <n v="103"/>
    <d v="2022-10-05T00:00:00"/>
    <n v="-50"/>
    <s v="W40_2022"/>
    <x v="0"/>
  </r>
  <r>
    <x v="0"/>
    <x v="263"/>
    <n v="22601394"/>
    <x v="0"/>
    <s v="CH (Cheque)"/>
    <s v="II. Receipts form Clients - non matured"/>
    <s v="Cheque PF"/>
    <s v="Sales of batteries - local"/>
    <s v="P/UBCI+ZERZIS-9074792"/>
    <s v="TND"/>
    <n v="5000"/>
    <n v="1"/>
    <n v="5000"/>
    <x v="0"/>
    <d v="2022-06-29T00:00:00"/>
    <n v="98"/>
    <d v="2022-10-05T00:00:00"/>
    <n v="-50"/>
    <s v="W40_2022"/>
    <x v="0"/>
  </r>
  <r>
    <x v="0"/>
    <x v="14"/>
    <n v="22601329"/>
    <x v="0"/>
    <s v="CH (Cheque)"/>
    <s v="II. Receipts form Clients - non matured"/>
    <s v="Cheque PF"/>
    <s v="Sales of batteries - local"/>
    <s v="P/UBCI+GABES-7466416"/>
    <s v="TND"/>
    <n v="868.79399999999998"/>
    <n v="1"/>
    <n v="868.79399999999998"/>
    <x v="0"/>
    <d v="2022-06-01T00:00:00"/>
    <n v="126"/>
    <d v="2022-10-05T00:00:00"/>
    <n v="-50"/>
    <s v="W40_2022"/>
    <x v="0"/>
  </r>
  <r>
    <x v="0"/>
    <x v="252"/>
    <n v="22401420"/>
    <x v="0"/>
    <s v="CH (Cheque)"/>
    <s v="II. Receipts form Clients - non matured"/>
    <s v="Cheque PF"/>
    <s v="Sales of batteries - local"/>
    <s v="D/UIB+KALAA KEBIRA-232"/>
    <s v="TND"/>
    <n v="3300"/>
    <n v="1"/>
    <n v="3300"/>
    <x v="0"/>
    <d v="2022-05-30T00:00:00"/>
    <n v="128"/>
    <d v="2022-10-05T00:00:00"/>
    <n v="-50"/>
    <s v="W40_2022"/>
    <x v="0"/>
  </r>
  <r>
    <x v="0"/>
    <x v="23"/>
    <n v="22401471"/>
    <x v="0"/>
    <s v="CH (Cheque)"/>
    <s v="II. Receipts form Clients - non matured"/>
    <s v="Cheque PF"/>
    <s v="Sales of batteries - local"/>
    <s v="P/UIB+KALAA KEBIRA-208"/>
    <s v="TND"/>
    <n v="1800.865"/>
    <n v="1"/>
    <n v="1800.865"/>
    <x v="0"/>
    <d v="2022-06-16T00:00:00"/>
    <n v="111"/>
    <d v="2022-10-05T00:00:00"/>
    <n v="-50"/>
    <s v="W40_2022"/>
    <x v="0"/>
  </r>
  <r>
    <x v="0"/>
    <x v="74"/>
    <n v="22401526"/>
    <x v="0"/>
    <s v="CH (Cheque)"/>
    <s v="II. Receipts form Clients - non matured"/>
    <s v="Cheque PF"/>
    <s v="Sales of batteries - local"/>
    <s v="D/BIAT+MONASTIR-000484"/>
    <s v="TND"/>
    <n v="1500"/>
    <n v="1"/>
    <n v="1500"/>
    <x v="0"/>
    <d v="2022-06-29T00:00:00"/>
    <n v="98"/>
    <d v="2022-10-05T00:00:00"/>
    <n v="-50"/>
    <s v="W40_2022"/>
    <x v="0"/>
  </r>
  <r>
    <x v="0"/>
    <x v="101"/>
    <n v="22124639"/>
    <x v="0"/>
    <s v="CH (Cheque)"/>
    <s v="II. Receipts form Clients - non matured"/>
    <s v="Cheque PF"/>
    <s v="Sales of batteries - local"/>
    <s v="P/STB+FOUCHANA-0004405"/>
    <s v="TND"/>
    <n v="1122.8209999999999"/>
    <n v="1"/>
    <n v="1122.8209999999999"/>
    <x v="0"/>
    <d v="2022-06-16T00:00:00"/>
    <n v="111"/>
    <d v="2022-10-05T00:00:00"/>
    <n v="-50"/>
    <s v="W40_2022"/>
    <x v="0"/>
  </r>
  <r>
    <x v="0"/>
    <x v="272"/>
    <n v="22124792"/>
    <x v="0"/>
    <s v="CH (Cheque)"/>
    <s v="II. Receipts form Clients - non matured"/>
    <s v="Cheque PF"/>
    <s v="Sales of batteries - local"/>
    <s v="P/BIAT+BEN AROUS-00013"/>
    <s v="TND"/>
    <n v="1401.6310000000001"/>
    <n v="1"/>
    <n v="1401.6310000000001"/>
    <x v="0"/>
    <d v="2022-06-30T00:00:00"/>
    <n v="97"/>
    <d v="2022-10-05T00:00:00"/>
    <n v="-50"/>
    <s v="W40_2022"/>
    <x v="0"/>
  </r>
  <r>
    <x v="0"/>
    <x v="68"/>
    <n v="22124658"/>
    <x v="0"/>
    <s v="CH (Cheque)"/>
    <s v="II. Receipts form Clients - non matured"/>
    <s v="Cheque PF"/>
    <s v="Sales of batteries - local"/>
    <s v="P/STB+TN-0002242"/>
    <s v="TND"/>
    <n v="2087.2809999999999"/>
    <n v="1"/>
    <n v="2087.2809999999999"/>
    <x v="0"/>
    <d v="2022-06-17T00:00:00"/>
    <n v="110"/>
    <d v="2022-10-05T00:00:00"/>
    <n v="-50"/>
    <s v="W40_2022"/>
    <x v="0"/>
  </r>
  <r>
    <x v="0"/>
    <x v="7"/>
    <n v="22124782"/>
    <x v="0"/>
    <s v="CH (Cheque)"/>
    <s v="II. Receipts form Clients - non matured"/>
    <s v="Cheque PF"/>
    <s v="Sales of batteries - local"/>
    <s v="P/BIAT+RAOUED-0003562"/>
    <s v="TND"/>
    <n v="1177.941"/>
    <n v="1"/>
    <n v="1177.941"/>
    <x v="0"/>
    <d v="2022-06-30T00:00:00"/>
    <n v="97"/>
    <d v="2022-10-05T00:00:00"/>
    <n v="-50"/>
    <s v="W40_2022"/>
    <x v="0"/>
  </r>
  <r>
    <x v="0"/>
    <x v="253"/>
    <n v="22124679"/>
    <x v="0"/>
    <s v="CH (Cheque)"/>
    <s v="II. Receipts form Clients - non matured"/>
    <s v="Cheque PF"/>
    <s v="Sales of batteries - local"/>
    <s v="P/BT+MNIHLA-8937188"/>
    <s v="TND"/>
    <n v="4461.1899999999996"/>
    <n v="1"/>
    <n v="4461.1899999999996"/>
    <x v="0"/>
    <d v="2022-06-21T00:00:00"/>
    <n v="106"/>
    <d v="2022-10-05T00:00:00"/>
    <n v="-50"/>
    <s v="W40_2022"/>
    <x v="0"/>
  </r>
  <r>
    <x v="0"/>
    <x v="254"/>
    <n v="22124687"/>
    <x v="0"/>
    <s v="CH (Cheque)"/>
    <s v="II. Receipts form Clients - non matured"/>
    <s v="Cheque PF"/>
    <s v="Sales of batteries - local"/>
    <s v="P/BTL+DENDEN-2987129"/>
    <s v="TND"/>
    <n v="4620.5990000000002"/>
    <n v="1"/>
    <n v="4620.5990000000002"/>
    <x v="0"/>
    <d v="2022-06-21T00:00:00"/>
    <n v="106"/>
    <d v="2022-10-05T00:00:00"/>
    <n v="-50"/>
    <s v="W40_2022"/>
    <x v="0"/>
  </r>
  <r>
    <x v="0"/>
    <x v="333"/>
    <n v="22124688"/>
    <x v="0"/>
    <s v="CH (Cheque)"/>
    <s v="II. Receipts form Clients - non matured"/>
    <s v="Cheque PF"/>
    <s v="Sales of batteries - local"/>
    <s v="P/UIB+OUED ELLIL-23213"/>
    <s v="TND"/>
    <n v="7319.2470000000003"/>
    <n v="1"/>
    <n v="7319.2470000000003"/>
    <x v="0"/>
    <d v="2022-06-21T00:00:00"/>
    <n v="106"/>
    <d v="2022-10-05T00:00:00"/>
    <n v="-50"/>
    <s v="W40_2022"/>
    <x v="0"/>
  </r>
  <r>
    <x v="0"/>
    <x v="257"/>
    <n v="22124794"/>
    <x v="0"/>
    <s v="CH (Cheque)"/>
    <s v="II. Receipts form Clients - non matured"/>
    <s v="Cheque PF"/>
    <s v="Sales of batteries - local"/>
    <s v="P/BT+MENIHLA-9097485"/>
    <s v="TND"/>
    <n v="1915.9929999999999"/>
    <n v="1"/>
    <n v="1915.9929999999999"/>
    <x v="0"/>
    <d v="2022-06-30T00:00:00"/>
    <n v="97"/>
    <d v="2022-10-05T00:00:00"/>
    <n v="-50"/>
    <s v="W40_2022"/>
    <x v="0"/>
  </r>
  <r>
    <x v="0"/>
    <x v="56"/>
    <n v="22124744"/>
    <x v="0"/>
    <s v="CH (Cheque)"/>
    <s v="II. Receipts form Clients - non matured"/>
    <s v="Cheque PF"/>
    <s v="Sales of batteries - local"/>
    <s v="P/BIAT+AV DE CARTHAGE-"/>
    <s v="TND"/>
    <n v="526.005"/>
    <n v="1"/>
    <n v="526.005"/>
    <x v="0"/>
    <d v="2022-06-27T00:00:00"/>
    <n v="100"/>
    <d v="2022-10-05T00:00:00"/>
    <n v="-50"/>
    <s v="W40_2022"/>
    <x v="0"/>
  </r>
  <r>
    <x v="0"/>
    <x v="334"/>
    <n v="22124766"/>
    <x v="0"/>
    <s v="CH (Cheque)"/>
    <s v="II. Receipts form Clients - non matured"/>
    <s v="Cheque PF"/>
    <s v="Sales of batteries - local"/>
    <s v="P/UIB+RAS JEBEL-133279"/>
    <s v="TND"/>
    <n v="8006.835"/>
    <n v="1"/>
    <n v="8006.835"/>
    <x v="0"/>
    <d v="2022-06-28T00:00:00"/>
    <n v="99"/>
    <d v="2022-10-05T00:00:00"/>
    <n v="-50"/>
    <s v="W40_2022"/>
    <x v="0"/>
  </r>
  <r>
    <x v="0"/>
    <x v="125"/>
    <n v="22301596"/>
    <x v="0"/>
    <s v="CH (Cheque)"/>
    <s v="II. Receipts form Clients - non matured"/>
    <s v="Cheque PF"/>
    <s v="Sales of batteries - local"/>
    <s v="P/BIAT+SFAX-0007502"/>
    <s v="TND"/>
    <n v="896.327"/>
    <n v="1"/>
    <n v="896.327"/>
    <x v="0"/>
    <d v="2022-06-27T00:00:00"/>
    <n v="100"/>
    <d v="2022-10-05T00:00:00"/>
    <n v="-50"/>
    <s v="W40_2022"/>
    <x v="0"/>
  </r>
  <r>
    <x v="0"/>
    <x v="28"/>
    <n v="22601468"/>
    <x v="0"/>
    <s v="CH (Cheque)"/>
    <s v="II. Receipts form Clients - non matured"/>
    <s v="Cheque PF"/>
    <s v="Sales of batteries - local"/>
    <s v="P/BNA+GABES-5795286"/>
    <s v="TND"/>
    <n v="1000"/>
    <n v="1"/>
    <n v="1000"/>
    <x v="0"/>
    <d v="2022-07-26T00:00:00"/>
    <n v="72"/>
    <d v="2022-10-06T00:00:00"/>
    <n v="-51"/>
    <s v="W40_2022"/>
    <x v="0"/>
  </r>
  <r>
    <x v="0"/>
    <x v="245"/>
    <n v="22124745"/>
    <x v="0"/>
    <s v="CH (Cheque)"/>
    <s v="II. Receipts form Clients - non matured"/>
    <s v="Cheque PF"/>
    <s v="Sales of batteries - local"/>
    <s v="P/AMEN B+KALAAT EL AND"/>
    <s v="TND"/>
    <n v="2199.0050000000001"/>
    <n v="1"/>
    <n v="2199.0050000000001"/>
    <x v="0"/>
    <d v="2022-06-27T00:00:00"/>
    <n v="101"/>
    <d v="2022-10-06T00:00:00"/>
    <n v="-51"/>
    <s v="W40_2022"/>
    <x v="0"/>
  </r>
  <r>
    <x v="0"/>
    <x v="126"/>
    <n v="22124935"/>
    <x v="0"/>
    <s v="CH (Cheque)"/>
    <s v="II. Receipts form Clients - non matured"/>
    <s v="Cheque PF"/>
    <s v="Sales of batteries - local"/>
    <s v="P/BNA+M.TEMIM-6123950"/>
    <s v="TND"/>
    <n v="2105.8620000000001"/>
    <n v="1"/>
    <n v="2105.8620000000001"/>
    <x v="0"/>
    <d v="2022-07-28T00:00:00"/>
    <n v="70"/>
    <d v="2022-10-06T00:00:00"/>
    <n v="-51"/>
    <s v="W40_2022"/>
    <x v="0"/>
  </r>
  <r>
    <x v="0"/>
    <x v="8"/>
    <n v="22301625"/>
    <x v="0"/>
    <s v="CH (Cheque)"/>
    <s v="II. Receipts form Clients - non matured"/>
    <s v="Cheque PF"/>
    <s v="Sales of batteries - local"/>
    <s v="P/BZ+SFAX-4000701"/>
    <s v="TND"/>
    <n v="5790"/>
    <n v="1"/>
    <n v="5790"/>
    <x v="0"/>
    <d v="2022-06-30T00:00:00"/>
    <n v="98"/>
    <d v="2022-10-06T00:00:00"/>
    <n v="-51"/>
    <s v="W40_2022"/>
    <x v="0"/>
  </r>
  <r>
    <x v="0"/>
    <x v="307"/>
    <n v="22401631"/>
    <x v="0"/>
    <s v="CH (Cheque)"/>
    <s v="II. Receipts form Clients - non matured"/>
    <s v="Cheque PF"/>
    <s v="Sales of batteries - local"/>
    <s v="P/ATB+H.SOUSSE-6387757"/>
    <s v="TND"/>
    <n v="2116.8290000000002"/>
    <n v="1"/>
    <n v="2116.8290000000002"/>
    <x v="0"/>
    <d v="2022-07-27T00:00:00"/>
    <n v="72"/>
    <d v="2022-10-07T00:00:00"/>
    <n v="-52"/>
    <s v="W40_2022"/>
    <x v="0"/>
  </r>
  <r>
    <x v="0"/>
    <x v="154"/>
    <n v="22601486"/>
    <x v="0"/>
    <s v="CH (Cheque)"/>
    <s v="II. Receipts form Clients - non matured"/>
    <s v="Cheque PF"/>
    <s v="Sales of batteries - local"/>
    <s v="p/amen+gabes-9607575"/>
    <s v="TND"/>
    <n v="1100"/>
    <n v="1"/>
    <n v="1100"/>
    <x v="0"/>
    <d v="2022-07-27T00:00:00"/>
    <n v="72"/>
    <d v="2022-10-07T00:00:00"/>
    <n v="-52"/>
    <s v="W40_2022"/>
    <x v="0"/>
  </r>
  <r>
    <x v="0"/>
    <x v="89"/>
    <n v="22701254"/>
    <x v="0"/>
    <s v="CH (Cheque)"/>
    <s v="II. Receipts form Clients - non matured"/>
    <s v="Cheque PF"/>
    <s v="Sales of batteries - local"/>
    <s v="P/BNA+MEKNASY-6099083"/>
    <s v="TND"/>
    <n v="3000"/>
    <n v="1"/>
    <n v="3000"/>
    <x v="0"/>
    <d v="2022-07-29T00:00:00"/>
    <n v="70"/>
    <d v="2022-10-07T00:00:00"/>
    <n v="-52"/>
    <s v="W40_2022"/>
    <x v="0"/>
  </r>
  <r>
    <x v="0"/>
    <x v="83"/>
    <n v="22601432"/>
    <x v="0"/>
    <s v="CH (Cheque)"/>
    <s v="II. Receipts form Clients - non matured"/>
    <s v="Cheque PF"/>
    <s v="Sales of batteries - local"/>
    <s v="P/ATB+GABES-6400220"/>
    <s v="TND"/>
    <n v="1717.6769999999999"/>
    <n v="1"/>
    <n v="1717.6769999999999"/>
    <x v="0"/>
    <d v="2022-07-13T00:00:00"/>
    <n v="86"/>
    <d v="2022-10-07T00:00:00"/>
    <n v="-52"/>
    <s v="W40_2022"/>
    <x v="0"/>
  </r>
  <r>
    <x v="0"/>
    <x v="9"/>
    <n v="22601446"/>
    <x v="0"/>
    <s v="CH (Cheque)"/>
    <s v="II. Receipts form Clients - non matured"/>
    <s v="Cheque PF"/>
    <s v="Sales of batteries - local"/>
    <s v="P/BTL+GABES-3025435"/>
    <s v="TND"/>
    <n v="578.08699999999999"/>
    <n v="1"/>
    <n v="578.08699999999999"/>
    <x v="0"/>
    <d v="2022-07-20T00:00:00"/>
    <n v="79"/>
    <d v="2022-10-07T00:00:00"/>
    <n v="-52"/>
    <s v="W40_2022"/>
    <x v="0"/>
  </r>
  <r>
    <x v="0"/>
    <x v="143"/>
    <n v="22124884"/>
    <x v="0"/>
    <s v="CH (Cheque)"/>
    <s v="II. Receipts form Clients - non matured"/>
    <s v="Cheque PF"/>
    <s v="Sales of batteries - local"/>
    <s v="P/BIAT+TN-0002692"/>
    <s v="TND"/>
    <n v="1110.4639999999999"/>
    <n v="1"/>
    <n v="1110.4639999999999"/>
    <x v="0"/>
    <d v="2022-07-27T00:00:00"/>
    <n v="72"/>
    <d v="2022-10-07T00:00:00"/>
    <n v="-52"/>
    <s v="W40_2022"/>
    <x v="0"/>
  </r>
  <r>
    <x v="0"/>
    <x v="29"/>
    <n v="22601473"/>
    <x v="0"/>
    <s v="CH (Cheque)"/>
    <s v="II. Receipts form Clients - non matured"/>
    <s v="Cheque PF"/>
    <s v="Sales of batteries - local"/>
    <s v="P/BIAT+ZERZIS-0003329"/>
    <s v="TND"/>
    <n v="968.59"/>
    <n v="1"/>
    <n v="968.59"/>
    <x v="0"/>
    <d v="2022-07-27T00:00:00"/>
    <n v="73"/>
    <d v="2022-10-08T00:00:00"/>
    <n v="-53"/>
    <s v="W41_2022"/>
    <x v="0"/>
  </r>
  <r>
    <x v="0"/>
    <x v="11"/>
    <n v="22401540"/>
    <x v="0"/>
    <s v="CH (Cheque)"/>
    <s v="II. Receipts form Clients - non matured"/>
    <s v="Cheque PF"/>
    <s v="Sales of batteries - local"/>
    <s v="D/BIAT+JEMMAL-0000436"/>
    <s v="TND"/>
    <n v="2500"/>
    <n v="1"/>
    <n v="2500"/>
    <x v="0"/>
    <d v="2022-06-30T00:00:00"/>
    <n v="100"/>
    <d v="2022-10-08T00:00:00"/>
    <n v="-53"/>
    <s v="W41_2022"/>
    <x v="0"/>
  </r>
  <r>
    <x v="0"/>
    <x v="222"/>
    <n v="22124753"/>
    <x v="0"/>
    <s v="CH (Cheque)"/>
    <s v="II. Receipts form Clients - non matured"/>
    <s v="Cheque PF"/>
    <s v="Sales of batteries - local"/>
    <s v="P/UBCI+MORNEG-8896605"/>
    <s v="TND"/>
    <n v="1300"/>
    <n v="1"/>
    <n v="1300"/>
    <x v="0"/>
    <d v="2022-06-27T00:00:00"/>
    <n v="103"/>
    <d v="2022-10-08T00:00:00"/>
    <n v="-53"/>
    <s v="W41_2022"/>
    <x v="0"/>
  </r>
  <r>
    <x v="0"/>
    <x v="186"/>
    <n v="22125001"/>
    <x v="0"/>
    <s v="CH (Cheque)"/>
    <s v="II. Receipts form Clients - non matured"/>
    <s v="Cheque PF"/>
    <s v="Sales of batteries - local"/>
    <s v="P/STB+MEGRINE-0000163"/>
    <s v="TND"/>
    <n v="3000"/>
    <n v="1"/>
    <n v="3000"/>
    <x v="0"/>
    <d v="2022-08-05T00:00:00"/>
    <n v="66"/>
    <d v="2022-10-10T00:00:00"/>
    <n v="-55"/>
    <s v="W41_2022"/>
    <x v="0"/>
  </r>
  <r>
    <x v="0"/>
    <x v="258"/>
    <n v="22124991"/>
    <x v="0"/>
    <s v="CH (Cheque)"/>
    <s v="II. Receipts form Clients - non matured"/>
    <s v="Cheque PF"/>
    <s v="Sales of batteries - local"/>
    <s v="P/BTK+MEGRINE-7992993"/>
    <s v="TND"/>
    <n v="410.779"/>
    <n v="1"/>
    <n v="410.779"/>
    <x v="0"/>
    <d v="2022-08-05T00:00:00"/>
    <n v="66"/>
    <d v="2022-10-10T00:00:00"/>
    <n v="-55"/>
    <s v="W41_2022"/>
    <x v="0"/>
  </r>
  <r>
    <x v="0"/>
    <x v="273"/>
    <n v="22124983"/>
    <x v="0"/>
    <s v="CH (Cheque)"/>
    <s v="II. Receipts form Clients - non matured"/>
    <s v="Cheque PF"/>
    <s v="Sales of batteries - local"/>
    <s v="P/BH+MEL BOURGUIBA-202"/>
    <s v="TND"/>
    <n v="748.88400000000001"/>
    <n v="1"/>
    <n v="748.88400000000001"/>
    <x v="0"/>
    <d v="2022-08-03T00:00:00"/>
    <n v="68"/>
    <d v="2022-10-10T00:00:00"/>
    <n v="-55"/>
    <s v="W41_2022"/>
    <x v="0"/>
  </r>
  <r>
    <x v="0"/>
    <x v="79"/>
    <n v="22301711"/>
    <x v="0"/>
    <s v="CH (Cheque)"/>
    <s v="II. Receipts form Clients - non matured"/>
    <s v="Cheque PF"/>
    <s v="Sales of batteries - local"/>
    <s v="P/BH+SFAX-0422249"/>
    <s v="TND"/>
    <n v="1439.5"/>
    <n v="1"/>
    <n v="1439.5"/>
    <x v="0"/>
    <d v="2022-07-27T00:00:00"/>
    <n v="75"/>
    <d v="2022-10-10T00:00:00"/>
    <n v="-55"/>
    <s v="W41_2022"/>
    <x v="0"/>
  </r>
  <r>
    <x v="0"/>
    <x v="233"/>
    <n v="22301747"/>
    <x v="0"/>
    <s v="CH (Cheque)"/>
    <s v="II. Receipts form Clients - non matured"/>
    <s v="Cheque PF"/>
    <s v="Sales of batteries - local"/>
    <s v="P/BNA+SFAX-6035353"/>
    <s v="TND"/>
    <n v="3000"/>
    <n v="1"/>
    <n v="3000"/>
    <x v="0"/>
    <d v="2022-08-04T00:00:00"/>
    <n v="67"/>
    <d v="2022-10-10T00:00:00"/>
    <n v="-55"/>
    <s v="W41_2022"/>
    <x v="0"/>
  </r>
  <r>
    <x v="0"/>
    <x v="114"/>
    <n v="22301768"/>
    <x v="0"/>
    <s v="CH (Cheque)"/>
    <s v="II. Receipts form Clients - non matured"/>
    <s v="Cheque PF"/>
    <s v="Sales of batteries - local"/>
    <s v="P/BZ+SFAX-4000667"/>
    <s v="TND"/>
    <n v="1184.4010000000001"/>
    <n v="1"/>
    <n v="1184.4010000000001"/>
    <x v="0"/>
    <d v="2022-08-05T00:00:00"/>
    <n v="66"/>
    <d v="2022-10-10T00:00:00"/>
    <n v="-55"/>
    <s v="W41_2022"/>
    <x v="0"/>
  </r>
  <r>
    <x v="0"/>
    <x v="267"/>
    <n v="22601506"/>
    <x v="0"/>
    <s v="CH (Cheque)"/>
    <s v="II. Receipts form Clients - non matured"/>
    <s v="Cheque PF"/>
    <s v="Sales of batteries - local"/>
    <s v="P/BNA+DJERBA-6143838"/>
    <s v="TND"/>
    <n v="756"/>
    <n v="1"/>
    <n v="756"/>
    <x v="0"/>
    <d v="2022-08-04T00:00:00"/>
    <n v="67"/>
    <d v="2022-10-10T00:00:00"/>
    <n v="-55"/>
    <s v="W41_2022"/>
    <x v="0"/>
  </r>
  <r>
    <x v="0"/>
    <x v="34"/>
    <n v="22801415"/>
    <x v="0"/>
    <s v="CH (Cheque)"/>
    <s v="II. Receipts form Clients - non matured"/>
    <s v="Cheque PF"/>
    <s v="Sales of batteries - local"/>
    <s v="P/BNA+BEJA-5800153"/>
    <s v="TND"/>
    <n v="1855"/>
    <n v="1"/>
    <n v="1855"/>
    <x v="0"/>
    <d v="2022-08-04T00:00:00"/>
    <n v="67"/>
    <d v="2022-10-10T00:00:00"/>
    <n v="-55"/>
    <s v="W41_2022"/>
    <x v="0"/>
  </r>
  <r>
    <x v="0"/>
    <x v="202"/>
    <n v="22601400"/>
    <x v="0"/>
    <s v="CH (Cheque)"/>
    <s v="II. Receipts form Clients - non matured"/>
    <s v="Cheque PF"/>
    <s v="Sales of batteries - local"/>
    <s v="P/UIB+GABES-2181546"/>
    <s v="TND"/>
    <n v="3400"/>
    <n v="1"/>
    <n v="3400"/>
    <x v="0"/>
    <d v="2022-06-29T00:00:00"/>
    <n v="103"/>
    <d v="2022-10-10T00:00:00"/>
    <n v="-55"/>
    <s v="W41_2022"/>
    <x v="0"/>
  </r>
  <r>
    <x v="0"/>
    <x v="263"/>
    <n v="22601393"/>
    <x v="0"/>
    <s v="CH (Cheque)"/>
    <s v="II. Receipts form Clients - non matured"/>
    <s v="Cheque PF"/>
    <s v="Sales of batteries - local"/>
    <s v="P/UBCI+ZERZIS-9074793"/>
    <s v="TND"/>
    <n v="5661.2079999999996"/>
    <n v="1"/>
    <n v="5661.2079999999996"/>
    <x v="0"/>
    <d v="2022-06-29T00:00:00"/>
    <n v="103"/>
    <d v="2022-10-10T00:00:00"/>
    <n v="-55"/>
    <s v="W41_2022"/>
    <x v="0"/>
  </r>
  <r>
    <x v="0"/>
    <x v="14"/>
    <n v="22601328"/>
    <x v="0"/>
    <s v="CH (Cheque)"/>
    <s v="II. Receipts form Clients - non matured"/>
    <s v="Cheque PF"/>
    <s v="Sales of batteries - local"/>
    <s v="P/UBCI+GABES-7466413"/>
    <s v="TND"/>
    <n v="900"/>
    <n v="1"/>
    <n v="900"/>
    <x v="0"/>
    <d v="2022-06-01T00:00:00"/>
    <n v="131"/>
    <d v="2022-10-10T00:00:00"/>
    <n v="-55"/>
    <s v="W41_2022"/>
    <x v="0"/>
  </r>
  <r>
    <x v="0"/>
    <x v="9"/>
    <n v="22601440"/>
    <x v="0"/>
    <s v="CH (Cheque)"/>
    <s v="II. Receipts form Clients - non matured"/>
    <s v="Cheque PF"/>
    <s v="Sales of batteries - local"/>
    <s v="P/BTL+GABES-3025437"/>
    <s v="TND"/>
    <n v="578.08699999999999"/>
    <n v="1"/>
    <n v="578.08699999999999"/>
    <x v="0"/>
    <d v="2022-07-20T00:00:00"/>
    <n v="82"/>
    <d v="2022-10-10T00:00:00"/>
    <n v="-55"/>
    <s v="W41_2022"/>
    <x v="0"/>
  </r>
  <r>
    <x v="0"/>
    <x v="250"/>
    <n v="22701244"/>
    <x v="0"/>
    <s v="CH (Cheque)"/>
    <s v="II. Receipts form Clients - non matured"/>
    <s v="Cheque PF"/>
    <s v="Sales of batteries - local"/>
    <s v="P/UIB+KASSERINE-937756"/>
    <s v="TND"/>
    <n v="2579.89"/>
    <n v="1"/>
    <n v="2579.89"/>
    <x v="0"/>
    <d v="2022-07-21T00:00:00"/>
    <n v="81"/>
    <d v="2022-10-10T00:00:00"/>
    <n v="-55"/>
    <s v="W41_2022"/>
    <x v="0"/>
  </r>
  <r>
    <x v="0"/>
    <x v="206"/>
    <n v="22701233"/>
    <x v="0"/>
    <s v="CH (Cheque)"/>
    <s v="II. Receipts form Clients - non matured"/>
    <s v="Cheque PF"/>
    <s v="Sales of batteries - local"/>
    <s v="P/BIAT+KEBILI-0001993"/>
    <s v="TND"/>
    <n v="2561.5520000000001"/>
    <n v="1"/>
    <n v="2561.5520000000001"/>
    <x v="0"/>
    <d v="2022-07-14T00:00:00"/>
    <n v="88"/>
    <d v="2022-10-10T00:00:00"/>
    <n v="-55"/>
    <s v="W41_2022"/>
    <x v="0"/>
  </r>
  <r>
    <x v="0"/>
    <x v="164"/>
    <n v="22801343"/>
    <x v="0"/>
    <s v="CH (Cheque)"/>
    <s v="II. Receipts form Clients - non matured"/>
    <s v="Cheque PF"/>
    <s v="Sales of batteries - local"/>
    <s v="P/BNA+ERROUHIA-5794225"/>
    <s v="TND"/>
    <n v="4421.6059999999998"/>
    <n v="1"/>
    <n v="4421.6059999999998"/>
    <x v="0"/>
    <d v="2022-07-08T00:00:00"/>
    <n v="94"/>
    <d v="2022-10-10T00:00:00"/>
    <n v="-55"/>
    <s v="W41_2022"/>
    <x v="0"/>
  </r>
  <r>
    <x v="0"/>
    <x v="20"/>
    <n v="22801251"/>
    <x v="0"/>
    <s v="CH (Cheque)"/>
    <s v="II. Receipts form Clients - non matured"/>
    <s v="Cheque PF"/>
    <s v="Sales of batteries - local"/>
    <s v="P/BTE+BEJA-6262725"/>
    <s v="TND"/>
    <n v="8655.2970000000005"/>
    <n v="1"/>
    <n v="8655.2970000000005"/>
    <x v="0"/>
    <d v="2022-05-24T00:00:00"/>
    <n v="139"/>
    <d v="2022-10-10T00:00:00"/>
    <n v="-55"/>
    <s v="W41_2022"/>
    <x v="0"/>
  </r>
  <r>
    <x v="0"/>
    <x v="91"/>
    <n v="22801307"/>
    <x v="0"/>
    <s v="CH (Cheque)"/>
    <s v="II. Receipts form Clients - non matured"/>
    <s v="Cheque PF"/>
    <s v="Sales of batteries - local"/>
    <s v="P/UIB+BEJA-9895809"/>
    <s v="TND"/>
    <n v="2830.9740000000002"/>
    <n v="1"/>
    <n v="2830.9740000000002"/>
    <x v="0"/>
    <d v="2022-06-15T00:00:00"/>
    <n v="117"/>
    <d v="2022-10-10T00:00:00"/>
    <n v="-55"/>
    <s v="W41_2022"/>
    <x v="0"/>
  </r>
  <r>
    <x v="0"/>
    <x v="19"/>
    <n v="22801359"/>
    <x v="0"/>
    <s v="CH (Cheque)"/>
    <s v="II. Receipts form Clients - non matured"/>
    <s v="Cheque PF"/>
    <s v="Sales of batteries - local"/>
    <s v="P/BNA+TESTOUR-6191997"/>
    <s v="TND"/>
    <n v="1000"/>
    <n v="1"/>
    <n v="1000"/>
    <x v="0"/>
    <d v="2022-07-18T00:00:00"/>
    <n v="84"/>
    <d v="2022-10-10T00:00:00"/>
    <n v="-55"/>
    <s v="W41_2022"/>
    <x v="0"/>
  </r>
  <r>
    <x v="0"/>
    <x v="308"/>
    <n v="22401552"/>
    <x v="0"/>
    <s v="CH (Cheque)"/>
    <s v="II. Receipts form Clients - non matured"/>
    <s v="Cheque PF"/>
    <s v="Sales of batteries - local"/>
    <s v="D/UIB+BEMBLA-7479732"/>
    <s v="TND"/>
    <n v="2000"/>
    <n v="1"/>
    <n v="2000"/>
    <x v="0"/>
    <d v="2022-06-30T00:00:00"/>
    <n v="102"/>
    <d v="2022-10-10T00:00:00"/>
    <n v="-55"/>
    <s v="W41_2022"/>
    <x v="0"/>
  </r>
  <r>
    <x v="0"/>
    <x v="271"/>
    <n v="22124781"/>
    <x v="0"/>
    <s v="CH (Cheque)"/>
    <s v="II. Receipts form Clients - non matured"/>
    <s v="Cheque PF"/>
    <s v="Sales of batteries - local"/>
    <s v="P/ATB+BENI KHIAR-58482"/>
    <s v="TND"/>
    <n v="7502.1620000000003"/>
    <n v="1"/>
    <n v="7502.1620000000003"/>
    <x v="0"/>
    <d v="2022-06-29T00:00:00"/>
    <n v="103"/>
    <d v="2022-10-10T00:00:00"/>
    <n v="-55"/>
    <s v="W41_2022"/>
    <x v="0"/>
  </r>
  <r>
    <x v="0"/>
    <x v="98"/>
    <n v="22124910"/>
    <x v="0"/>
    <s v="CH (Cheque)"/>
    <s v="II. Receipts form Clients - non matured"/>
    <s v="Cheque PF"/>
    <s v="Sales of batteries - local"/>
    <s v="P/BZ+TN-4003394"/>
    <s v="TND"/>
    <n v="2000"/>
    <n v="1"/>
    <n v="2000"/>
    <x v="0"/>
    <d v="2022-07-28T00:00:00"/>
    <n v="74"/>
    <d v="2022-10-10T00:00:00"/>
    <n v="-55"/>
    <s v="W41_2022"/>
    <x v="0"/>
  </r>
  <r>
    <x v="0"/>
    <x v="274"/>
    <n v="22124632"/>
    <x v="0"/>
    <s v="CH (Cheque)"/>
    <s v="II. Receipts form Clients - non matured"/>
    <s v="Cheque PF"/>
    <s v="Sales of batteries - local"/>
    <s v="P/BIAT+KELIBIA-0005794"/>
    <s v="TND"/>
    <n v="8057.7380000000003"/>
    <n v="1"/>
    <n v="8057.7380000000003"/>
    <x v="0"/>
    <d v="2022-06-15T00:00:00"/>
    <n v="117"/>
    <d v="2022-10-10T00:00:00"/>
    <n v="-55"/>
    <s v="W41_2022"/>
    <x v="0"/>
  </r>
  <r>
    <x v="0"/>
    <x v="296"/>
    <n v="22124825"/>
    <x v="0"/>
    <s v="CH (Cheque)"/>
    <s v="II. Receipts form Clients - non matured"/>
    <s v="Cheque PF"/>
    <s v="Sales of batteries - local"/>
    <s v="P/STB+EL HRAIRIA-00008"/>
    <s v="TND"/>
    <n v="1800"/>
    <n v="1"/>
    <n v="1800"/>
    <x v="0"/>
    <d v="2022-07-12T00:00:00"/>
    <n v="90"/>
    <d v="2022-10-10T00:00:00"/>
    <n v="-55"/>
    <s v="W41_2022"/>
    <x v="0"/>
  </r>
  <r>
    <x v="0"/>
    <x v="7"/>
    <n v="22124783"/>
    <x v="0"/>
    <s v="CH (Cheque)"/>
    <s v="II. Receipts form Clients - non matured"/>
    <s v="Cheque PF"/>
    <s v="Sales of batteries - local"/>
    <s v="P/BIAT+RAOUED-0003563"/>
    <s v="TND"/>
    <n v="1177.941"/>
    <n v="1"/>
    <n v="1177.941"/>
    <x v="0"/>
    <d v="2022-06-30T00:00:00"/>
    <n v="102"/>
    <d v="2022-10-10T00:00:00"/>
    <n v="-55"/>
    <s v="W41_2022"/>
    <x v="0"/>
  </r>
  <r>
    <x v="0"/>
    <x v="104"/>
    <n v="22124675"/>
    <x v="0"/>
    <s v="CH (Cheque)"/>
    <s v="II. Receipts form Clients - non matured"/>
    <s v="Cheque PF"/>
    <s v="Sales of batteries - local"/>
    <s v="P/BIAT+ARIANA-0001982"/>
    <s v="TND"/>
    <n v="2283.8449999999998"/>
    <n v="1"/>
    <n v="2283.8449999999998"/>
    <x v="0"/>
    <d v="2022-06-20T00:00:00"/>
    <n v="112"/>
    <d v="2022-10-10T00:00:00"/>
    <n v="-55"/>
    <s v="W41_2022"/>
    <x v="0"/>
  </r>
  <r>
    <x v="0"/>
    <x v="99"/>
    <n v="22124716"/>
    <x v="0"/>
    <s v="CH (Cheque)"/>
    <s v="II. Receipts form Clients - non matured"/>
    <s v="Cheque PF"/>
    <s v="Sales of batteries - local"/>
    <s v="P/STB+FOUCHANA-0000476"/>
    <s v="TND"/>
    <n v="1084.537"/>
    <n v="1"/>
    <n v="1084.537"/>
    <x v="0"/>
    <d v="2022-06-24T00:00:00"/>
    <n v="108"/>
    <d v="2022-10-10T00:00:00"/>
    <n v="-55"/>
    <s v="W41_2022"/>
    <x v="0"/>
  </r>
  <r>
    <x v="0"/>
    <x v="277"/>
    <n v="22124795"/>
    <x v="0"/>
    <s v="CH (Cheque)"/>
    <s v="II. Receipts form Clients - non matured"/>
    <s v="Cheque PF"/>
    <s v="Sales of batteries - local"/>
    <s v="P/UIB+BARDO-2339347"/>
    <s v="TND"/>
    <n v="1230.4000000000001"/>
    <n v="1"/>
    <n v="1230.4000000000001"/>
    <x v="0"/>
    <d v="2022-06-30T00:00:00"/>
    <n v="102"/>
    <d v="2022-10-10T00:00:00"/>
    <n v="-55"/>
    <s v="W41_2022"/>
    <x v="0"/>
  </r>
  <r>
    <x v="0"/>
    <x v="176"/>
    <n v="22124755"/>
    <x v="0"/>
    <s v="CH (Cheque)"/>
    <s v="II. Receipts form Clients - non matured"/>
    <s v="Cheque PF"/>
    <s v="Sales of batteries - local"/>
    <s v="P/ATB+HAMMAMET-6006960"/>
    <s v="TND"/>
    <n v="2476.5320000000002"/>
    <n v="1"/>
    <n v="2476.5320000000002"/>
    <x v="0"/>
    <d v="2022-06-27T00:00:00"/>
    <n v="105"/>
    <d v="2022-10-10T00:00:00"/>
    <n v="-55"/>
    <s v="W41_2022"/>
    <x v="0"/>
  </r>
  <r>
    <x v="0"/>
    <x v="101"/>
    <n v="22124844"/>
    <x v="0"/>
    <s v="CH (Cheque)"/>
    <s v="II. Receipts form Clients - non matured"/>
    <s v="Cheque PF"/>
    <s v="Sales of batteries - local"/>
    <s v="P/STB+FOUCHANA-0004413"/>
    <s v="TND"/>
    <n v="500"/>
    <n v="1"/>
    <n v="500"/>
    <x v="0"/>
    <d v="2022-07-15T00:00:00"/>
    <n v="87"/>
    <d v="2022-10-10T00:00:00"/>
    <n v="-55"/>
    <s v="W41_2022"/>
    <x v="0"/>
  </r>
  <r>
    <x v="0"/>
    <x v="275"/>
    <n v="22124858"/>
    <x v="0"/>
    <s v="CH (Cheque)"/>
    <s v="II. Receipts form Clients - non matured"/>
    <s v="Cheque PF"/>
    <s v="Sales of batteries - local"/>
    <s v="P/STB+ENFIDHA-0000089"/>
    <s v="TND"/>
    <n v="2061.7159999999999"/>
    <n v="1"/>
    <n v="2061.7159999999999"/>
    <x v="0"/>
    <d v="2022-07-19T00:00:00"/>
    <n v="83"/>
    <d v="2022-10-10T00:00:00"/>
    <n v="-55"/>
    <s v="W41_2022"/>
    <x v="0"/>
  </r>
  <r>
    <x v="0"/>
    <x v="150"/>
    <n v="22124939"/>
    <x v="0"/>
    <s v="CH (Cheque)"/>
    <s v="II. Receipts form Clients - non matured"/>
    <s v="Cheque PF"/>
    <s v="Sales of batteries - local"/>
    <s v="P/BT+TN-9055476"/>
    <s v="TND"/>
    <n v="29515.696"/>
    <n v="1"/>
    <n v="29515.696"/>
    <x v="0"/>
    <d v="2022-07-28T00:00:00"/>
    <n v="74"/>
    <d v="2022-10-10T00:00:00"/>
    <n v="-55"/>
    <s v="W41_2022"/>
    <x v="0"/>
  </r>
  <r>
    <x v="0"/>
    <x v="108"/>
    <n v="22124888"/>
    <x v="0"/>
    <s v="CH (Cheque)"/>
    <s v="II. Receipts form Clients - non matured"/>
    <s v="Cheque PF"/>
    <s v="Sales of batteries - local"/>
    <s v="P/STB+TN-0006109"/>
    <s v="TND"/>
    <n v="1526.0540000000001"/>
    <n v="1"/>
    <n v="1526.0540000000001"/>
    <x v="0"/>
    <d v="2022-07-27T00:00:00"/>
    <n v="75"/>
    <d v="2022-10-10T00:00:00"/>
    <n v="-55"/>
    <s v="W41_2022"/>
    <x v="0"/>
  </r>
  <r>
    <x v="0"/>
    <x v="277"/>
    <n v="22124905"/>
    <x v="0"/>
    <s v="CH (Cheque)"/>
    <s v="II. Receipts form Clients - non matured"/>
    <s v="Cheque PF"/>
    <s v="Sales of batteries - local"/>
    <s v="P/UIB+TN-2339361"/>
    <s v="TND"/>
    <n v="723.8"/>
    <n v="1"/>
    <n v="723.8"/>
    <x v="0"/>
    <d v="2022-07-28T00:00:00"/>
    <n v="74"/>
    <d v="2022-10-10T00:00:00"/>
    <n v="-55"/>
    <s v="W41_2022"/>
    <x v="0"/>
  </r>
  <r>
    <x v="0"/>
    <x v="111"/>
    <n v="22124931"/>
    <x v="0"/>
    <s v="CH (Cheque)"/>
    <s v="II. Receipts form Clients - non matured"/>
    <s v="Cheque PF"/>
    <s v="Sales of batteries - local"/>
    <s v="P/BH+TN-2352276"/>
    <s v="TND"/>
    <n v="15000"/>
    <n v="1"/>
    <n v="15000"/>
    <x v="0"/>
    <d v="2022-07-28T00:00:00"/>
    <n v="74"/>
    <d v="2022-10-10T00:00:00"/>
    <n v="-55"/>
    <s v="W41_2022"/>
    <x v="0"/>
  </r>
  <r>
    <x v="0"/>
    <x v="110"/>
    <n v="22124976"/>
    <x v="0"/>
    <s v="CH (Cheque)"/>
    <s v="II. Receipts form Clients - non matured"/>
    <s v="Cheque PF"/>
    <s v="Sales of batteries - local"/>
    <s v="P/BT+TN-8766943"/>
    <s v="TND"/>
    <n v="728.52599999999995"/>
    <n v="1"/>
    <n v="728.52599999999995"/>
    <x v="0"/>
    <d v="2022-07-29T00:00:00"/>
    <n v="73"/>
    <d v="2022-10-10T00:00:00"/>
    <n v="-55"/>
    <s v="W41_2022"/>
    <x v="0"/>
  </r>
  <r>
    <x v="0"/>
    <x v="115"/>
    <n v="22301638"/>
    <x v="0"/>
    <s v="CH (Cheque)"/>
    <s v="II. Receipts form Clients - non matured"/>
    <s v="Cheque PF"/>
    <s v="Sales of batteries - local"/>
    <s v="P/UIB+SFAX-2493046"/>
    <s v="TND"/>
    <n v="1670"/>
    <n v="1"/>
    <n v="1670"/>
    <x v="0"/>
    <d v="2022-06-30T00:00:00"/>
    <n v="102"/>
    <d v="2022-10-10T00:00:00"/>
    <n v="-55"/>
    <s v="W41_2022"/>
    <x v="0"/>
  </r>
  <r>
    <x v="0"/>
    <x v="4"/>
    <n v="22301583"/>
    <x v="0"/>
    <s v="CH (Cheque)"/>
    <s v="II. Receipts form Clients - non matured"/>
    <s v="Cheque PF"/>
    <s v="Sales of batteries - local"/>
    <s v="D/BNA+CHEBBA-6036872"/>
    <s v="TND"/>
    <n v="1042.46"/>
    <n v="1"/>
    <n v="1042.46"/>
    <x v="0"/>
    <d v="2022-06-27T00:00:00"/>
    <n v="105"/>
    <d v="2022-10-10T00:00:00"/>
    <n v="-55"/>
    <s v="W41_2022"/>
    <x v="0"/>
  </r>
  <r>
    <x v="0"/>
    <x v="305"/>
    <n v="22301685"/>
    <x v="0"/>
    <s v="CH (Cheque)"/>
    <s v="II. Receipts form Clients - non matured"/>
    <s v="Cheque PF"/>
    <s v="Sales of batteries - local"/>
    <s v="P/BIAT+SFAX-0002040"/>
    <s v="TND"/>
    <n v="3000"/>
    <n v="1"/>
    <n v="3000"/>
    <x v="0"/>
    <d v="2022-07-19T00:00:00"/>
    <n v="83"/>
    <d v="2022-10-10T00:00:00"/>
    <n v="-55"/>
    <s v="W41_2022"/>
    <x v="0"/>
  </r>
  <r>
    <x v="0"/>
    <x v="78"/>
    <n v="22301718"/>
    <x v="0"/>
    <s v="CH (Cheque)"/>
    <s v="II. Receipts form Clients - non matured"/>
    <s v="Cheque PF"/>
    <s v="Sales of batteries - local"/>
    <s v="P/BIAT+SFAX-0007609"/>
    <s v="TND"/>
    <n v="2520"/>
    <n v="1"/>
    <n v="2520"/>
    <x v="0"/>
    <d v="2022-07-27T00:00:00"/>
    <n v="76"/>
    <d v="2022-10-11T00:00:00"/>
    <n v="-56"/>
    <s v="W41_2022"/>
    <x v="0"/>
  </r>
  <r>
    <x v="0"/>
    <x v="264"/>
    <n v="22601382"/>
    <x v="0"/>
    <s v="CH (Cheque)"/>
    <s v="II. Receipts form Clients - non matured"/>
    <s v="Cheque PF"/>
    <s v="Sales of batteries - local"/>
    <s v="P/BNA+GABES-5703591"/>
    <s v="TND"/>
    <n v="3000"/>
    <n v="1"/>
    <n v="3000"/>
    <x v="0"/>
    <d v="2022-06-24T00:00:00"/>
    <n v="109"/>
    <d v="2022-10-11T00:00:00"/>
    <n v="-56"/>
    <s v="W41_2022"/>
    <x v="0"/>
  </r>
  <r>
    <x v="0"/>
    <x v="335"/>
    <n v="22301727"/>
    <x v="0"/>
    <s v="CH (Cheque)"/>
    <s v="II. Receipts form Clients - non matured"/>
    <s v="Cheque PF"/>
    <s v="Sales of batteries - local"/>
    <s v="P/ATTB+SFAX-1353388"/>
    <s v="TND"/>
    <n v="891.95600000000002"/>
    <n v="1"/>
    <n v="891.95600000000002"/>
    <x v="0"/>
    <d v="2022-07-29T00:00:00"/>
    <n v="75"/>
    <d v="2022-10-12T00:00:00"/>
    <n v="-57"/>
    <s v="W41_2022"/>
    <x v="0"/>
  </r>
  <r>
    <x v="0"/>
    <x v="78"/>
    <n v="22301719"/>
    <x v="0"/>
    <s v="CH (Cheque)"/>
    <s v="II. Receipts form Clients - non matured"/>
    <s v="Cheque PF"/>
    <s v="Sales of batteries - local"/>
    <s v="P/BIAT+SFAX-0007610"/>
    <s v="TND"/>
    <n v="2530"/>
    <n v="1"/>
    <n v="2530"/>
    <x v="0"/>
    <d v="2022-07-27T00:00:00"/>
    <n v="77"/>
    <d v="2022-10-12T00:00:00"/>
    <n v="-57"/>
    <s v="W41_2022"/>
    <x v="0"/>
  </r>
  <r>
    <x v="0"/>
    <x v="281"/>
    <n v="22601478"/>
    <x v="0"/>
    <s v="CH (Cheque)"/>
    <s v="II. Receipts form Clients - non matured"/>
    <s v="Cheque PF"/>
    <s v="Sales of batteries - local"/>
    <s v="P/ATTIJARI+GABES-00856"/>
    <s v="TND"/>
    <n v="1325.383"/>
    <n v="1"/>
    <n v="1325.383"/>
    <x v="0"/>
    <d v="2022-07-27T00:00:00"/>
    <n v="77"/>
    <d v="2022-10-12T00:00:00"/>
    <n v="-57"/>
    <s v="W41_2022"/>
    <x v="0"/>
  </r>
  <r>
    <x v="0"/>
    <x v="9"/>
    <n v="22601454"/>
    <x v="0"/>
    <s v="CH (Cheque)"/>
    <s v="II. Receipts form Clients - non matured"/>
    <s v="Cheque PF"/>
    <s v="Sales of batteries - local"/>
    <s v="P/BTL+GABES-3025443"/>
    <s v="TND"/>
    <n v="578.08699999999999"/>
    <n v="1"/>
    <n v="578.08699999999999"/>
    <x v="0"/>
    <d v="2022-07-26T00:00:00"/>
    <n v="78"/>
    <d v="2022-10-12T00:00:00"/>
    <n v="-57"/>
    <s v="W41_2022"/>
    <x v="0"/>
  </r>
  <r>
    <x v="0"/>
    <x v="125"/>
    <n v="22301597"/>
    <x v="0"/>
    <s v="CH (Cheque)"/>
    <s v="II. Receipts form Clients - non matured"/>
    <s v="Cheque PF"/>
    <s v="Sales of batteries - local"/>
    <s v="P/BIAT+SFAX-0007503"/>
    <s v="TND"/>
    <n v="980"/>
    <n v="1"/>
    <n v="980"/>
    <x v="0"/>
    <d v="2022-06-27T00:00:00"/>
    <n v="107"/>
    <d v="2022-10-12T00:00:00"/>
    <n v="-57"/>
    <s v="W41_2022"/>
    <x v="0"/>
  </r>
  <r>
    <x v="0"/>
    <x v="301"/>
    <n v="22301705"/>
    <x v="0"/>
    <s v="CH (Cheque)"/>
    <s v="II. Receipts form Clients - non matured"/>
    <s v="Cheque PF"/>
    <s v="Sales of batteries - local"/>
    <s v="P/AB+SFAX-1851910"/>
    <s v="TND"/>
    <n v="1430"/>
    <n v="1"/>
    <n v="1430"/>
    <x v="0"/>
    <d v="2022-07-22T00:00:00"/>
    <n v="82"/>
    <d v="2022-10-12T00:00:00"/>
    <n v="-57"/>
    <s v="W41_2022"/>
    <x v="0"/>
  </r>
  <r>
    <x v="0"/>
    <x v="28"/>
    <n v="22601467"/>
    <x v="0"/>
    <s v="CH (Cheque)"/>
    <s v="II. Receipts form Clients - non matured"/>
    <s v="Cheque PF"/>
    <s v="Sales of batteries - local"/>
    <s v="P/BNA+GABES-5795287"/>
    <s v="TND"/>
    <n v="1000"/>
    <n v="1"/>
    <n v="1000"/>
    <x v="0"/>
    <d v="2022-07-26T00:00:00"/>
    <n v="79"/>
    <d v="2022-10-13T00:00:00"/>
    <n v="-58"/>
    <s v="W41_2022"/>
    <x v="0"/>
  </r>
  <r>
    <x v="0"/>
    <x v="74"/>
    <n v="22401527"/>
    <x v="0"/>
    <s v="CH (Cheque)"/>
    <s v="II. Receipts form Clients - non matured"/>
    <s v="Cheque PF"/>
    <s v="Sales of batteries - local"/>
    <s v="D/BIAT+MONASTIR-000484"/>
    <s v="TND"/>
    <n v="1500"/>
    <n v="1"/>
    <n v="1500"/>
    <x v="0"/>
    <d v="2022-06-29T00:00:00"/>
    <n v="106"/>
    <d v="2022-10-13T00:00:00"/>
    <n v="-58"/>
    <s v="W41_2022"/>
    <x v="0"/>
  </r>
  <r>
    <x v="0"/>
    <x v="102"/>
    <n v="22124791"/>
    <x v="0"/>
    <s v="CH (Cheque)"/>
    <s v="II. Receipts form Clients - non matured"/>
    <s v="Cheque PF"/>
    <s v="Sales of batteries - local"/>
    <s v="P/ATTJ BQ+BEN AROUS-01"/>
    <s v="TND"/>
    <n v="3030.7669999999998"/>
    <n v="1"/>
    <n v="3030.7669999999998"/>
    <x v="0"/>
    <d v="2022-06-30T00:00:00"/>
    <n v="105"/>
    <d v="2022-10-13T00:00:00"/>
    <n v="-58"/>
    <s v="W41_2022"/>
    <x v="0"/>
  </r>
  <r>
    <x v="0"/>
    <x v="154"/>
    <n v="22601485"/>
    <x v="0"/>
    <s v="CH (Cheque)"/>
    <s v="II. Receipts form Clients - non matured"/>
    <s v="Cheque PF"/>
    <s v="Sales of batteries - local"/>
    <s v="p/amen+gabes-9607576"/>
    <s v="TND"/>
    <n v="1100"/>
    <n v="1"/>
    <n v="1100"/>
    <x v="0"/>
    <d v="2022-07-27T00:00:00"/>
    <n v="79"/>
    <d v="2022-10-14T00:00:00"/>
    <n v="-59"/>
    <s v="W41_2022"/>
    <x v="0"/>
  </r>
  <r>
    <x v="0"/>
    <x v="129"/>
    <n v="22601424"/>
    <x v="0"/>
    <s v="CH (Cheque)"/>
    <s v="II. Receipts form Clients - non matured"/>
    <s v="Cheque PF"/>
    <s v="Sales of batteries - local"/>
    <s v="P/BZ+MEDNINE-4000563"/>
    <s v="TND"/>
    <n v="2500"/>
    <n v="1"/>
    <n v="2500"/>
    <x v="0"/>
    <d v="2022-07-07T00:00:00"/>
    <n v="99"/>
    <d v="2022-10-14T00:00:00"/>
    <n v="-59"/>
    <s v="W41_2022"/>
    <x v="0"/>
  </r>
  <r>
    <x v="0"/>
    <x v="83"/>
    <n v="22601431"/>
    <x v="0"/>
    <s v="CH (Cheque)"/>
    <s v="II. Receipts form Clients - non matured"/>
    <s v="Cheque PF"/>
    <s v="Sales of batteries - local"/>
    <s v="P/ATB+GABES-6400221"/>
    <s v="TND"/>
    <n v="1717.6769999999999"/>
    <n v="1"/>
    <n v="1717.6769999999999"/>
    <x v="0"/>
    <d v="2022-07-13T00:00:00"/>
    <n v="93"/>
    <d v="2022-10-14T00:00:00"/>
    <n v="-59"/>
    <s v="W41_2022"/>
    <x v="0"/>
  </r>
  <r>
    <x v="0"/>
    <x v="133"/>
    <n v="22124924"/>
    <x v="0"/>
    <s v="CH (Cheque)"/>
    <s v="II. Receipts form Clients - non matured"/>
    <s v="Cheque PF"/>
    <s v="Sales of batteries - local"/>
    <s v="P/TSB+MANNOUBA-8823874"/>
    <s v="TND"/>
    <n v="10000"/>
    <n v="1"/>
    <n v="10000"/>
    <x v="0"/>
    <d v="2022-07-28T00:00:00"/>
    <n v="78"/>
    <d v="2022-10-14T00:00:00"/>
    <n v="-59"/>
    <s v="W41_2022"/>
    <x v="0"/>
  </r>
  <r>
    <x v="0"/>
    <x v="8"/>
    <n v="22301626"/>
    <x v="0"/>
    <s v="CH (Cheque)"/>
    <s v="II. Receipts form Clients - non matured"/>
    <s v="Cheque PF"/>
    <s v="Sales of batteries - local"/>
    <s v="P/BZ+SFAX-4000702"/>
    <s v="TND"/>
    <n v="5790"/>
    <n v="1"/>
    <n v="5790"/>
    <x v="0"/>
    <d v="2022-06-30T00:00:00"/>
    <n v="106"/>
    <d v="2022-10-14T00:00:00"/>
    <n v="-59"/>
    <s v="W41_2022"/>
    <x v="0"/>
  </r>
  <r>
    <x v="0"/>
    <x v="302"/>
    <n v="22301590"/>
    <x v="0"/>
    <s v="CH (Cheque)"/>
    <s v="II. Receipts form Clients - non matured"/>
    <s v="Cheque PF"/>
    <s v="Sales of batteries - local"/>
    <s v="P/ATTB+SFAX-0000034"/>
    <s v="TND"/>
    <n v="2786.1190000000001"/>
    <n v="1"/>
    <n v="2786.1190000000001"/>
    <x v="0"/>
    <d v="2022-06-27T00:00:00"/>
    <n v="109"/>
    <d v="2022-10-14T00:00:00"/>
    <n v="-59"/>
    <s v="W41_2022"/>
    <x v="0"/>
  </r>
  <r>
    <x v="0"/>
    <x v="293"/>
    <n v="22124990"/>
    <x v="0"/>
    <s v="CH (Cheque)"/>
    <s v="II. Receipts form Clients - non matured"/>
    <s v="Cheque PF"/>
    <s v="Sales of batteries - local"/>
    <s v="P/UBCI+MONTFLEURY-8049"/>
    <s v="TND"/>
    <n v="2648.4189999999999"/>
    <n v="1"/>
    <n v="2648.4189999999999"/>
    <x v="0"/>
    <d v="2022-08-05T00:00:00"/>
    <n v="71"/>
    <d v="2022-10-15T00:00:00"/>
    <n v="-60"/>
    <s v="W42_2022"/>
    <x v="0"/>
  </r>
  <r>
    <x v="0"/>
    <x v="297"/>
    <n v="22125005"/>
    <x v="0"/>
    <s v="CH (Cheque)"/>
    <s v="II. Receipts form Clients - non matured"/>
    <s v="Cheque PF"/>
    <s v="Sales of batteries - local"/>
    <s v="P/STB+TN-0000843"/>
    <s v="TND"/>
    <n v="7884.2359999999999"/>
    <n v="1"/>
    <n v="7884.2359999999999"/>
    <x v="0"/>
    <d v="2022-08-08T00:00:00"/>
    <n v="68"/>
    <d v="2022-10-15T00:00:00"/>
    <n v="-60"/>
    <s v="W42_2022"/>
    <x v="0"/>
  </r>
  <r>
    <x v="0"/>
    <x v="118"/>
    <n v="22301732"/>
    <x v="0"/>
    <s v="CH (Cheque)"/>
    <s v="II. Receipts form Clients - non matured"/>
    <s v="Cheque PF"/>
    <s v="Sales of batteries - local"/>
    <s v="P/BZ+SFAX-4003065"/>
    <s v="TND"/>
    <n v="8200"/>
    <n v="1"/>
    <n v="8200"/>
    <x v="0"/>
    <d v="2022-07-29T00:00:00"/>
    <n v="78"/>
    <d v="2022-10-15T00:00:00"/>
    <n v="-60"/>
    <s v="W42_2022"/>
    <x v="0"/>
  </r>
  <r>
    <x v="0"/>
    <x v="13"/>
    <n v="22401628"/>
    <x v="0"/>
    <s v="CH (Cheque)"/>
    <s v="II. Receipts form Clients - non matured"/>
    <s v="Cheque PF"/>
    <s v="Sales of batteries - local"/>
    <s v="D/AMEN+MOKNINE-1855156"/>
    <s v="TND"/>
    <n v="4335.3540000000003"/>
    <n v="1"/>
    <n v="4335.3540000000003"/>
    <x v="0"/>
    <d v="2022-07-23T00:00:00"/>
    <n v="84"/>
    <d v="2022-10-15T00:00:00"/>
    <n v="-60"/>
    <s v="W42_2022"/>
    <x v="0"/>
  </r>
  <r>
    <x v="0"/>
    <x v="169"/>
    <n v="22401624"/>
    <x v="0"/>
    <s v="CH (Cheque)"/>
    <s v="II. Receipts form Clients - non matured"/>
    <s v="Cheque PF"/>
    <s v="Sales of batteries - local"/>
    <s v="D/BT+BOUHAJLA-8571015"/>
    <s v="TND"/>
    <n v="1718.212"/>
    <n v="1"/>
    <n v="1718.212"/>
    <x v="0"/>
    <d v="2022-07-23T00:00:00"/>
    <n v="84"/>
    <d v="2022-10-15T00:00:00"/>
    <n v="-60"/>
    <s v="W42_2022"/>
    <x v="0"/>
  </r>
  <r>
    <x v="0"/>
    <x v="287"/>
    <n v="22601477"/>
    <x v="0"/>
    <s v="CH (Cheque)"/>
    <s v="II. Receipts form Clients - non matured"/>
    <s v="Cheque PF"/>
    <s v="Sales of batteries - local"/>
    <s v="P/QNB+GABES-0003028"/>
    <s v="TND"/>
    <n v="341.92200000000003"/>
    <n v="1"/>
    <n v="341.92200000000003"/>
    <x v="0"/>
    <d v="2022-07-27T00:00:00"/>
    <n v="80"/>
    <d v="2022-10-15T00:00:00"/>
    <n v="-60"/>
    <s v="W42_2022"/>
    <x v="0"/>
  </r>
  <r>
    <x v="0"/>
    <x v="1"/>
    <n v="22601513"/>
    <x v="0"/>
    <s v="CH (Cheque)"/>
    <s v="II. Receipts form Clients - non matured"/>
    <s v="Cheque PF"/>
    <s v="Sales of batteries - local"/>
    <s v="P/BZ+TATOUINE-4001279"/>
    <s v="TND"/>
    <n v="2753.2249999999999"/>
    <n v="1"/>
    <n v="2753.2249999999999"/>
    <x v="0"/>
    <d v="2022-08-04T00:00:00"/>
    <n v="72"/>
    <d v="2022-10-15T00:00:00"/>
    <n v="-60"/>
    <s v="W42_2022"/>
    <x v="0"/>
  </r>
  <r>
    <x v="0"/>
    <x v="16"/>
    <n v="22601508"/>
    <x v="0"/>
    <s v="CH (Cheque)"/>
    <s v="II. Receipts form Clients - non matured"/>
    <s v="Cheque PF"/>
    <s v="Sales of batteries - local"/>
    <s v="P/AMEN+DJERBA-1061361"/>
    <s v="TND"/>
    <n v="1614.49"/>
    <n v="1"/>
    <n v="1614.49"/>
    <x v="0"/>
    <d v="2022-08-04T00:00:00"/>
    <n v="72"/>
    <d v="2022-10-15T00:00:00"/>
    <n v="-60"/>
    <s v="W42_2022"/>
    <x v="0"/>
  </r>
  <r>
    <x v="0"/>
    <x v="286"/>
    <n v="22601515"/>
    <x v="0"/>
    <s v="CH (Cheque)"/>
    <s v="II. Receipts form Clients - non matured"/>
    <s v="Cheque PF"/>
    <s v="Sales of batteries - local"/>
    <s v="P/BH+GABES-2111202"/>
    <s v="TND"/>
    <n v="1744.1020000000001"/>
    <n v="1"/>
    <n v="1744.1020000000001"/>
    <x v="0"/>
    <d v="2022-08-05T00:00:00"/>
    <n v="71"/>
    <d v="2022-10-15T00:00:00"/>
    <n v="-60"/>
    <s v="W42_2022"/>
    <x v="0"/>
  </r>
  <r>
    <x v="0"/>
    <x v="73"/>
    <n v="22801393"/>
    <x v="0"/>
    <s v="CH (Cheque)"/>
    <s v="II. Receipts form Clients - non matured"/>
    <s v="Cheque PF"/>
    <s v="Sales of batteries - local"/>
    <s v="P/BQ ZIT+BOUSAL-400054"/>
    <s v="TND"/>
    <n v="2200"/>
    <n v="1"/>
    <n v="2200"/>
    <x v="0"/>
    <d v="2022-07-28T00:00:00"/>
    <n v="79"/>
    <d v="2022-10-15T00:00:00"/>
    <n v="-60"/>
    <s v="W42_2022"/>
    <x v="0"/>
  </r>
  <r>
    <x v="0"/>
    <x v="34"/>
    <n v="22801416"/>
    <x v="0"/>
    <s v="CH (Cheque)"/>
    <s v="II. Receipts form Clients - non matured"/>
    <s v="Cheque PF"/>
    <s v="Sales of batteries - local"/>
    <s v="P/BNA+BEJA-5800154"/>
    <s v="TND"/>
    <n v="1860"/>
    <n v="1"/>
    <n v="1860"/>
    <x v="0"/>
    <d v="2022-08-04T00:00:00"/>
    <n v="72"/>
    <d v="2022-10-15T00:00:00"/>
    <n v="-60"/>
    <s v="W42_2022"/>
    <x v="0"/>
  </r>
  <r>
    <x v="0"/>
    <x v="14"/>
    <n v="22601406"/>
    <x v="0"/>
    <s v="CH (Cheque)"/>
    <s v="II. Receipts form Clients - non matured"/>
    <s v="Cheque PF"/>
    <s v="Sales of batteries - local"/>
    <s v="P/UBCI+GABES-7268766"/>
    <s v="TND"/>
    <n v="950"/>
    <n v="1"/>
    <n v="950"/>
    <x v="0"/>
    <d v="2022-06-29T00:00:00"/>
    <n v="108"/>
    <d v="2022-10-15T00:00:00"/>
    <n v="-60"/>
    <s v="W42_2022"/>
    <x v="0"/>
  </r>
  <r>
    <x v="0"/>
    <x v="14"/>
    <n v="22601408"/>
    <x v="0"/>
    <s v="CH (Cheque)"/>
    <s v="II. Receipts form Clients - non matured"/>
    <s v="Cheque PF"/>
    <s v="Sales of batteries - local"/>
    <s v="P/UBCI+GABES-7268763"/>
    <s v="TND"/>
    <n v="950"/>
    <n v="1"/>
    <n v="950"/>
    <x v="0"/>
    <d v="2022-06-29T00:00:00"/>
    <n v="108"/>
    <d v="2022-10-15T00:00:00"/>
    <n v="-60"/>
    <s v="W42_2022"/>
    <x v="0"/>
  </r>
  <r>
    <x v="0"/>
    <x v="14"/>
    <n v="22601405"/>
    <x v="0"/>
    <s v="CH (Cheque)"/>
    <s v="II. Receipts form Clients - non matured"/>
    <s v="Cheque PF"/>
    <s v="Sales of batteries - local"/>
    <s v="P/UBCI+GABES-7268767"/>
    <s v="TND"/>
    <n v="950"/>
    <n v="1"/>
    <n v="950"/>
    <x v="0"/>
    <d v="2022-06-29T00:00:00"/>
    <n v="108"/>
    <d v="2022-10-15T00:00:00"/>
    <n v="-60"/>
    <s v="W42_2022"/>
    <x v="0"/>
  </r>
  <r>
    <x v="0"/>
    <x v="157"/>
    <n v="22701220"/>
    <x v="0"/>
    <s v="CH (Cheque)"/>
    <s v="II. Receipts form Clients - non matured"/>
    <s v="Cheque PF"/>
    <s v="Sales of batteries - local"/>
    <s v="P/BNA+METLAOUI-5348296"/>
    <s v="TND"/>
    <n v="5000"/>
    <n v="1"/>
    <n v="5000"/>
    <x v="0"/>
    <d v="2022-07-05T00:00:00"/>
    <n v="102"/>
    <d v="2022-10-15T00:00:00"/>
    <n v="-60"/>
    <s v="W42_2022"/>
    <x v="0"/>
  </r>
  <r>
    <x v="0"/>
    <x v="161"/>
    <n v="22801338"/>
    <x v="0"/>
    <s v="CH (Cheque)"/>
    <s v="II. Receipts form Clients - non matured"/>
    <s v="Cheque PF"/>
    <s v="Sales of batteries - local"/>
    <s v="P/STB+NEFZA-0001275"/>
    <s v="TND"/>
    <n v="1120.231"/>
    <n v="1"/>
    <n v="1120.231"/>
    <x v="0"/>
    <d v="2022-06-29T00:00:00"/>
    <n v="108"/>
    <d v="2022-10-15T00:00:00"/>
    <n v="-60"/>
    <s v="W42_2022"/>
    <x v="0"/>
  </r>
  <r>
    <x v="0"/>
    <x v="96"/>
    <n v="22401538"/>
    <x v="0"/>
    <s v="CH (Cheque)"/>
    <s v="II. Receipts form Clients - non matured"/>
    <s v="Cheque PF"/>
    <s v="Sales of batteries - local"/>
    <s v="D/UIB+KALAA KEBIRA-232"/>
    <s v="TND"/>
    <n v="1078.2280000000001"/>
    <n v="1"/>
    <n v="1078.2280000000001"/>
    <x v="0"/>
    <d v="2022-06-30T00:00:00"/>
    <n v="107"/>
    <d v="2022-10-15T00:00:00"/>
    <n v="-60"/>
    <s v="W42_2022"/>
    <x v="0"/>
  </r>
  <r>
    <x v="0"/>
    <x v="252"/>
    <n v="22401421"/>
    <x v="0"/>
    <s v="CH (Cheque)"/>
    <s v="II. Receipts form Clients - non matured"/>
    <s v="Cheque PF"/>
    <s v="Sales of batteries - local"/>
    <s v="D/UIB+KALAA KEBIRA-232"/>
    <s v="TND"/>
    <n v="3300"/>
    <n v="1"/>
    <n v="3300"/>
    <x v="0"/>
    <d v="2022-05-30T00:00:00"/>
    <n v="138"/>
    <d v="2022-10-15T00:00:00"/>
    <n v="-60"/>
    <s v="W42_2022"/>
    <x v="0"/>
  </r>
  <r>
    <x v="0"/>
    <x v="244"/>
    <n v="22401459"/>
    <x v="0"/>
    <s v="CH (Cheque)"/>
    <s v="II. Receipts form Clients - non matured"/>
    <s v="Cheque PF"/>
    <s v="Sales of batteries - local"/>
    <s v="D/BT+JEMMAL-8673763"/>
    <s v="TND"/>
    <n v="5543.2250000000004"/>
    <n v="1"/>
    <n v="5543.2250000000004"/>
    <x v="0"/>
    <d v="2022-06-11T00:00:00"/>
    <n v="126"/>
    <d v="2022-10-15T00:00:00"/>
    <n v="-60"/>
    <s v="W42_2022"/>
    <x v="0"/>
  </r>
  <r>
    <x v="0"/>
    <x v="11"/>
    <n v="22401541"/>
    <x v="0"/>
    <s v="CH (Cheque)"/>
    <s v="II. Receipts form Clients - non matured"/>
    <s v="Cheque PF"/>
    <s v="Sales of batteries - local"/>
    <s v="D/BIAT+JEMMAL-0000437"/>
    <s v="TND"/>
    <n v="2500"/>
    <n v="1"/>
    <n v="2500"/>
    <x v="0"/>
    <d v="2022-06-30T00:00:00"/>
    <n v="107"/>
    <d v="2022-10-15T00:00:00"/>
    <n v="-60"/>
    <s v="W42_2022"/>
    <x v="0"/>
  </r>
  <r>
    <x v="0"/>
    <x v="282"/>
    <n v="22401530"/>
    <x v="0"/>
    <s v="CH (Cheque)"/>
    <s v="II. Receipts form Clients - non matured"/>
    <s v="Cheque PF"/>
    <s v="Sales of batteries - local"/>
    <s v="P/UIB+SOUSSE-2487070"/>
    <s v="TND"/>
    <n v="1432.7070000000001"/>
    <n v="1"/>
    <n v="1432.7070000000001"/>
    <x v="0"/>
    <d v="2022-06-29T00:00:00"/>
    <n v="108"/>
    <d v="2022-10-15T00:00:00"/>
    <n v="-60"/>
    <s v="W42_2022"/>
    <x v="0"/>
  </r>
  <r>
    <x v="0"/>
    <x v="97"/>
    <n v="22124849"/>
    <x v="0"/>
    <s v="CH (Cheque)"/>
    <s v="II. Receipts form Clients - non matured"/>
    <s v="Cheque PF"/>
    <s v="Sales of batteries - local"/>
    <s v="P/BIAT+BEN AROUS-00001"/>
    <s v="TND"/>
    <n v="7767.9359999999997"/>
    <n v="1"/>
    <n v="7767.9359999999997"/>
    <x v="0"/>
    <d v="2022-07-15T00:00:00"/>
    <n v="92"/>
    <d v="2022-10-15T00:00:00"/>
    <n v="-60"/>
    <s v="W42_2022"/>
    <x v="0"/>
  </r>
  <r>
    <x v="0"/>
    <x v="300"/>
    <n v="22124555"/>
    <x v="0"/>
    <s v="CH (Cheque)"/>
    <s v="II. Receipts form Clients - non matured"/>
    <s v="Cheque PF"/>
    <s v="Sales of batteries - local"/>
    <s v="P/QNB+BEN AROUS-000891"/>
    <s v="TND"/>
    <n v="5180.0159999999996"/>
    <n v="1"/>
    <n v="5180.0159999999996"/>
    <x v="0"/>
    <d v="2022-05-31T00:00:00"/>
    <n v="137"/>
    <d v="2022-10-15T00:00:00"/>
    <n v="-60"/>
    <s v="W42_2022"/>
    <x v="0"/>
  </r>
  <r>
    <x v="0"/>
    <x v="173"/>
    <n v="22124586"/>
    <x v="0"/>
    <s v="CH (Cheque)"/>
    <s v="II. Receipts form Clients - non matured"/>
    <s v="Cheque PF"/>
    <s v="Sales of batteries - local"/>
    <s v="P/AMEN B+MORNAGUIA-782"/>
    <s v="TND"/>
    <n v="6000"/>
    <n v="1"/>
    <n v="6000"/>
    <x v="0"/>
    <d v="2022-06-09T00:00:00"/>
    <n v="128"/>
    <d v="2022-10-15T00:00:00"/>
    <n v="-60"/>
    <s v="W42_2022"/>
    <x v="0"/>
  </r>
  <r>
    <x v="0"/>
    <x v="178"/>
    <n v="22124612"/>
    <x v="0"/>
    <s v="CH (Cheque)"/>
    <s v="II. Receipts form Clients - non matured"/>
    <s v="Cheque PF"/>
    <s v="Sales of batteries - local"/>
    <s v="P/ATB+EL KHADRA-600380"/>
    <s v="TND"/>
    <n v="7779.9040000000005"/>
    <n v="1"/>
    <n v="7779.9040000000005"/>
    <x v="0"/>
    <d v="2022-06-13T00:00:00"/>
    <n v="124"/>
    <d v="2022-10-15T00:00:00"/>
    <n v="-60"/>
    <s v="W42_2022"/>
    <x v="0"/>
  </r>
  <r>
    <x v="0"/>
    <x v="101"/>
    <n v="22124638"/>
    <x v="0"/>
    <s v="CH (Cheque)"/>
    <s v="II. Receipts form Clients - non matured"/>
    <s v="Cheque PF"/>
    <s v="Sales of batteries - local"/>
    <s v="P/STB+FOUCHANA-0004404"/>
    <s v="TND"/>
    <n v="1000"/>
    <n v="1"/>
    <n v="1000"/>
    <x v="0"/>
    <d v="2022-06-16T00:00:00"/>
    <n v="121"/>
    <d v="2022-10-15T00:00:00"/>
    <n v="-60"/>
    <s v="W42_2022"/>
    <x v="0"/>
  </r>
  <r>
    <x v="0"/>
    <x v="7"/>
    <n v="22124784"/>
    <x v="0"/>
    <s v="CH (Cheque)"/>
    <s v="II. Receipts form Clients - non matured"/>
    <s v="Cheque PF"/>
    <s v="Sales of batteries - local"/>
    <s v="P/BIAT+RAOUED-0003564"/>
    <s v="TND"/>
    <n v="1177.941"/>
    <n v="1"/>
    <n v="1177.941"/>
    <x v="0"/>
    <d v="2022-06-30T00:00:00"/>
    <n v="107"/>
    <d v="2022-10-15T00:00:00"/>
    <n v="-60"/>
    <s v="W42_2022"/>
    <x v="0"/>
  </r>
  <r>
    <x v="0"/>
    <x v="104"/>
    <n v="22124673"/>
    <x v="0"/>
    <s v="CH (Cheque)"/>
    <s v="II. Receipts form Clients - non matured"/>
    <s v="Cheque PF"/>
    <s v="Sales of batteries - local"/>
    <s v="P/BIAT+ARIANA-0001983"/>
    <s v="TND"/>
    <n v="2283.8449999999998"/>
    <n v="1"/>
    <n v="2283.8449999999998"/>
    <x v="0"/>
    <d v="2022-06-20T00:00:00"/>
    <n v="117"/>
    <d v="2022-10-15T00:00:00"/>
    <n v="-60"/>
    <s v="W42_2022"/>
    <x v="0"/>
  </r>
  <r>
    <x v="0"/>
    <x v="336"/>
    <n v="22124700"/>
    <x v="0"/>
    <s v="CH (Cheque)"/>
    <s v="II. Receipts form Clients - non matured"/>
    <s v="Cheque PF"/>
    <s v="Sales of batteries - local"/>
    <s v="P/TSB+MANOUBA-8709166"/>
    <s v="TND"/>
    <n v="3112.0569999999998"/>
    <n v="1"/>
    <n v="3112.0569999999998"/>
    <x v="0"/>
    <d v="2022-06-22T00:00:00"/>
    <n v="115"/>
    <d v="2022-10-15T00:00:00"/>
    <n v="-60"/>
    <s v="W42_2022"/>
    <x v="0"/>
  </r>
  <r>
    <x v="0"/>
    <x v="99"/>
    <n v="22124717"/>
    <x v="0"/>
    <s v="CH (Cheque)"/>
    <s v="II. Receipts form Clients - non matured"/>
    <s v="Cheque PF"/>
    <s v="Sales of batteries - local"/>
    <s v="P/STB+FOUCHANA-0000477"/>
    <s v="TND"/>
    <n v="1085.6369999999999"/>
    <n v="1"/>
    <n v="1085.6369999999999"/>
    <x v="0"/>
    <d v="2022-06-24T00:00:00"/>
    <n v="113"/>
    <d v="2022-10-15T00:00:00"/>
    <n v="-60"/>
    <s v="W42_2022"/>
    <x v="0"/>
  </r>
  <r>
    <x v="0"/>
    <x v="295"/>
    <n v="22124806"/>
    <x v="0"/>
    <s v="CH (Cheque)"/>
    <s v="II. Receipts form Clients - non matured"/>
    <s v="Cheque PF"/>
    <s v="Sales of batteries - local"/>
    <s v="P/BIAT+BEN AROUS-00015"/>
    <s v="TND"/>
    <n v="597.75400000000002"/>
    <n v="1"/>
    <n v="597.75400000000002"/>
    <x v="0"/>
    <d v="2022-06-30T00:00:00"/>
    <n v="107"/>
    <d v="2022-10-15T00:00:00"/>
    <n v="-60"/>
    <s v="W42_2022"/>
    <x v="0"/>
  </r>
  <r>
    <x v="0"/>
    <x v="222"/>
    <n v="22124752"/>
    <x v="0"/>
    <s v="CH (Cheque)"/>
    <s v="II. Receipts form Clients - non matured"/>
    <s v="Cheque PF"/>
    <s v="Sales of batteries - local"/>
    <s v="P/UBCI+MORNEG-8896604"/>
    <s v="TND"/>
    <n v="1300"/>
    <n v="1"/>
    <n v="1300"/>
    <x v="0"/>
    <d v="2022-06-27T00:00:00"/>
    <n v="110"/>
    <d v="2022-10-15T00:00:00"/>
    <n v="-60"/>
    <s v="W42_2022"/>
    <x v="0"/>
  </r>
  <r>
    <x v="0"/>
    <x v="182"/>
    <n v="22124920"/>
    <x v="0"/>
    <s v="CH (Cheque)"/>
    <s v="II. Receipts form Clients - non matured"/>
    <s v="Cheque PF"/>
    <s v="Sales of batteries - local"/>
    <s v="P/BIAT+TN-0003625"/>
    <s v="TND"/>
    <n v="2280.8490000000002"/>
    <n v="1"/>
    <n v="2280.8490000000002"/>
    <x v="0"/>
    <d v="2022-07-28T00:00:00"/>
    <n v="79"/>
    <d v="2022-10-15T00:00:00"/>
    <n v="-60"/>
    <s v="W42_2022"/>
    <x v="0"/>
  </r>
  <r>
    <x v="0"/>
    <x v="298"/>
    <n v="22124970"/>
    <x v="0"/>
    <s v="CH (Cheque)"/>
    <s v="II. Receipts form Clients - non matured"/>
    <s v="Cheque PF"/>
    <s v="Sales of batteries - local"/>
    <s v="P/STB+TN-0000486"/>
    <s v="TND"/>
    <n v="18068.254000000001"/>
    <n v="1"/>
    <n v="18068.254000000001"/>
    <x v="0"/>
    <d v="2022-07-29T00:00:00"/>
    <n v="78"/>
    <d v="2022-10-15T00:00:00"/>
    <n v="-60"/>
    <s v="W42_2022"/>
    <x v="0"/>
  </r>
  <r>
    <x v="0"/>
    <x v="299"/>
    <n v="22301682"/>
    <x v="0"/>
    <s v="CH (Cheque)"/>
    <s v="II. Receipts form Clients - non matured"/>
    <s v="Cheque PF"/>
    <s v="Sales of batteries - local"/>
    <s v="P/ATB+SFAX-4734900"/>
    <s v="TND"/>
    <n v="4000"/>
    <n v="1"/>
    <n v="4000"/>
    <x v="0"/>
    <d v="2022-07-18T00:00:00"/>
    <n v="89"/>
    <d v="2022-10-15T00:00:00"/>
    <n v="-60"/>
    <s v="W42_2022"/>
    <x v="0"/>
  </r>
  <r>
    <x v="0"/>
    <x v="236"/>
    <n v="22301576"/>
    <x v="0"/>
    <s v="CH (Cheque)"/>
    <s v="II. Receipts form Clients - non matured"/>
    <s v="Cheque PF"/>
    <s v="Sales of batteries - local"/>
    <s v="P/AB+SFAX-7977342"/>
    <s v="TND"/>
    <n v="5264.9889999999996"/>
    <n v="1"/>
    <n v="5264.9889999999996"/>
    <x v="0"/>
    <d v="2022-06-22T00:00:00"/>
    <n v="115"/>
    <d v="2022-10-15T00:00:00"/>
    <n v="-60"/>
    <s v="W42_2022"/>
    <x v="0"/>
  </r>
  <r>
    <x v="0"/>
    <x v="305"/>
    <n v="22301686"/>
    <x v="0"/>
    <s v="CH (Cheque)"/>
    <s v="II. Receipts form Clients - non matured"/>
    <s v="Cheque PF"/>
    <s v="Sales of batteries - local"/>
    <s v="P/BIAT+SFAX-0002041"/>
    <s v="TND"/>
    <n v="3000"/>
    <n v="1"/>
    <n v="3000"/>
    <x v="0"/>
    <d v="2022-07-19T00:00:00"/>
    <n v="88"/>
    <d v="2022-10-15T00:00:00"/>
    <n v="-60"/>
    <s v="W42_2022"/>
    <x v="0"/>
  </r>
  <r>
    <x v="0"/>
    <x v="115"/>
    <n v="22301639"/>
    <x v="0"/>
    <s v="CH (Cheque)"/>
    <s v="II. Receipts form Clients - non matured"/>
    <s v="Cheque PF"/>
    <s v="Sales of batteries - local"/>
    <s v="P/UIB+SFAX-2493047"/>
    <s v="TND"/>
    <n v="1670"/>
    <n v="1"/>
    <n v="1670"/>
    <x v="0"/>
    <d v="2022-06-30T00:00:00"/>
    <n v="107"/>
    <d v="2022-10-15T00:00:00"/>
    <n v="-60"/>
    <s v="W42_2022"/>
    <x v="0"/>
  </r>
  <r>
    <x v="0"/>
    <x v="331"/>
    <n v="22301700"/>
    <x v="0"/>
    <s v="CH (Cheque)"/>
    <s v="II. Receipts form Clients - non matured"/>
    <s v="Cheque PF"/>
    <s v="Sales of batteries - local"/>
    <s v="P/BNA+SFAX-5081132"/>
    <s v="TND"/>
    <n v="4224"/>
    <n v="1"/>
    <n v="4224"/>
    <x v="0"/>
    <d v="2022-07-21T00:00:00"/>
    <n v="86"/>
    <d v="2022-10-15T00:00:00"/>
    <n v="-60"/>
    <s v="W42_2022"/>
    <x v="0"/>
  </r>
  <r>
    <x v="0"/>
    <x v="252"/>
    <n v="22401422"/>
    <x v="0"/>
    <s v="CH (Cheque)"/>
    <s v="II. Receipts form Clients - non matured"/>
    <s v="Cheque PF"/>
    <s v="Sales of batteries - local"/>
    <s v="D/UIB+KALAA KEBIRA-232"/>
    <s v="TND"/>
    <n v="3628"/>
    <n v="1"/>
    <n v="3628"/>
    <x v="0"/>
    <d v="2022-05-30T00:00:00"/>
    <n v="139"/>
    <d v="2022-10-16T00:00:00"/>
    <n v="-61"/>
    <s v="W42_2022"/>
    <x v="0"/>
  </r>
  <r>
    <x v="0"/>
    <x v="75"/>
    <n v="22124514"/>
    <x v="0"/>
    <s v="CH (Cheque)"/>
    <s v="II. Receipts form Clients - non matured"/>
    <s v="Cheque PF"/>
    <s v="Sales of batteries - local"/>
    <s v="P/STB+KELIBIA-0008266"/>
    <s v="TND"/>
    <n v="850"/>
    <n v="1"/>
    <n v="850"/>
    <x v="0"/>
    <d v="2022-05-26T00:00:00"/>
    <n v="143"/>
    <d v="2022-10-16T00:00:00"/>
    <n v="-61"/>
    <s v="W42_2022"/>
    <x v="0"/>
  </r>
  <r>
    <x v="0"/>
    <x v="79"/>
    <n v="22301712"/>
    <x v="0"/>
    <s v="CH (Cheque)"/>
    <s v="II. Receipts form Clients - non matured"/>
    <s v="Cheque PF"/>
    <s v="Sales of batteries - local"/>
    <s v="P/BH+SFAX-0422250"/>
    <s v="TND"/>
    <n v="1438.5"/>
    <n v="1"/>
    <n v="1438.5"/>
    <x v="0"/>
    <d v="2022-07-27T00:00:00"/>
    <n v="82"/>
    <d v="2022-10-17T00:00:00"/>
    <n v="-62"/>
    <s v="W42_2022"/>
    <x v="0"/>
  </r>
  <r>
    <x v="0"/>
    <x v="4"/>
    <n v="22301584"/>
    <x v="0"/>
    <s v="CH (Cheque)"/>
    <s v="II. Receipts form Clients - non matured"/>
    <s v="Cheque PF"/>
    <s v="Sales of batteries - local"/>
    <s v="D/BNA+CHEBBA-6036873"/>
    <s v="TND"/>
    <n v="1042.46"/>
    <n v="1"/>
    <n v="1042.46"/>
    <x v="0"/>
    <d v="2022-06-27T00:00:00"/>
    <n v="112"/>
    <d v="2022-10-17T00:00:00"/>
    <n v="-62"/>
    <s v="W42_2022"/>
    <x v="0"/>
  </r>
  <r>
    <x v="0"/>
    <x v="78"/>
    <n v="22301720"/>
    <x v="0"/>
    <s v="CH (Cheque)"/>
    <s v="II. Receipts form Clients - non matured"/>
    <s v="Cheque PF"/>
    <s v="Sales of batteries - local"/>
    <s v="P/BIAT+SFAX-0007611"/>
    <s v="TND"/>
    <n v="2540"/>
    <n v="1"/>
    <n v="2540"/>
    <x v="0"/>
    <d v="2022-07-27T00:00:00"/>
    <n v="83"/>
    <d v="2022-10-18T00:00:00"/>
    <n v="-63"/>
    <s v="W42_2022"/>
    <x v="0"/>
  </r>
  <r>
    <x v="0"/>
    <x v="28"/>
    <n v="22601466"/>
    <x v="0"/>
    <s v="CH (Cheque)"/>
    <s v="II. Receipts form Clients - non matured"/>
    <s v="Cheque PF"/>
    <s v="Sales of batteries - local"/>
    <s v="P/BNA+GABES-5795288"/>
    <s v="TND"/>
    <n v="985.99199999999996"/>
    <n v="1"/>
    <n v="985.99199999999996"/>
    <x v="0"/>
    <d v="2022-07-26T00:00:00"/>
    <n v="84"/>
    <d v="2022-10-18T00:00:00"/>
    <n v="-63"/>
    <s v="W42_2022"/>
    <x v="0"/>
  </r>
  <r>
    <x v="0"/>
    <x v="81"/>
    <n v="22801331"/>
    <x v="0"/>
    <s v="CH (Cheque)"/>
    <s v="II. Receipts form Clients - non matured"/>
    <s v="Cheque PF"/>
    <s v="Sales of batteries - local"/>
    <s v="P/STB+JENDOUBA-0451706"/>
    <s v="TND"/>
    <n v="2637.7950000000001"/>
    <n v="1"/>
    <n v="2637.7950000000001"/>
    <x v="0"/>
    <d v="2022-06-27T00:00:00"/>
    <n v="113"/>
    <d v="2022-10-18T00:00:00"/>
    <n v="-63"/>
    <s v="W42_2022"/>
    <x v="0"/>
  </r>
  <r>
    <x v="0"/>
    <x v="212"/>
    <n v="22401563"/>
    <x v="0"/>
    <s v="CH (Cheque)"/>
    <s v="II. Receipts form Clients - non matured"/>
    <s v="Cheque PF"/>
    <s v="Sales of batteries - local"/>
    <s v="D/UBCI+TEBOULBA-932685"/>
    <s v="TND"/>
    <n v="2673.2539999999999"/>
    <n v="1"/>
    <n v="2673.2539999999999"/>
    <x v="0"/>
    <d v="2022-06-30T00:00:00"/>
    <n v="110"/>
    <d v="2022-10-18T00:00:00"/>
    <n v="-63"/>
    <s v="W42_2022"/>
    <x v="0"/>
  </r>
  <r>
    <x v="0"/>
    <x v="75"/>
    <n v="22124515"/>
    <x v="0"/>
    <s v="CH (Cheque)"/>
    <s v="II. Receipts form Clients - non matured"/>
    <s v="Cheque PF"/>
    <s v="Sales of batteries - local"/>
    <s v="P/STB+KELIBIA-0008267"/>
    <s v="TND"/>
    <n v="845"/>
    <n v="1"/>
    <n v="845"/>
    <x v="0"/>
    <d v="2022-05-26T00:00:00"/>
    <n v="145"/>
    <d v="2022-10-18T00:00:00"/>
    <n v="-63"/>
    <s v="W42_2022"/>
    <x v="0"/>
  </r>
  <r>
    <x v="0"/>
    <x v="126"/>
    <n v="22124936"/>
    <x v="0"/>
    <s v="CH (Cheque)"/>
    <s v="II. Receipts form Clients - non matured"/>
    <s v="Cheque PF"/>
    <s v="Sales of batteries - local"/>
    <s v="P/BNA+M.TEMIM-6123951"/>
    <s v="TND"/>
    <n v="2105.8620000000001"/>
    <n v="1"/>
    <n v="2105.8620000000001"/>
    <x v="0"/>
    <d v="2022-07-28T00:00:00"/>
    <n v="82"/>
    <d v="2022-10-18T00:00:00"/>
    <n v="-63"/>
    <s v="W42_2022"/>
    <x v="0"/>
  </r>
  <r>
    <x v="0"/>
    <x v="146"/>
    <n v="22301692"/>
    <x v="0"/>
    <s v="CH (Cheque)"/>
    <s v="II. Receipts form Clients - non matured"/>
    <s v="Cheque PF"/>
    <s v="Sales of batteries - local"/>
    <s v="D/BNA+CHEBBA-6217609"/>
    <s v="TND"/>
    <n v="4000"/>
    <n v="1"/>
    <n v="4000"/>
    <x v="0"/>
    <d v="2022-07-19T00:00:00"/>
    <n v="91"/>
    <d v="2022-10-18T00:00:00"/>
    <n v="-63"/>
    <s v="W42_2022"/>
    <x v="0"/>
  </r>
  <r>
    <x v="0"/>
    <x v="9"/>
    <n v="22601445"/>
    <x v="0"/>
    <s v="CH (Cheque)"/>
    <s v="II. Receipts form Clients - non matured"/>
    <s v="Cheque PF"/>
    <s v="Sales of batteries - local"/>
    <s v="P/BTL+GABES-3025436"/>
    <s v="TND"/>
    <n v="578.08699999999999"/>
    <n v="1"/>
    <n v="578.08699999999999"/>
    <x v="0"/>
    <d v="2022-07-20T00:00:00"/>
    <n v="91"/>
    <d v="2022-10-19T00:00:00"/>
    <n v="-64"/>
    <s v="W42_2022"/>
    <x v="0"/>
  </r>
  <r>
    <x v="0"/>
    <x v="74"/>
    <n v="22401528"/>
    <x v="0"/>
    <s v="CH (Cheque)"/>
    <s v="II. Receipts form Clients - non matured"/>
    <s v="Cheque PF"/>
    <s v="Sales of batteries - local"/>
    <s v="D/BIAT+MONASTIR-000485"/>
    <s v="TND"/>
    <n v="1500"/>
    <n v="1"/>
    <n v="1500"/>
    <x v="0"/>
    <d v="2022-06-29T00:00:00"/>
    <n v="112"/>
    <d v="2022-10-19T00:00:00"/>
    <n v="-64"/>
    <s v="W42_2022"/>
    <x v="0"/>
  </r>
  <r>
    <x v="0"/>
    <x v="124"/>
    <n v="22124746"/>
    <x v="0"/>
    <s v="CH (Cheque)"/>
    <s v="II. Receipts form Clients - non matured"/>
    <s v="Cheque PF"/>
    <s v="Sales of batteries - local"/>
    <s v="P/BNA+BOUARGOUB-558517"/>
    <s v="TND"/>
    <n v="4179.0479999999998"/>
    <n v="1"/>
    <n v="4179.0479999999998"/>
    <x v="0"/>
    <d v="2022-06-27T00:00:00"/>
    <n v="114"/>
    <d v="2022-10-19T00:00:00"/>
    <n v="-64"/>
    <s v="W42_2022"/>
    <x v="0"/>
  </r>
  <r>
    <x v="0"/>
    <x v="8"/>
    <n v="22301627"/>
    <x v="0"/>
    <s v="CH (Cheque)"/>
    <s v="II. Receipts form Clients - non matured"/>
    <s v="Cheque PF"/>
    <s v="Sales of batteries - local"/>
    <s v="P/BZ+SFAX-4000703"/>
    <s v="TND"/>
    <n v="5790"/>
    <n v="1"/>
    <n v="5790"/>
    <x v="0"/>
    <d v="2022-06-30T00:00:00"/>
    <n v="111"/>
    <d v="2022-10-19T00:00:00"/>
    <n v="-64"/>
    <s v="W42_2022"/>
    <x v="0"/>
  </r>
  <r>
    <x v="0"/>
    <x v="175"/>
    <n v="22124996"/>
    <x v="0"/>
    <s v="CH (Cheque)"/>
    <s v="II. Receipts form Clients - non matured"/>
    <s v="Cheque PF"/>
    <s v="Sales of batteries - local"/>
    <s v="P/STB+FAHS-0003969"/>
    <s v="TND"/>
    <n v="3000"/>
    <n v="1"/>
    <n v="3000"/>
    <x v="0"/>
    <d v="2022-08-05T00:00:00"/>
    <n v="76"/>
    <d v="2022-10-20T00:00:00"/>
    <n v="-65"/>
    <s v="W42_2022"/>
    <x v="0"/>
  </r>
  <r>
    <x v="0"/>
    <x v="104"/>
    <n v="22124982"/>
    <x v="0"/>
    <s v="CH (Cheque)"/>
    <s v="II. Receipts form Clients - non matured"/>
    <s v="Cheque PF"/>
    <s v="Sales of batteries - local"/>
    <s v="P/BIAT+ARIANA-0002025"/>
    <s v="TND"/>
    <n v="2392.2620000000002"/>
    <n v="1"/>
    <n v="2392.2620000000002"/>
    <x v="0"/>
    <d v="2022-08-02T00:00:00"/>
    <n v="79"/>
    <d v="2022-10-20T00:00:00"/>
    <n v="-65"/>
    <s v="W42_2022"/>
    <x v="0"/>
  </r>
  <r>
    <x v="0"/>
    <x v="233"/>
    <n v="22301748"/>
    <x v="0"/>
    <s v="CH (Cheque)"/>
    <s v="II. Receipts form Clients - non matured"/>
    <s v="Cheque PF"/>
    <s v="Sales of batteries - local"/>
    <s v="P/BNA+SFAX-6035354"/>
    <s v="TND"/>
    <n v="3000"/>
    <n v="1"/>
    <n v="3000"/>
    <x v="0"/>
    <d v="2022-08-04T00:00:00"/>
    <n v="77"/>
    <d v="2022-10-20T00:00:00"/>
    <n v="-65"/>
    <s v="W42_2022"/>
    <x v="0"/>
  </r>
  <r>
    <x v="0"/>
    <x v="96"/>
    <n v="22401659"/>
    <x v="0"/>
    <s v="CH (Cheque)"/>
    <s v="II. Receipts form Clients - non matured"/>
    <s v="Cheque PF"/>
    <s v="Sales of batteries - local"/>
    <s v="D/UIB+K KEBIRA-2323297"/>
    <s v="TND"/>
    <n v="1058.8209999999999"/>
    <n v="1"/>
    <n v="1058.8209999999999"/>
    <x v="0"/>
    <d v="2022-07-29T00:00:00"/>
    <n v="83"/>
    <d v="2022-10-20T00:00:00"/>
    <n v="-65"/>
    <s v="W42_2022"/>
    <x v="0"/>
  </r>
  <r>
    <x v="0"/>
    <x v="318"/>
    <n v="22601514"/>
    <x v="0"/>
    <s v="CH (Cheque)"/>
    <s v="II. Receipts form Clients - non matured"/>
    <s v="Cheque PF"/>
    <s v="Sales of batteries - local"/>
    <s v="P/BZ+GABES-4000207"/>
    <s v="TND"/>
    <n v="4303.7790000000005"/>
    <n v="1"/>
    <n v="4303.7790000000005"/>
    <x v="0"/>
    <d v="2022-08-04T00:00:00"/>
    <n v="77"/>
    <d v="2022-10-20T00:00:00"/>
    <n v="-65"/>
    <s v="W42_2022"/>
    <x v="0"/>
  </r>
  <r>
    <x v="0"/>
    <x v="157"/>
    <n v="22701261"/>
    <x v="0"/>
    <s v="CH (Cheque)"/>
    <s v="II. Receipts form Clients - non matured"/>
    <s v="Cheque PF"/>
    <s v="Sales of batteries - local"/>
    <s v="P/BNA+METALOUI-5348329"/>
    <s v="TND"/>
    <n v="6000.8180000000002"/>
    <n v="1"/>
    <n v="6000.8180000000002"/>
    <x v="0"/>
    <d v="2022-07-29T00:00:00"/>
    <n v="83"/>
    <d v="2022-10-20T00:00:00"/>
    <n v="-65"/>
    <s v="W42_2022"/>
    <x v="0"/>
  </r>
  <r>
    <x v="0"/>
    <x v="319"/>
    <n v="22701267"/>
    <x v="0"/>
    <s v="CH (Cheque)"/>
    <s v="II. Receipts form Clients - non matured"/>
    <s v="Cheque PF"/>
    <s v="Sales of batteries - local"/>
    <s v="P/UIB+SIDI ALI BEN AOU"/>
    <s v="TND"/>
    <n v="2322.893"/>
    <n v="1"/>
    <n v="2322.893"/>
    <x v="0"/>
    <d v="2022-08-04T00:00:00"/>
    <n v="77"/>
    <d v="2022-10-20T00:00:00"/>
    <n v="-65"/>
    <s v="W42_2022"/>
    <x v="0"/>
  </r>
  <r>
    <x v="0"/>
    <x v="89"/>
    <n v="22701255"/>
    <x v="0"/>
    <s v="CH (Cheque)"/>
    <s v="II. Receipts form Clients - non matured"/>
    <s v="Cheque PF"/>
    <s v="Sales of batteries - local"/>
    <s v="P/BNA+MEKNASY-6099084"/>
    <s v="TND"/>
    <n v="3977"/>
    <n v="1"/>
    <n v="3977"/>
    <x v="0"/>
    <d v="2022-07-29T00:00:00"/>
    <n v="83"/>
    <d v="2022-10-20T00:00:00"/>
    <n v="-65"/>
    <s v="W42_2022"/>
    <x v="0"/>
  </r>
  <r>
    <x v="0"/>
    <x v="91"/>
    <n v="22801410"/>
    <x v="0"/>
    <s v="CH (Cheque)"/>
    <s v="II. Receipts form Clients - non matured"/>
    <s v="Cheque PF"/>
    <s v="Sales of batteries - local"/>
    <s v="P/UIB+BEJA-9895937"/>
    <s v="TND"/>
    <n v="3585.7930000000001"/>
    <n v="1"/>
    <n v="3585.7930000000001"/>
    <x v="0"/>
    <d v="2022-08-04T00:00:00"/>
    <n v="77"/>
    <d v="2022-10-20T00:00:00"/>
    <n v="-65"/>
    <s v="W42_2022"/>
    <x v="0"/>
  </r>
  <r>
    <x v="0"/>
    <x v="34"/>
    <n v="22801417"/>
    <x v="0"/>
    <s v="CH (Cheque)"/>
    <s v="II. Receipts form Clients - non matured"/>
    <s v="Cheque PF"/>
    <s v="Sales of batteries - local"/>
    <s v="P/BNA+BEJA-5800155"/>
    <s v="TND"/>
    <n v="1845"/>
    <n v="1"/>
    <n v="1845"/>
    <x v="0"/>
    <d v="2022-08-04T00:00:00"/>
    <n v="77"/>
    <d v="2022-10-20T00:00:00"/>
    <n v="-65"/>
    <s v="W42_2022"/>
    <x v="0"/>
  </r>
  <r>
    <x v="0"/>
    <x v="14"/>
    <n v="22601404"/>
    <x v="0"/>
    <s v="CH (Cheque)"/>
    <s v="II. Receipts form Clients - non matured"/>
    <s v="Cheque PF"/>
    <s v="Sales of batteries - local"/>
    <s v="P/UBCI+GABES-7268768"/>
    <s v="TND"/>
    <n v="950"/>
    <n v="1"/>
    <n v="950"/>
    <x v="0"/>
    <d v="2022-06-29T00:00:00"/>
    <n v="113"/>
    <d v="2022-10-20T00:00:00"/>
    <n v="-65"/>
    <s v="W42_2022"/>
    <x v="0"/>
  </r>
  <r>
    <x v="0"/>
    <x v="6"/>
    <n v="22401440"/>
    <x v="0"/>
    <s v="CH (Cheque)"/>
    <s v="II. Receipts form Clients - non matured"/>
    <s v="Cheque PF"/>
    <s v="Sales of batteries - local"/>
    <s v="D/BH+MOKNINE-2104970"/>
    <s v="TND"/>
    <n v="1977.79"/>
    <n v="1"/>
    <n v="1977.79"/>
    <x v="0"/>
    <d v="2022-06-02T00:00:00"/>
    <n v="140"/>
    <d v="2022-10-20T00:00:00"/>
    <n v="-65"/>
    <s v="W42_2022"/>
    <x v="0"/>
  </r>
  <r>
    <x v="0"/>
    <x v="93"/>
    <n v="22401469"/>
    <x v="0"/>
    <s v="CH (Cheque)"/>
    <s v="II. Receipts form Clients - non matured"/>
    <s v="Cheque PF"/>
    <s v="Sales of batteries - local"/>
    <s v="D/BT+KAIROUAN-8742074"/>
    <s v="TND"/>
    <n v="2397.0520000000001"/>
    <n v="1"/>
    <n v="2397.0520000000001"/>
    <x v="0"/>
    <d v="2022-06-16T00:00:00"/>
    <n v="126"/>
    <d v="2022-10-20T00:00:00"/>
    <n v="-65"/>
    <s v="W42_2022"/>
    <x v="0"/>
  </r>
  <r>
    <x v="0"/>
    <x v="75"/>
    <n v="22124512"/>
    <x v="0"/>
    <s v="CH (Cheque)"/>
    <s v="II. Receipts form Clients - non matured"/>
    <s v="Cheque PF"/>
    <s v="Sales of batteries - local"/>
    <s v="P/STB+KELIBIA-0008268"/>
    <s v="TND"/>
    <n v="840"/>
    <n v="1"/>
    <n v="840"/>
    <x v="0"/>
    <d v="2022-05-26T00:00:00"/>
    <n v="147"/>
    <d v="2022-10-20T00:00:00"/>
    <n v="-65"/>
    <s v="W42_2022"/>
    <x v="0"/>
  </r>
  <r>
    <x v="0"/>
    <x v="104"/>
    <n v="22124672"/>
    <x v="0"/>
    <s v="CH (Cheque)"/>
    <s v="II. Receipts form Clients - non matured"/>
    <s v="Cheque PF"/>
    <s v="Sales of batteries - local"/>
    <s v="P/BIAT+ARIANA-0001984"/>
    <s v="TND"/>
    <n v="2283.8449999999998"/>
    <n v="1"/>
    <n v="2283.8449999999998"/>
    <x v="0"/>
    <d v="2022-06-20T00:00:00"/>
    <n v="122"/>
    <d v="2022-10-20T00:00:00"/>
    <n v="-65"/>
    <s v="W42_2022"/>
    <x v="0"/>
  </r>
  <r>
    <x v="0"/>
    <x v="7"/>
    <n v="22124785"/>
    <x v="0"/>
    <s v="CH (Cheque)"/>
    <s v="II. Receipts form Clients - non matured"/>
    <s v="Cheque PF"/>
    <s v="Sales of batteries - local"/>
    <s v="P/BIAT+RAOUED-0003565"/>
    <s v="TND"/>
    <n v="1177.941"/>
    <n v="1"/>
    <n v="1177.941"/>
    <x v="0"/>
    <d v="2022-06-30T00:00:00"/>
    <n v="112"/>
    <d v="2022-10-20T00:00:00"/>
    <n v="-65"/>
    <s v="W42_2022"/>
    <x v="0"/>
  </r>
  <r>
    <x v="0"/>
    <x v="99"/>
    <n v="22124718"/>
    <x v="0"/>
    <s v="CH (Cheque)"/>
    <s v="II. Receipts form Clients - non matured"/>
    <s v="Cheque PF"/>
    <s v="Sales of batteries - local"/>
    <s v="P/STB+FOUCHANA-0000478"/>
    <s v="TND"/>
    <n v="1086.7370000000001"/>
    <n v="1"/>
    <n v="1086.7370000000001"/>
    <x v="0"/>
    <d v="2022-06-24T00:00:00"/>
    <n v="118"/>
    <d v="2022-10-20T00:00:00"/>
    <n v="-65"/>
    <s v="W42_2022"/>
    <x v="0"/>
  </r>
  <r>
    <x v="0"/>
    <x v="133"/>
    <n v="22124925"/>
    <x v="0"/>
    <s v="CH (Cheque)"/>
    <s v="II. Receipts form Clients - non matured"/>
    <s v="Cheque PF"/>
    <s v="Sales of batteries - local"/>
    <s v="P/TSB+MANNOUBA-8823875"/>
    <s v="TND"/>
    <n v="14284.708000000001"/>
    <n v="1"/>
    <n v="14284.708000000001"/>
    <x v="0"/>
    <d v="2022-07-28T00:00:00"/>
    <n v="84"/>
    <d v="2022-10-20T00:00:00"/>
    <n v="-65"/>
    <s v="W42_2022"/>
    <x v="0"/>
  </r>
  <r>
    <x v="0"/>
    <x v="221"/>
    <n v="22124964"/>
    <x v="0"/>
    <s v="CH (Cheque)"/>
    <s v="II. Receipts form Clients - non matured"/>
    <s v="Cheque PF"/>
    <s v="Sales of batteries - local"/>
    <s v="P/UIB+TN-4705579"/>
    <s v="TND"/>
    <n v="2057.6889999999999"/>
    <n v="1"/>
    <n v="2057.6889999999999"/>
    <x v="0"/>
    <d v="2022-07-29T00:00:00"/>
    <n v="83"/>
    <d v="2022-10-20T00:00:00"/>
    <n v="-65"/>
    <s v="W42_2022"/>
    <x v="0"/>
  </r>
  <r>
    <x v="0"/>
    <x v="115"/>
    <n v="22301640"/>
    <x v="0"/>
    <s v="CH (Cheque)"/>
    <s v="II. Receipts form Clients - non matured"/>
    <s v="Cheque PF"/>
    <s v="Sales of batteries - local"/>
    <s v="P/UIB+SFAX-2493048"/>
    <s v="TND"/>
    <n v="1670"/>
    <n v="1"/>
    <n v="1670"/>
    <x v="0"/>
    <d v="2022-06-30T00:00:00"/>
    <n v="112"/>
    <d v="2022-10-20T00:00:00"/>
    <n v="-65"/>
    <s v="W42_2022"/>
    <x v="0"/>
  </r>
  <r>
    <x v="0"/>
    <x v="154"/>
    <n v="22601483"/>
    <x v="0"/>
    <s v="CH (Cheque)"/>
    <s v="II. Receipts form Clients - non matured"/>
    <s v="Cheque PF"/>
    <s v="Sales of batteries - local"/>
    <s v="p/amen+gabes-9607577"/>
    <s v="TND"/>
    <n v="1100"/>
    <n v="1"/>
    <n v="1100"/>
    <x v="0"/>
    <d v="2022-07-27T00:00:00"/>
    <n v="86"/>
    <d v="2022-10-21T00:00:00"/>
    <n v="-66"/>
    <s v="W42_2022"/>
    <x v="0"/>
  </r>
  <r>
    <x v="0"/>
    <x v="28"/>
    <n v="22601465"/>
    <x v="0"/>
    <s v="CH (Cheque)"/>
    <s v="II. Receipts form Clients - non matured"/>
    <s v="Cheque PF"/>
    <s v="Sales of batteries - local"/>
    <s v="P/BNA+GABES-5795289"/>
    <s v="TND"/>
    <n v="1000"/>
    <n v="1"/>
    <n v="1000"/>
    <x v="0"/>
    <d v="2022-07-26T00:00:00"/>
    <n v="87"/>
    <d v="2022-10-21T00:00:00"/>
    <n v="-66"/>
    <s v="W42_2022"/>
    <x v="0"/>
  </r>
  <r>
    <x v="0"/>
    <x v="129"/>
    <n v="22601423"/>
    <x v="0"/>
    <s v="CH (Cheque)"/>
    <s v="II. Receipts form Clients - non matured"/>
    <s v="Cheque PF"/>
    <s v="Sales of batteries - local"/>
    <s v="P/BZ+MEDNINE-4000564"/>
    <s v="TND"/>
    <n v="2500"/>
    <n v="1"/>
    <n v="2500"/>
    <x v="0"/>
    <d v="2022-07-07T00:00:00"/>
    <n v="106"/>
    <d v="2022-10-21T00:00:00"/>
    <n v="-66"/>
    <s v="W42_2022"/>
    <x v="0"/>
  </r>
  <r>
    <x v="0"/>
    <x v="83"/>
    <n v="22601430"/>
    <x v="0"/>
    <s v="CH (Cheque)"/>
    <s v="II. Receipts form Clients - non matured"/>
    <s v="Cheque PF"/>
    <s v="Sales of batteries - local"/>
    <s v="P/ATB+GABES-6400222"/>
    <s v="TND"/>
    <n v="1717.6769999999999"/>
    <n v="1"/>
    <n v="1717.6769999999999"/>
    <x v="0"/>
    <d v="2022-07-13T00:00:00"/>
    <n v="100"/>
    <d v="2022-10-21T00:00:00"/>
    <n v="-66"/>
    <s v="W42_2022"/>
    <x v="0"/>
  </r>
  <r>
    <x v="0"/>
    <x v="75"/>
    <n v="22124516"/>
    <x v="0"/>
    <s v="CH (Cheque)"/>
    <s v="II. Receipts form Clients - non matured"/>
    <s v="Cheque PF"/>
    <s v="Sales of batteries - local"/>
    <s v="P/STB+KELIBIA-0008270"/>
    <s v="TND"/>
    <n v="830"/>
    <n v="1"/>
    <n v="830"/>
    <x v="0"/>
    <d v="2022-05-26T00:00:00"/>
    <n v="148"/>
    <d v="2022-10-21T00:00:00"/>
    <n v="-66"/>
    <s v="W42_2022"/>
    <x v="0"/>
  </r>
  <r>
    <x v="0"/>
    <x v="109"/>
    <n v="22124956"/>
    <x v="0"/>
    <s v="CH (Cheque)"/>
    <s v="II. Receipts form Clients - non matured"/>
    <s v="Cheque PF"/>
    <s v="Sales of batteries - local"/>
    <s v="P/BIAT+TN-0002336"/>
    <s v="TND"/>
    <n v="2147.4589999999998"/>
    <n v="1"/>
    <n v="2147.4589999999998"/>
    <x v="0"/>
    <d v="2022-07-29T00:00:00"/>
    <n v="84"/>
    <d v="2022-10-21T00:00:00"/>
    <n v="-66"/>
    <s v="W42_2022"/>
    <x v="0"/>
  </r>
  <r>
    <x v="0"/>
    <x v="94"/>
    <n v="22401678"/>
    <x v="0"/>
    <s v="CH (Cheque)"/>
    <s v="II. Receipts form Clients - non matured"/>
    <s v="Cheque PF"/>
    <s v="Sales of batteries - local"/>
    <s v="P/UIB+SOUSSE-2490729"/>
    <s v="TND"/>
    <n v="1280.184"/>
    <n v="1"/>
    <n v="1280.184"/>
    <x v="0"/>
    <d v="2022-08-08T00:00:00"/>
    <n v="75"/>
    <d v="2022-10-22T00:00:00"/>
    <n v="-67"/>
    <s v="W43_2022"/>
    <x v="0"/>
  </r>
  <r>
    <x v="0"/>
    <x v="11"/>
    <n v="22401648"/>
    <x v="0"/>
    <s v="CH (Cheque)"/>
    <s v="II. Receipts form Clients - non matured"/>
    <s v="Cheque PF"/>
    <s v="Sales of batteries - local"/>
    <s v="D/BIAT+JEMMAL-0000441"/>
    <s v="TND"/>
    <n v="1800"/>
    <n v="1"/>
    <n v="1800"/>
    <x v="0"/>
    <d v="2022-07-29T00:00:00"/>
    <n v="85"/>
    <d v="2022-10-22T00:00:00"/>
    <n v="-67"/>
    <s v="W43_2022"/>
    <x v="0"/>
  </r>
  <r>
    <x v="0"/>
    <x v="264"/>
    <n v="22601383"/>
    <x v="0"/>
    <s v="CH (Cheque)"/>
    <s v="II. Receipts form Clients - non matured"/>
    <s v="Cheque PF"/>
    <s v="Sales of batteries - local"/>
    <s v="P/BNA+GABES-5703592"/>
    <s v="TND"/>
    <n v="3000"/>
    <n v="1"/>
    <n v="3000"/>
    <x v="0"/>
    <d v="2022-06-24T00:00:00"/>
    <n v="120"/>
    <d v="2022-10-22T00:00:00"/>
    <n v="-67"/>
    <s v="W43_2022"/>
    <x v="0"/>
  </r>
  <r>
    <x v="0"/>
    <x v="75"/>
    <n v="22124513"/>
    <x v="0"/>
    <s v="CH (Cheque)"/>
    <s v="II. Receipts form Clients - non matured"/>
    <s v="Cheque PF"/>
    <s v="Sales of batteries - local"/>
    <s v="P/STB+KELIBIA-0008269"/>
    <s v="TND"/>
    <n v="835"/>
    <n v="1"/>
    <n v="835"/>
    <x v="0"/>
    <d v="2022-05-26T00:00:00"/>
    <n v="149"/>
    <d v="2022-10-22T00:00:00"/>
    <n v="-67"/>
    <s v="W43_2022"/>
    <x v="0"/>
  </r>
  <r>
    <x v="0"/>
    <x v="222"/>
    <n v="22124754"/>
    <x v="0"/>
    <s v="CH (Cheque)"/>
    <s v="II. Receipts form Clients - non matured"/>
    <s v="Cheque PF"/>
    <s v="Sales of batteries - local"/>
    <s v="P/UBCI+MORNEG-8896606"/>
    <s v="TND"/>
    <n v="1341.8140000000001"/>
    <n v="1"/>
    <n v="1341.8140000000001"/>
    <x v="0"/>
    <d v="2022-06-27T00:00:00"/>
    <n v="117"/>
    <d v="2022-10-22T00:00:00"/>
    <n v="-67"/>
    <s v="W43_2022"/>
    <x v="0"/>
  </r>
  <r>
    <x v="0"/>
    <x v="301"/>
    <n v="22301706"/>
    <x v="0"/>
    <s v="CH (Cheque)"/>
    <s v="II. Receipts form Clients - non matured"/>
    <s v="Cheque PF"/>
    <s v="Sales of batteries - local"/>
    <s v="P/AB+SFAX-1851911"/>
    <s v="TND"/>
    <n v="1430"/>
    <n v="1"/>
    <n v="1430"/>
    <x v="0"/>
    <d v="2022-07-22T00:00:00"/>
    <n v="92"/>
    <d v="2022-10-22T00:00:00"/>
    <n v="-67"/>
    <s v="W43_2022"/>
    <x v="0"/>
  </r>
  <r>
    <x v="0"/>
    <x v="75"/>
    <n v="22124511"/>
    <x v="0"/>
    <s v="CH (Cheque)"/>
    <s v="II. Receipts form Clients - non matured"/>
    <s v="Cheque PF"/>
    <s v="Sales of batteries - local"/>
    <s v="P/STB+KELIBIA-0008271"/>
    <s v="TND"/>
    <n v="770.84699999999998"/>
    <n v="1"/>
    <n v="770.84699999999998"/>
    <x v="0"/>
    <d v="2022-05-26T00:00:00"/>
    <n v="150"/>
    <d v="2022-10-23T00:00:00"/>
    <n v="-68"/>
    <s v="W43_2022"/>
    <x v="0"/>
  </r>
  <r>
    <x v="0"/>
    <x v="75"/>
    <n v="22124734"/>
    <x v="0"/>
    <s v="CH (Cheque)"/>
    <s v="II. Receipts form Clients - non matured"/>
    <s v="Cheque PF"/>
    <s v="Sales of batteries - local"/>
    <s v="P/STB+KELIBIA-0008379"/>
    <s v="TND"/>
    <n v="860"/>
    <n v="1"/>
    <n v="860"/>
    <x v="0"/>
    <d v="2022-06-24T00:00:00"/>
    <n v="121"/>
    <d v="2022-10-23T00:00:00"/>
    <n v="-68"/>
    <s v="W43_2022"/>
    <x v="0"/>
  </r>
  <r>
    <x v="0"/>
    <x v="84"/>
    <n v="22301568"/>
    <x v="0"/>
    <s v="CH (Cheque)"/>
    <s v="II. Receipts form Clients - non matured"/>
    <s v="Cheque PF"/>
    <s v="Sales of batteries - local"/>
    <s v="P/UIB+SFAX-2492215"/>
    <s v="TND"/>
    <n v="11564.791999999999"/>
    <n v="1"/>
    <n v="11564.791999999999"/>
    <x v="0"/>
    <d v="2022-06-20T00:00:00"/>
    <n v="125"/>
    <d v="2022-10-23T00:00:00"/>
    <n v="-68"/>
    <s v="W43_2022"/>
    <x v="0"/>
  </r>
  <r>
    <x v="0"/>
    <x v="125"/>
    <n v="22301598"/>
    <x v="0"/>
    <s v="CH (Cheque)"/>
    <s v="II. Receipts form Clients - non matured"/>
    <s v="Cheque PF"/>
    <s v="Sales of batteries - local"/>
    <s v="P/BIAT+SFAX-0007504"/>
    <s v="TND"/>
    <n v="980"/>
    <n v="1"/>
    <n v="980"/>
    <x v="0"/>
    <d v="2022-06-27T00:00:00"/>
    <n v="118"/>
    <d v="2022-10-23T00:00:00"/>
    <n v="-68"/>
    <s v="W43_2022"/>
    <x v="0"/>
  </r>
  <r>
    <x v="0"/>
    <x v="79"/>
    <n v="22301713"/>
    <x v="0"/>
    <s v="CH (Cheque)"/>
    <s v="II. Receipts form Clients - non matured"/>
    <s v="Cheque PF"/>
    <s v="Sales of batteries - local"/>
    <s v="P/BH+SFAX-0422251"/>
    <s v="TND"/>
    <n v="1439.0129999999999"/>
    <n v="1"/>
    <n v="1439.0129999999999"/>
    <x v="0"/>
    <d v="2022-07-27T00:00:00"/>
    <n v="89"/>
    <d v="2022-10-24T00:00:00"/>
    <n v="-69"/>
    <s v="W43_2022"/>
    <x v="0"/>
  </r>
  <r>
    <x v="0"/>
    <x v="267"/>
    <n v="22601505"/>
    <x v="0"/>
    <s v="CH (Cheque)"/>
    <s v="II. Receipts form Clients - non matured"/>
    <s v="Cheque PF"/>
    <s v="Sales of batteries - local"/>
    <s v="P/BNA+DJERBA-6143839"/>
    <s v="TND"/>
    <n v="756"/>
    <n v="1"/>
    <n v="756"/>
    <x v="0"/>
    <d v="2022-08-04T00:00:00"/>
    <n v="81"/>
    <d v="2022-10-24T00:00:00"/>
    <n v="-69"/>
    <s v="W43_2022"/>
    <x v="0"/>
  </r>
  <r>
    <x v="0"/>
    <x v="186"/>
    <n v="22125000"/>
    <x v="0"/>
    <s v="CH (Cheque)"/>
    <s v="II. Receipts form Clients - non matured"/>
    <s v="Cheque PF"/>
    <s v="Sales of batteries - local"/>
    <s v="P/STB+MEGRINE-0000164"/>
    <s v="TND"/>
    <n v="3382.85"/>
    <n v="1"/>
    <n v="3382.85"/>
    <x v="0"/>
    <d v="2022-08-05T00:00:00"/>
    <n v="81"/>
    <d v="2022-10-25T00:00:00"/>
    <n v="-70"/>
    <s v="W43_2022"/>
    <x v="0"/>
  </r>
  <r>
    <x v="0"/>
    <x v="140"/>
    <n v="22301715"/>
    <x v="0"/>
    <s v="CH (Cheque)"/>
    <s v="II. Receipts form Clients - non matured"/>
    <s v="Cheque PF"/>
    <s v="Sales of batteries - local"/>
    <s v="P/BIAT+SFAX-0001859"/>
    <s v="TND"/>
    <n v="2172.9589999999998"/>
    <n v="1"/>
    <n v="2172.9589999999998"/>
    <x v="0"/>
    <d v="2022-07-27T00:00:00"/>
    <n v="90"/>
    <d v="2022-10-25T00:00:00"/>
    <n v="-70"/>
    <s v="W43_2022"/>
    <x v="0"/>
  </r>
  <r>
    <x v="0"/>
    <x v="28"/>
    <n v="22601464"/>
    <x v="0"/>
    <s v="CH (Cheque)"/>
    <s v="II. Receipts form Clients - non matured"/>
    <s v="Cheque PF"/>
    <s v="Sales of batteries - local"/>
    <s v="P/BNA+DJERBA-5795290"/>
    <s v="TND"/>
    <n v="1000"/>
    <n v="1"/>
    <n v="1000"/>
    <x v="0"/>
    <d v="2022-07-26T00:00:00"/>
    <n v="91"/>
    <d v="2022-10-25T00:00:00"/>
    <n v="-70"/>
    <s v="W43_2022"/>
    <x v="0"/>
  </r>
  <r>
    <x v="0"/>
    <x v="147"/>
    <n v="22601519"/>
    <x v="0"/>
    <s v="CH (Cheque)"/>
    <s v="II. Receipts form Clients - non matured"/>
    <s v="Cheque PF"/>
    <s v="Sales of batteries - local"/>
    <s v="P/BT+MEDNINE-8615569"/>
    <s v="TND"/>
    <n v="9925.5490000000009"/>
    <n v="1"/>
    <n v="9925.5490000000009"/>
    <x v="0"/>
    <d v="2022-08-08T00:00:00"/>
    <n v="78"/>
    <d v="2022-10-25T00:00:00"/>
    <n v="-70"/>
    <s v="W43_2022"/>
    <x v="0"/>
  </r>
  <r>
    <x v="0"/>
    <x v="142"/>
    <n v="22801406"/>
    <x v="0"/>
    <s v="CH (Cheque)"/>
    <s v="II. Receipts form Clients - non matured"/>
    <s v="Cheque PF"/>
    <s v="Sales of batteries - local"/>
    <s v="P/BNA+ERROU-4947483"/>
    <s v="TND"/>
    <n v="4172.5749999999998"/>
    <n v="1"/>
    <n v="4172.5749999999998"/>
    <x v="0"/>
    <d v="2022-08-03T00:00:00"/>
    <n v="83"/>
    <d v="2022-10-25T00:00:00"/>
    <n v="-70"/>
    <s v="W43_2022"/>
    <x v="0"/>
  </r>
  <r>
    <x v="0"/>
    <x v="34"/>
    <n v="22801418"/>
    <x v="0"/>
    <s v="CH (Cheque)"/>
    <s v="II. Receipts form Clients - non matured"/>
    <s v="Cheque PF"/>
    <s v="Sales of batteries - local"/>
    <s v="P/BNA+BEJA-5800156"/>
    <s v="TND"/>
    <n v="1840"/>
    <n v="1"/>
    <n v="1840"/>
    <x v="0"/>
    <d v="2022-08-04T00:00:00"/>
    <n v="82"/>
    <d v="2022-10-25T00:00:00"/>
    <n v="-70"/>
    <s v="W43_2022"/>
    <x v="0"/>
  </r>
  <r>
    <x v="0"/>
    <x v="14"/>
    <n v="22601410"/>
    <x v="0"/>
    <s v="CH (Cheque)"/>
    <s v="II. Receipts form Clients - non matured"/>
    <s v="Cheque PF"/>
    <s v="Sales of batteries - local"/>
    <s v="P/UBCI+GABES-7268770"/>
    <s v="TND"/>
    <n v="950"/>
    <n v="1"/>
    <n v="950"/>
    <x v="0"/>
    <d v="2022-06-29T00:00:00"/>
    <n v="118"/>
    <d v="2022-10-25T00:00:00"/>
    <n v="-70"/>
    <s v="W43_2022"/>
    <x v="0"/>
  </r>
  <r>
    <x v="0"/>
    <x v="14"/>
    <n v="22601409"/>
    <x v="0"/>
    <s v="CH (Cheque)"/>
    <s v="II. Receipts form Clients - non matured"/>
    <s v="Cheque PF"/>
    <s v="Sales of batteries - local"/>
    <s v="P/UBCI+GABES-7268771"/>
    <s v="TND"/>
    <n v="950"/>
    <n v="1"/>
    <n v="950"/>
    <x v="0"/>
    <d v="2022-06-29T00:00:00"/>
    <n v="118"/>
    <d v="2022-10-25T00:00:00"/>
    <n v="-70"/>
    <s v="W43_2022"/>
    <x v="0"/>
  </r>
  <r>
    <x v="0"/>
    <x v="14"/>
    <n v="22601407"/>
    <x v="0"/>
    <s v="CH (Cheque)"/>
    <s v="II. Receipts form Clients - non matured"/>
    <s v="Cheque PF"/>
    <s v="Sales of batteries - local"/>
    <s v="P/UBCI+GABES-7268772"/>
    <s v="TND"/>
    <n v="746.59199999999998"/>
    <n v="1"/>
    <n v="746.59199999999998"/>
    <x v="0"/>
    <d v="2022-06-29T00:00:00"/>
    <n v="118"/>
    <d v="2022-10-25T00:00:00"/>
    <n v="-70"/>
    <s v="W43_2022"/>
    <x v="0"/>
  </r>
  <r>
    <x v="0"/>
    <x v="288"/>
    <n v="22701236"/>
    <x v="0"/>
    <s v="CH (Cheque)"/>
    <s v="II. Receipts form Clients - non matured"/>
    <s v="Cheque PF"/>
    <s v="Sales of batteries - local"/>
    <s v="P/STB+REDEYEF-0000297"/>
    <s v="TND"/>
    <n v="2100"/>
    <n v="1"/>
    <n v="2100"/>
    <x v="0"/>
    <d v="2022-07-14T00:00:00"/>
    <n v="103"/>
    <d v="2022-10-25T00:00:00"/>
    <n v="-70"/>
    <s v="W43_2022"/>
    <x v="0"/>
  </r>
  <r>
    <x v="0"/>
    <x v="306"/>
    <n v="22801352"/>
    <x v="0"/>
    <s v="CH (Cheque)"/>
    <s v="II. Receipts form Clients - non matured"/>
    <s v="Cheque PF"/>
    <s v="Sales of batteries - local"/>
    <s v="P/STB+TABRK-0006576"/>
    <s v="TND"/>
    <n v="5726.0320000000002"/>
    <n v="1"/>
    <n v="5726.0320000000002"/>
    <x v="0"/>
    <d v="2022-07-15T00:00:00"/>
    <n v="102"/>
    <d v="2022-10-25T00:00:00"/>
    <n v="-70"/>
    <s v="W43_2022"/>
    <x v="0"/>
  </r>
  <r>
    <x v="0"/>
    <x v="104"/>
    <n v="22124678"/>
    <x v="0"/>
    <s v="CH (Cheque)"/>
    <s v="II. Receipts form Clients - non matured"/>
    <s v="Cheque PF"/>
    <s v="Sales of batteries - local"/>
    <s v="P/BIAT+ARIANA-0001985"/>
    <s v="TND"/>
    <n v="2283.8449999999998"/>
    <n v="1"/>
    <n v="2283.8449999999998"/>
    <x v="0"/>
    <d v="2022-06-20T00:00:00"/>
    <n v="127"/>
    <d v="2022-10-25T00:00:00"/>
    <n v="-70"/>
    <s v="W43_2022"/>
    <x v="0"/>
  </r>
  <r>
    <x v="0"/>
    <x v="7"/>
    <n v="22124786"/>
    <x v="0"/>
    <s v="CH (Cheque)"/>
    <s v="II. Receipts form Clients - non matured"/>
    <s v="Cheque PF"/>
    <s v="Sales of batteries - local"/>
    <s v="P/BIAT+RAOUED-0003566"/>
    <s v="TND"/>
    <n v="1177.941"/>
    <n v="1"/>
    <n v="1177.941"/>
    <x v="0"/>
    <d v="2022-06-30T00:00:00"/>
    <n v="117"/>
    <d v="2022-10-25T00:00:00"/>
    <n v="-70"/>
    <s v="W43_2022"/>
    <x v="0"/>
  </r>
  <r>
    <x v="0"/>
    <x v="309"/>
    <n v="22124705"/>
    <x v="0"/>
    <s v="CH (Cheque)"/>
    <s v="II. Receipts form Clients - non matured"/>
    <s v="Cheque PF"/>
    <s v="Sales of batteries - local"/>
    <s v="P/BIAT+BEN AROUS-00007"/>
    <s v="TND"/>
    <n v="4769.4009999999998"/>
    <n v="1"/>
    <n v="4769.4009999999998"/>
    <x v="0"/>
    <d v="2022-06-23T00:00:00"/>
    <n v="124"/>
    <d v="2022-10-25T00:00:00"/>
    <n v="-70"/>
    <s v="W43_2022"/>
    <x v="0"/>
  </r>
  <r>
    <x v="0"/>
    <x v="75"/>
    <n v="22124732"/>
    <x v="0"/>
    <s v="CH (Cheque)"/>
    <s v="II. Receipts form Clients - non matured"/>
    <s v="Cheque PF"/>
    <s v="Sales of batteries - local"/>
    <s v="P/STB+KELIBIA-0008380"/>
    <s v="TND"/>
    <n v="855"/>
    <n v="1"/>
    <n v="855"/>
    <x v="0"/>
    <d v="2022-06-24T00:00:00"/>
    <n v="123"/>
    <d v="2022-10-25T00:00:00"/>
    <n v="-70"/>
    <s v="W43_2022"/>
    <x v="0"/>
  </r>
  <r>
    <x v="0"/>
    <x v="101"/>
    <n v="22124845"/>
    <x v="0"/>
    <s v="CH (Cheque)"/>
    <s v="II. Receipts form Clients - non matured"/>
    <s v="Cheque PF"/>
    <s v="Sales of batteries - local"/>
    <s v="P/STB+FOUCHANA-0004414"/>
    <s v="TND"/>
    <n v="500"/>
    <n v="1"/>
    <n v="500"/>
    <x v="0"/>
    <d v="2022-07-15T00:00:00"/>
    <n v="102"/>
    <d v="2022-10-25T00:00:00"/>
    <n v="-70"/>
    <s v="W43_2022"/>
    <x v="0"/>
  </r>
  <r>
    <x v="0"/>
    <x v="221"/>
    <n v="22124966"/>
    <x v="0"/>
    <s v="CH (Cheque)"/>
    <s v="II. Receipts form Clients - non matured"/>
    <s v="Cheque PF"/>
    <s v="Sales of batteries - local"/>
    <s v="P/UIB+TN-4705580"/>
    <s v="TND"/>
    <n v="2057.6889999999999"/>
    <n v="1"/>
    <n v="2057.6889999999999"/>
    <x v="0"/>
    <d v="2022-07-29T00:00:00"/>
    <n v="88"/>
    <d v="2022-10-25T00:00:00"/>
    <n v="-70"/>
    <s v="W43_2022"/>
    <x v="0"/>
  </r>
  <r>
    <x v="0"/>
    <x v="102"/>
    <n v="22124908"/>
    <x v="0"/>
    <s v="CH (Cheque)"/>
    <s v="II. Receipts form Clients - non matured"/>
    <s v="Cheque PF"/>
    <s v="Sales of batteries - local"/>
    <s v="P/ATTJ+TN-0100798"/>
    <s v="TND"/>
    <n v="2500"/>
    <n v="1"/>
    <n v="2500"/>
    <x v="0"/>
    <d v="2022-07-28T00:00:00"/>
    <n v="89"/>
    <d v="2022-10-25T00:00:00"/>
    <n v="-70"/>
    <s v="W43_2022"/>
    <x v="0"/>
  </r>
  <r>
    <x v="0"/>
    <x v="98"/>
    <n v="22124912"/>
    <x v="0"/>
    <s v="CH (Cheque)"/>
    <s v="II. Receipts form Clients - non matured"/>
    <s v="Cheque PF"/>
    <s v="Sales of batteries - local"/>
    <s v="P/BZ+TN-4003395"/>
    <s v="TND"/>
    <n v="2427.076"/>
    <n v="1"/>
    <n v="2427.076"/>
    <x v="0"/>
    <d v="2022-07-28T00:00:00"/>
    <n v="89"/>
    <d v="2022-10-25T00:00:00"/>
    <n v="-70"/>
    <s v="W43_2022"/>
    <x v="0"/>
  </r>
  <r>
    <x v="0"/>
    <x v="305"/>
    <n v="22301687"/>
    <x v="0"/>
    <s v="CH (Cheque)"/>
    <s v="II. Receipts form Clients - non matured"/>
    <s v="Cheque PF"/>
    <s v="Sales of batteries - local"/>
    <s v="P/BIAT+SFAX-0002042"/>
    <s v="TND"/>
    <n v="3000"/>
    <n v="1"/>
    <n v="3000"/>
    <x v="0"/>
    <d v="2022-07-19T00:00:00"/>
    <n v="98"/>
    <d v="2022-10-25T00:00:00"/>
    <n v="-70"/>
    <s v="W43_2022"/>
    <x v="0"/>
  </r>
  <r>
    <x v="0"/>
    <x v="115"/>
    <n v="22301641"/>
    <x v="0"/>
    <s v="CH (Cheque)"/>
    <s v="II. Receipts form Clients - non matured"/>
    <s v="Cheque PF"/>
    <s v="Sales of batteries - local"/>
    <s v="P/UIB+SFAX-2493049"/>
    <s v="TND"/>
    <n v="1670"/>
    <n v="1"/>
    <n v="1670"/>
    <x v="0"/>
    <d v="2022-06-30T00:00:00"/>
    <n v="117"/>
    <d v="2022-10-25T00:00:00"/>
    <n v="-70"/>
    <s v="W43_2022"/>
    <x v="0"/>
  </r>
  <r>
    <x v="0"/>
    <x v="4"/>
    <n v="22301585"/>
    <x v="0"/>
    <s v="CH (Cheque)"/>
    <s v="II. Receipts form Clients - non matured"/>
    <s v="Cheque PF"/>
    <s v="Sales of batteries - local"/>
    <s v="D/BNA+CHEBBA-6036874"/>
    <s v="TND"/>
    <n v="1042.46"/>
    <n v="1"/>
    <n v="1042.46"/>
    <x v="0"/>
    <d v="2022-06-27T00:00:00"/>
    <n v="120"/>
    <d v="2022-10-25T00:00:00"/>
    <n v="-70"/>
    <s v="W43_2022"/>
    <x v="0"/>
  </r>
  <r>
    <x v="0"/>
    <x v="74"/>
    <n v="22401529"/>
    <x v="0"/>
    <s v="CH (Cheque)"/>
    <s v="II. Receipts form Clients - non matured"/>
    <s v="Cheque PF"/>
    <s v="Sales of batteries - local"/>
    <s v="D/BIAT+MONASTIR-000485"/>
    <s v="TND"/>
    <n v="1746.001"/>
    <n v="1"/>
    <n v="1746.001"/>
    <x v="0"/>
    <d v="2022-06-29T00:00:00"/>
    <n v="119"/>
    <d v="2022-10-26T00:00:00"/>
    <n v="-71"/>
    <s v="W43_2022"/>
    <x v="0"/>
  </r>
  <r>
    <x v="0"/>
    <x v="8"/>
    <n v="22301628"/>
    <x v="0"/>
    <s v="CH (Cheque)"/>
    <s v="II. Receipts form Clients - non matured"/>
    <s v="Cheque PF"/>
    <s v="Sales of batteries - local"/>
    <s v="P/BZ+SFAX-4000704"/>
    <s v="TND"/>
    <n v="5790"/>
    <n v="1"/>
    <n v="5790"/>
    <x v="0"/>
    <d v="2022-06-30T00:00:00"/>
    <n v="118"/>
    <d v="2022-10-26T00:00:00"/>
    <n v="-71"/>
    <s v="W43_2022"/>
    <x v="0"/>
  </r>
  <r>
    <x v="0"/>
    <x v="28"/>
    <n v="22601472"/>
    <x v="0"/>
    <s v="CH (Cheque)"/>
    <s v="II. Receipts form Clients - non matured"/>
    <s v="Cheque PF"/>
    <s v="Sales of batteries - local"/>
    <s v="P/BNA+GABES-5795291"/>
    <s v="TND"/>
    <n v="2000"/>
    <n v="1"/>
    <n v="2000"/>
    <x v="0"/>
    <d v="2022-07-26T00:00:00"/>
    <n v="93"/>
    <d v="2022-10-27T00:00:00"/>
    <n v="-72"/>
    <s v="W43_2022"/>
    <x v="0"/>
  </r>
  <r>
    <x v="0"/>
    <x v="129"/>
    <n v="22601426"/>
    <x v="0"/>
    <s v="CH (Cheque)"/>
    <s v="II. Receipts form Clients - non matured"/>
    <s v="Cheque PF"/>
    <s v="Sales of batteries - local"/>
    <s v="P/BZ+MEDNINE-4000565"/>
    <s v="TND"/>
    <n v="2559.1799999999998"/>
    <n v="1"/>
    <n v="2559.1799999999998"/>
    <x v="0"/>
    <d v="2022-07-07T00:00:00"/>
    <n v="112"/>
    <d v="2022-10-27T00:00:00"/>
    <n v="-72"/>
    <s v="W43_2022"/>
    <x v="0"/>
  </r>
  <r>
    <x v="0"/>
    <x v="284"/>
    <n v="22801357"/>
    <x v="0"/>
    <s v="CH (Cheque)"/>
    <s v="II. Receipts form Clients - non matured"/>
    <s v="Cheque PF"/>
    <s v="Sales of batteries - local"/>
    <s v="P/UBCI+KEF-9479877"/>
    <s v="TND"/>
    <n v="1917.5809999999999"/>
    <n v="1"/>
    <n v="1917.5809999999999"/>
    <x v="0"/>
    <d v="2022-07-15T00:00:00"/>
    <n v="104"/>
    <d v="2022-10-27T00:00:00"/>
    <n v="-72"/>
    <s v="W43_2022"/>
    <x v="0"/>
  </r>
  <r>
    <x v="0"/>
    <x v="144"/>
    <n v="22401391"/>
    <x v="0"/>
    <s v="CH (Cheque)"/>
    <s v="II. Receipts form Clients - non matured"/>
    <s v="Cheque PF"/>
    <s v="Sales of batteries - local"/>
    <s v="P/UIB+SOUSSE-1052369"/>
    <s v="TND"/>
    <n v="10061.858"/>
    <n v="1"/>
    <n v="10061.858"/>
    <x v="0"/>
    <d v="2022-05-21T00:00:00"/>
    <n v="159"/>
    <d v="2022-10-27T00:00:00"/>
    <n v="-72"/>
    <s v="W43_2022"/>
    <x v="0"/>
  </r>
  <r>
    <x v="0"/>
    <x v="6"/>
    <n v="22401439"/>
    <x v="0"/>
    <s v="CH (Cheque)"/>
    <s v="II. Receipts form Clients - non matured"/>
    <s v="Cheque PF"/>
    <s v="Sales of batteries - local"/>
    <s v="D/BH+MOKNINE-2104971"/>
    <s v="TND"/>
    <n v="2113.2170000000001"/>
    <n v="1"/>
    <n v="2113.2170000000001"/>
    <x v="0"/>
    <d v="2022-06-02T00:00:00"/>
    <n v="147"/>
    <d v="2022-10-27T00:00:00"/>
    <n v="-72"/>
    <s v="W43_2022"/>
    <x v="0"/>
  </r>
  <r>
    <x v="0"/>
    <x v="75"/>
    <n v="22124731"/>
    <x v="0"/>
    <s v="CH (Cheque)"/>
    <s v="II. Receipts form Clients - non matured"/>
    <s v="Cheque PF"/>
    <s v="Sales of batteries - local"/>
    <s v="P/STB+KELIBIA-0008381"/>
    <s v="TND"/>
    <n v="850"/>
    <n v="1"/>
    <n v="850"/>
    <x v="0"/>
    <d v="2022-06-24T00:00:00"/>
    <n v="125"/>
    <d v="2022-10-27T00:00:00"/>
    <n v="-72"/>
    <s v="W43_2022"/>
    <x v="0"/>
  </r>
  <r>
    <x v="0"/>
    <x v="154"/>
    <n v="22601484"/>
    <x v="0"/>
    <s v="CH (Cheque)"/>
    <s v="II. Receipts form Clients - non matured"/>
    <s v="Cheque PF"/>
    <s v="Sales of batteries - local"/>
    <s v="p/amen+gabes-9607578"/>
    <s v="TND"/>
    <n v="1306.2249999999999"/>
    <n v="1"/>
    <n v="1306.2249999999999"/>
    <x v="0"/>
    <d v="2022-07-27T00:00:00"/>
    <n v="93"/>
    <d v="2022-10-28T00:00:00"/>
    <n v="-73"/>
    <s v="W43_2022"/>
    <x v="0"/>
  </r>
  <r>
    <x v="0"/>
    <x v="83"/>
    <n v="22601429"/>
    <x v="0"/>
    <s v="CH (Cheque)"/>
    <s v="II. Receipts form Clients - non matured"/>
    <s v="Cheque PF"/>
    <s v="Sales of batteries - local"/>
    <s v="P/ATB+GABES-6400223"/>
    <s v="TND"/>
    <n v="1717.6769999999999"/>
    <n v="1"/>
    <n v="1717.6769999999999"/>
    <x v="0"/>
    <d v="2022-07-13T00:00:00"/>
    <n v="107"/>
    <d v="2022-10-28T00:00:00"/>
    <n v="-73"/>
    <s v="W43_2022"/>
    <x v="0"/>
  </r>
  <r>
    <x v="0"/>
    <x v="14"/>
    <n v="22601411"/>
    <x v="0"/>
    <s v="CH (Cheque)"/>
    <s v="II. Receipts form Clients - non matured"/>
    <s v="Cheque PF"/>
    <s v="Sales of batteries - local"/>
    <s v="P/UBCI+GABES-7268769"/>
    <s v="TND"/>
    <n v="950"/>
    <n v="1"/>
    <n v="950"/>
    <x v="0"/>
    <d v="2022-06-29T00:00:00"/>
    <n v="121"/>
    <d v="2022-10-28T00:00:00"/>
    <n v="-73"/>
    <s v="W43_2022"/>
    <x v="0"/>
  </r>
  <r>
    <x v="0"/>
    <x v="11"/>
    <n v="22401651"/>
    <x v="0"/>
    <s v="CH (Cheque)"/>
    <s v="II. Receipts form Clients - non matured"/>
    <s v="Cheque PF"/>
    <s v="Sales of batteries - local"/>
    <s v="D/BIAT+JEMMAL-0000442"/>
    <s v="TND"/>
    <n v="1800"/>
    <n v="1"/>
    <n v="1800"/>
    <x v="0"/>
    <d v="2022-07-29T00:00:00"/>
    <n v="92"/>
    <d v="2022-10-29T00:00:00"/>
    <n v="-74"/>
    <s v="W44_2022"/>
    <x v="0"/>
  </r>
  <r>
    <x v="0"/>
    <x v="75"/>
    <n v="22124730"/>
    <x v="0"/>
    <s v="CH (Cheque)"/>
    <s v="II. Receipts form Clients - non matured"/>
    <s v="Cheque PF"/>
    <s v="Sales of batteries - local"/>
    <s v="P/STB+KELIBIA-0008382"/>
    <s v="TND"/>
    <n v="845"/>
    <n v="1"/>
    <n v="845"/>
    <x v="0"/>
    <d v="2022-06-24T00:00:00"/>
    <n v="127"/>
    <d v="2022-10-29T00:00:00"/>
    <n v="-74"/>
    <s v="W44_2022"/>
    <x v="0"/>
  </r>
  <r>
    <x v="0"/>
    <x v="315"/>
    <n v="22124877"/>
    <x v="0"/>
    <s v="CH (Cheque)"/>
    <s v="II. Receipts form Clients - non matured"/>
    <s v="Cheque PF"/>
    <s v="Sales of batteries - local"/>
    <s v="P/AMEN B+SIDI THABET-1"/>
    <s v="TND"/>
    <n v="726.79100000000005"/>
    <n v="1"/>
    <n v="726.79100000000005"/>
    <x v="0"/>
    <d v="2022-07-23T00:00:00"/>
    <n v="98"/>
    <d v="2022-10-29T00:00:00"/>
    <n v="-74"/>
    <s v="W44_2022"/>
    <x v="0"/>
  </r>
  <r>
    <x v="0"/>
    <x v="224"/>
    <n v="22124989"/>
    <x v="0"/>
    <s v="CH (Cheque)"/>
    <s v="II. Receipts form Clients - non matured"/>
    <s v="Cheque PF"/>
    <s v="Sales of batteries - local"/>
    <s v="P/UIB+EL OUARDIA-11367"/>
    <s v="TND"/>
    <n v="4522.3959999999997"/>
    <n v="1"/>
    <n v="4522.3959999999997"/>
    <x v="0"/>
    <d v="2022-08-05T00:00:00"/>
    <n v="86"/>
    <d v="2022-10-30T00:00:00"/>
    <n v="-75"/>
    <s v="W44_2022"/>
    <x v="0"/>
  </r>
  <r>
    <x v="0"/>
    <x v="175"/>
    <n v="22124997"/>
    <x v="0"/>
    <s v="CH (Cheque)"/>
    <s v="II. Receipts form Clients - non matured"/>
    <s v="Cheque PF"/>
    <s v="Sales of batteries - local"/>
    <s v="P/STB+FAHS-0003968"/>
    <s v="TND"/>
    <n v="3000"/>
    <n v="1"/>
    <n v="3000"/>
    <x v="0"/>
    <d v="2022-08-05T00:00:00"/>
    <n v="86"/>
    <d v="2022-10-30T00:00:00"/>
    <n v="-75"/>
    <s v="W44_2022"/>
    <x v="0"/>
  </r>
  <r>
    <x v="0"/>
    <x v="174"/>
    <n v="22124988"/>
    <x v="0"/>
    <s v="CH (Cheque)"/>
    <s v="II. Receipts form Clients - non matured"/>
    <s v="Cheque PF"/>
    <s v="Sales of batteries - local"/>
    <s v="P/ATTJ BQ+BEN AROUS-02"/>
    <s v="TND"/>
    <n v="926.54899999999998"/>
    <n v="1"/>
    <n v="926.54899999999998"/>
    <x v="0"/>
    <d v="2022-08-05T00:00:00"/>
    <n v="86"/>
    <d v="2022-10-30T00:00:00"/>
    <n v="-75"/>
    <s v="W44_2022"/>
    <x v="0"/>
  </r>
  <r>
    <x v="0"/>
    <x v="317"/>
    <n v="22301753"/>
    <x v="0"/>
    <s v="CH (Cheque)"/>
    <s v="II. Receipts form Clients - non matured"/>
    <s v="Cheque PF"/>
    <s v="Sales of batteries - local"/>
    <s v="P/ATTB+SFAX-0000010"/>
    <s v="TND"/>
    <n v="3500.107"/>
    <n v="1"/>
    <n v="3500.107"/>
    <x v="0"/>
    <d v="2022-08-05T00:00:00"/>
    <n v="86"/>
    <d v="2022-10-30T00:00:00"/>
    <n v="-75"/>
    <s v="W44_2022"/>
    <x v="0"/>
  </r>
  <r>
    <x v="0"/>
    <x v="78"/>
    <n v="22301721"/>
    <x v="0"/>
    <s v="CH (Cheque)"/>
    <s v="II. Receipts form Clients - non matured"/>
    <s v="Cheque PF"/>
    <s v="Sales of batteries - local"/>
    <s v="P/BIAT+SFAX-0007612"/>
    <s v="TND"/>
    <n v="2550"/>
    <n v="1"/>
    <n v="2550"/>
    <x v="0"/>
    <d v="2022-07-27T00:00:00"/>
    <n v="95"/>
    <d v="2022-10-30T00:00:00"/>
    <n v="-75"/>
    <s v="W44_2022"/>
    <x v="0"/>
  </r>
  <r>
    <x v="0"/>
    <x v="169"/>
    <n v="22401625"/>
    <x v="0"/>
    <s v="CH (Cheque)"/>
    <s v="II. Receipts form Clients - non matured"/>
    <s v="Cheque PF"/>
    <s v="Sales of batteries - local"/>
    <s v="D/BT+KAIROUAN-8571016"/>
    <s v="TND"/>
    <n v="1718.212"/>
    <n v="1"/>
    <n v="1718.212"/>
    <x v="0"/>
    <d v="2022-07-23T00:00:00"/>
    <n v="99"/>
    <d v="2022-10-30T00:00:00"/>
    <n v="-75"/>
    <s v="W44_2022"/>
    <x v="0"/>
  </r>
  <r>
    <x v="0"/>
    <x v="291"/>
    <n v="22401676"/>
    <x v="0"/>
    <s v="CH (Cheque)"/>
    <s v="II. Receipts form Clients - non matured"/>
    <s v="Cheque PF"/>
    <s v="Sales of batteries - local"/>
    <s v="D/ATTTIJAR+SOUSSE-0086"/>
    <s v="TND"/>
    <n v="3270.0250000000001"/>
    <n v="1"/>
    <n v="3270.0250000000001"/>
    <x v="0"/>
    <d v="2022-08-04T00:00:00"/>
    <n v="87"/>
    <d v="2022-10-30T00:00:00"/>
    <n v="-75"/>
    <s v="W44_2022"/>
    <x v="0"/>
  </r>
  <r>
    <x v="0"/>
    <x v="23"/>
    <n v="22401647"/>
    <x v="0"/>
    <s v="CH (Cheque)"/>
    <s v="II. Receipts form Clients - non matured"/>
    <s v="Cheque PF"/>
    <s v="Sales of batteries - local"/>
    <s v="P/UIB+KALAA KEBIRA-208"/>
    <s v="TND"/>
    <n v="2000"/>
    <n v="1"/>
    <n v="2000"/>
    <x v="0"/>
    <d v="2022-07-28T00:00:00"/>
    <n v="94"/>
    <d v="2022-10-30T00:00:00"/>
    <n v="-75"/>
    <s v="W44_2022"/>
    <x v="0"/>
  </r>
  <r>
    <x v="0"/>
    <x v="206"/>
    <n v="22701277"/>
    <x v="0"/>
    <s v="CH (Cheque)"/>
    <s v="II. Receipts form Clients - non matured"/>
    <s v="Cheque PF"/>
    <s v="Sales of batteries - local"/>
    <s v="P/BIAT+KEBILI-0002007"/>
    <s v="TND"/>
    <n v="3600"/>
    <n v="1"/>
    <n v="3600"/>
    <x v="0"/>
    <d v="2022-08-06T00:00:00"/>
    <n v="85"/>
    <d v="2022-10-30T00:00:00"/>
    <n v="-75"/>
    <s v="W44_2022"/>
    <x v="0"/>
  </r>
  <r>
    <x v="0"/>
    <x v="89"/>
    <n v="22701256"/>
    <x v="0"/>
    <s v="CH (Cheque)"/>
    <s v="II. Receipts form Clients - non matured"/>
    <s v="Cheque PF"/>
    <s v="Sales of batteries - local"/>
    <s v="P/BNA+MEKNASY-6099092"/>
    <s v="TND"/>
    <n v="5000"/>
    <n v="1"/>
    <n v="5000"/>
    <x v="0"/>
    <d v="2022-07-29T00:00:00"/>
    <n v="93"/>
    <d v="2022-10-30T00:00:00"/>
    <n v="-75"/>
    <s v="W44_2022"/>
    <x v="0"/>
  </r>
  <r>
    <x v="0"/>
    <x v="157"/>
    <n v="22701258"/>
    <x v="0"/>
    <s v="CH (Cheque)"/>
    <s v="II. Receipts form Clients - non matured"/>
    <s v="Cheque PF"/>
    <s v="Sales of batteries - local"/>
    <s v="P/BNA+METLAOUI-6385836"/>
    <s v="TND"/>
    <n v="5447.4939999999997"/>
    <n v="1"/>
    <n v="5447.4939999999997"/>
    <x v="0"/>
    <d v="2022-07-29T00:00:00"/>
    <n v="93"/>
    <d v="2022-10-30T00:00:00"/>
    <n v="-75"/>
    <s v="W44_2022"/>
    <x v="0"/>
  </r>
  <r>
    <x v="0"/>
    <x v="73"/>
    <n v="22801392"/>
    <x v="0"/>
    <s v="CH (Cheque)"/>
    <s v="II. Receipts form Clients - non matured"/>
    <s v="Cheque PF"/>
    <s v="Sales of batteries - local"/>
    <s v="P/BQ ZIT+BOUS-4000545"/>
    <s v="TND"/>
    <n v="2200"/>
    <n v="1"/>
    <n v="2200"/>
    <x v="0"/>
    <d v="2022-07-28T00:00:00"/>
    <n v="94"/>
    <d v="2022-10-30T00:00:00"/>
    <n v="-75"/>
    <s v="W44_2022"/>
    <x v="0"/>
  </r>
  <r>
    <x v="0"/>
    <x v="32"/>
    <n v="22801380"/>
    <x v="0"/>
    <s v="CH (Cheque)"/>
    <s v="II. Receipts form Clients - non matured"/>
    <s v="Cheque PF"/>
    <s v="Sales of batteries - local"/>
    <s v="P/BNA+MAKTHAR-6268071"/>
    <s v="TND"/>
    <n v="5071.1869999999999"/>
    <n v="1"/>
    <n v="5071.1869999999999"/>
    <x v="0"/>
    <d v="2022-07-23T00:00:00"/>
    <n v="99"/>
    <d v="2022-10-30T00:00:00"/>
    <n v="-75"/>
    <s v="W44_2022"/>
    <x v="0"/>
  </r>
  <r>
    <x v="0"/>
    <x v="34"/>
    <n v="22801419"/>
    <x v="0"/>
    <s v="CH (Cheque)"/>
    <s v="II. Receipts form Clients - non matured"/>
    <s v="Cheque PF"/>
    <s v="Sales of batteries - local"/>
    <s v="P/BNA+BEJA-5800157"/>
    <s v="TND"/>
    <n v="1858.9349999999999"/>
    <n v="1"/>
    <n v="1858.9349999999999"/>
    <x v="0"/>
    <d v="2022-08-04T00:00:00"/>
    <n v="87"/>
    <d v="2022-10-30T00:00:00"/>
    <n v="-75"/>
    <s v="W44_2022"/>
    <x v="0"/>
  </r>
  <r>
    <x v="0"/>
    <x v="264"/>
    <n v="22601384"/>
    <x v="0"/>
    <s v="CH (Cheque)"/>
    <s v="II. Receipts form Clients - non matured"/>
    <s v="Cheque PF"/>
    <s v="Sales of batteries - local"/>
    <s v="P/BNA+GABES-5703593"/>
    <s v="TND"/>
    <n v="3000"/>
    <n v="1"/>
    <n v="3000"/>
    <x v="0"/>
    <d v="2022-06-24T00:00:00"/>
    <n v="128"/>
    <d v="2022-10-30T00:00:00"/>
    <n v="-75"/>
    <s v="W44_2022"/>
    <x v="0"/>
  </r>
  <r>
    <x v="0"/>
    <x v="19"/>
    <n v="22801358"/>
    <x v="0"/>
    <s v="CH (Cheque)"/>
    <s v="II. Receipts form Clients - non matured"/>
    <s v="Cheque PF"/>
    <s v="Sales of batteries - local"/>
    <s v="P/BNA+TESTOUR-6191998"/>
    <s v="TND"/>
    <n v="1094.3510000000001"/>
    <n v="1"/>
    <n v="1094.3510000000001"/>
    <x v="0"/>
    <d v="2022-07-18T00:00:00"/>
    <n v="104"/>
    <d v="2022-10-30T00:00:00"/>
    <n v="-75"/>
    <s v="W44_2022"/>
    <x v="0"/>
  </r>
  <r>
    <x v="0"/>
    <x v="161"/>
    <n v="22801346"/>
    <x v="0"/>
    <s v="CH (Cheque)"/>
    <s v="II. Receipts form Clients - non matured"/>
    <s v="Cheque PF"/>
    <s v="Sales of batteries - local"/>
    <s v="P/STB+NEFZA-0001276"/>
    <s v="TND"/>
    <n v="1128.181"/>
    <n v="1"/>
    <n v="1128.181"/>
    <x v="0"/>
    <d v="2022-07-08T00:00:00"/>
    <n v="114"/>
    <d v="2022-10-30T00:00:00"/>
    <n v="-75"/>
    <s v="W44_2022"/>
    <x v="0"/>
  </r>
  <r>
    <x v="0"/>
    <x v="163"/>
    <n v="22801360"/>
    <x v="0"/>
    <s v="CH (Cheque)"/>
    <s v="II. Receipts form Clients - non matured"/>
    <s v="Cheque PF"/>
    <s v="Sales of batteries - local"/>
    <s v="P/BH+SILI-0160097"/>
    <s v="TND"/>
    <n v="4014.77"/>
    <n v="1"/>
    <n v="4014.77"/>
    <x v="0"/>
    <d v="2022-07-19T00:00:00"/>
    <n v="103"/>
    <d v="2022-10-30T00:00:00"/>
    <n v="-75"/>
    <s v="W44_2022"/>
    <x v="0"/>
  </r>
  <r>
    <x v="0"/>
    <x v="165"/>
    <n v="22801362"/>
    <x v="0"/>
    <s v="CH (Cheque)"/>
    <s v="II. Receipts form Clients - non matured"/>
    <s v="Cheque PF"/>
    <s v="Sales of batteries - local"/>
    <s v="P/BT+SILI-9067530"/>
    <s v="TND"/>
    <n v="5146.8729999999996"/>
    <n v="1"/>
    <n v="5146.8729999999996"/>
    <x v="0"/>
    <d v="2022-07-19T00:00:00"/>
    <n v="103"/>
    <d v="2022-10-30T00:00:00"/>
    <n v="-75"/>
    <s v="W44_2022"/>
    <x v="0"/>
  </r>
  <r>
    <x v="0"/>
    <x v="322"/>
    <n v="22401488"/>
    <x v="0"/>
    <s v="CH (Cheque)"/>
    <s v="II. Receipts form Clients - non matured"/>
    <s v="Cheque PF"/>
    <s v="Sales of batteries - local"/>
    <s v="D/BTK+MONASTIR-8161832"/>
    <s v="TND"/>
    <n v="1000"/>
    <n v="1"/>
    <n v="1000"/>
    <x v="0"/>
    <d v="2022-06-17T00:00:00"/>
    <n v="135"/>
    <d v="2022-10-30T00:00:00"/>
    <n v="-75"/>
    <s v="W44_2022"/>
    <x v="0"/>
  </r>
  <r>
    <x v="0"/>
    <x v="308"/>
    <n v="22401550"/>
    <x v="0"/>
    <s v="CH (Cheque)"/>
    <s v="II. Receipts form Clients - non matured"/>
    <s v="Cheque PF"/>
    <s v="Sales of batteries - local"/>
    <s v="D/UIB+BEMBLA-7479733"/>
    <s v="TND"/>
    <n v="2316.962"/>
    <n v="1"/>
    <n v="2316.962"/>
    <x v="0"/>
    <d v="2022-06-30T00:00:00"/>
    <n v="122"/>
    <d v="2022-10-30T00:00:00"/>
    <n v="-75"/>
    <s v="W44_2022"/>
    <x v="0"/>
  </r>
  <r>
    <x v="0"/>
    <x v="214"/>
    <n v="22401597"/>
    <x v="0"/>
    <s v="CH (Cheque)"/>
    <s v="II. Receipts form Clients - non matured"/>
    <s v="Cheque PF"/>
    <s v="Sales of batteries - local"/>
    <s v="D/BNA+HAFFOUZ-5522067"/>
    <s v="TND"/>
    <n v="4137.107"/>
    <n v="1"/>
    <n v="4137.107"/>
    <x v="0"/>
    <d v="2022-07-19T00:00:00"/>
    <n v="103"/>
    <d v="2022-10-30T00:00:00"/>
    <n v="-75"/>
    <s v="W44_2022"/>
    <x v="0"/>
  </r>
  <r>
    <x v="0"/>
    <x v="321"/>
    <n v="22401595"/>
    <x v="0"/>
    <s v="CH (Cheque)"/>
    <s v="II. Receipts form Clients - non matured"/>
    <s v="Cheque PF"/>
    <s v="Sales of batteries - local"/>
    <s v="D/UBCI+KAIROUAN-849238"/>
    <s v="TND"/>
    <n v="2154.1039999999998"/>
    <n v="1"/>
    <n v="2154.1039999999998"/>
    <x v="0"/>
    <d v="2022-07-16T00:00:00"/>
    <n v="106"/>
    <d v="2022-10-30T00:00:00"/>
    <n v="-75"/>
    <s v="W44_2022"/>
    <x v="0"/>
  </r>
  <r>
    <x v="0"/>
    <x v="97"/>
    <n v="22124848"/>
    <x v="0"/>
    <s v="CH (Cheque)"/>
    <s v="II. Receipts form Clients - non matured"/>
    <s v="Cheque PF"/>
    <s v="Sales of batteries - local"/>
    <s v="P/BIAT+BEN AROUS-00001"/>
    <s v="TND"/>
    <n v="7000"/>
    <n v="1"/>
    <n v="7000"/>
    <x v="0"/>
    <d v="2022-07-15T00:00:00"/>
    <n v="107"/>
    <d v="2022-10-30T00:00:00"/>
    <n v="-75"/>
    <s v="W44_2022"/>
    <x v="0"/>
  </r>
  <r>
    <x v="0"/>
    <x v="173"/>
    <n v="22124587"/>
    <x v="0"/>
    <s v="CH (Cheque)"/>
    <s v="II. Receipts form Clients - non matured"/>
    <s v="Cheque PF"/>
    <s v="Sales of batteries - local"/>
    <s v="P/AMEN B+MORNAGUIA-782"/>
    <s v="TND"/>
    <n v="5381.5730000000003"/>
    <n v="1"/>
    <n v="5381.5730000000003"/>
    <x v="0"/>
    <d v="2022-06-09T00:00:00"/>
    <n v="143"/>
    <d v="2022-10-30T00:00:00"/>
    <n v="-75"/>
    <s v="W44_2022"/>
    <x v="0"/>
  </r>
  <r>
    <x v="0"/>
    <x v="176"/>
    <n v="22124963"/>
    <x v="0"/>
    <s v="CH (Cheque)"/>
    <s v="II. Receipts form Clients - non matured"/>
    <s v="Cheque PF"/>
    <s v="Sales of batteries - local"/>
    <s v="P/ATB+TN-6006971"/>
    <s v="TND"/>
    <n v="1756.1759999999999"/>
    <n v="1"/>
    <n v="1756.1759999999999"/>
    <x v="0"/>
    <d v="2022-07-29T00:00:00"/>
    <n v="93"/>
    <d v="2022-10-30T00:00:00"/>
    <n v="-75"/>
    <s v="W44_2022"/>
    <x v="0"/>
  </r>
  <r>
    <x v="0"/>
    <x v="179"/>
    <n v="22124892"/>
    <x v="0"/>
    <s v="CH (Cheque)"/>
    <s v="II. Receipts form Clients - non matured"/>
    <s v="Cheque PF"/>
    <s v="Sales of batteries - local"/>
    <s v="P/BNA+TN-5974860"/>
    <s v="TND"/>
    <n v="6296.2079999999996"/>
    <n v="1"/>
    <n v="6296.2079999999996"/>
    <x v="0"/>
    <d v="2022-07-27T00:00:00"/>
    <n v="95"/>
    <d v="2022-10-30T00:00:00"/>
    <n v="-75"/>
    <s v="W44_2022"/>
    <x v="0"/>
  </r>
  <r>
    <x v="0"/>
    <x v="59"/>
    <n v="22124898"/>
    <x v="0"/>
    <s v="CH (Cheque)"/>
    <s v="II. Receipts form Clients - non matured"/>
    <s v="Cheque PF"/>
    <s v="Sales of batteries - local"/>
    <s v="P/BNA+TN-5295209"/>
    <s v="TND"/>
    <n v="4394.826"/>
    <n v="1"/>
    <n v="4394.826"/>
    <x v="0"/>
    <d v="2022-07-27T00:00:00"/>
    <n v="95"/>
    <d v="2022-10-30T00:00:00"/>
    <n v="-75"/>
    <s v="W44_2022"/>
    <x v="0"/>
  </r>
  <r>
    <x v="0"/>
    <x v="187"/>
    <n v="22124899"/>
    <x v="0"/>
    <s v="CH (Cheque)"/>
    <s v="II. Receipts form Clients - non matured"/>
    <s v="Cheque PF"/>
    <s v="Sales of batteries - local"/>
    <s v="P/BIAT+TN-0002182"/>
    <s v="TND"/>
    <n v="1591.2260000000001"/>
    <n v="1"/>
    <n v="1591.2260000000001"/>
    <x v="0"/>
    <d v="2022-07-27T00:00:00"/>
    <n v="95"/>
    <d v="2022-10-30T00:00:00"/>
    <n v="-75"/>
    <s v="W44_2022"/>
    <x v="0"/>
  </r>
  <r>
    <x v="0"/>
    <x v="337"/>
    <n v="22124929"/>
    <x v="0"/>
    <s v="CH (Cheque)"/>
    <s v="II. Receipts form Clients - non matured"/>
    <s v="Cheque PF"/>
    <s v="Sales of batteries - local"/>
    <s v="P/STB+TN-0004254"/>
    <s v="TND"/>
    <n v="2905.6550000000002"/>
    <n v="1"/>
    <n v="2905.6550000000002"/>
    <x v="0"/>
    <d v="2022-07-28T00:00:00"/>
    <n v="94"/>
    <d v="2022-10-30T00:00:00"/>
    <n v="-75"/>
    <s v="W44_2022"/>
    <x v="0"/>
  </r>
  <r>
    <x v="0"/>
    <x v="177"/>
    <n v="22124961"/>
    <x v="0"/>
    <s v="CH (Cheque)"/>
    <s v="II. Receipts form Clients - non matured"/>
    <s v="Cheque PF"/>
    <s v="Sales of batteries - local"/>
    <s v="P/ATTJ+TN-0080582"/>
    <s v="TND"/>
    <n v="2420.7269999999999"/>
    <n v="1"/>
    <n v="2420.7269999999999"/>
    <x v="0"/>
    <d v="2022-07-29T00:00:00"/>
    <n v="93"/>
    <d v="2022-10-30T00:00:00"/>
    <n v="-75"/>
    <s v="W44_2022"/>
    <x v="0"/>
  </r>
  <r>
    <x v="0"/>
    <x v="299"/>
    <n v="22301683"/>
    <x v="0"/>
    <s v="CH (Cheque)"/>
    <s v="II. Receipts form Clients - non matured"/>
    <s v="Cheque PF"/>
    <s v="Sales of batteries - local"/>
    <s v="P/ATB+SFAX-4734901"/>
    <s v="TND"/>
    <n v="4174.8810000000003"/>
    <n v="1"/>
    <n v="4174.8810000000003"/>
    <x v="0"/>
    <d v="2022-07-18T00:00:00"/>
    <n v="104"/>
    <d v="2022-10-30T00:00:00"/>
    <n v="-75"/>
    <s v="W44_2022"/>
    <x v="0"/>
  </r>
  <r>
    <x v="0"/>
    <x v="125"/>
    <n v="22301599"/>
    <x v="0"/>
    <s v="CH (Cheque)"/>
    <s v="II. Receipts form Clients - non matured"/>
    <s v="Cheque PF"/>
    <s v="Sales of batteries - local"/>
    <s v="P/BIAT+SFAX-0007505"/>
    <s v="TND"/>
    <n v="980"/>
    <n v="1"/>
    <n v="980"/>
    <x v="0"/>
    <d v="2022-06-27T00:00:00"/>
    <n v="125"/>
    <d v="2022-10-30T00:00:00"/>
    <n v="-75"/>
    <s v="W44_2022"/>
    <x v="0"/>
  </r>
  <r>
    <x v="0"/>
    <x v="146"/>
    <n v="22301693"/>
    <x v="0"/>
    <s v="CH (Cheque)"/>
    <s v="II. Receipts form Clients - non matured"/>
    <s v="Cheque PF"/>
    <s v="Sales of batteries - local"/>
    <s v="D/BNA+CHEBBA-6217610"/>
    <s v="TND"/>
    <n v="4000"/>
    <n v="1"/>
    <n v="4000"/>
    <x v="0"/>
    <d v="2022-07-19T00:00:00"/>
    <n v="103"/>
    <d v="2022-10-30T00:00:00"/>
    <n v="-75"/>
    <s v="W44_2022"/>
    <x v="0"/>
  </r>
  <r>
    <x v="0"/>
    <x v="104"/>
    <n v="22124981"/>
    <x v="0"/>
    <s v="CH (Cheque)"/>
    <s v="II. Receipts form Clients - non matured"/>
    <s v="Cheque PF"/>
    <s v="Sales of batteries - local"/>
    <s v="P/BIAT+ARIANA-0002026"/>
    <s v="TND"/>
    <n v="2392.2620000000002"/>
    <n v="1"/>
    <n v="2392.2620000000002"/>
    <x v="0"/>
    <d v="2022-08-02T00:00:00"/>
    <n v="90"/>
    <d v="2022-10-31T00:00:00"/>
    <n v="-76"/>
    <s v="W44_2022"/>
    <x v="0"/>
  </r>
  <r>
    <x v="0"/>
    <x v="233"/>
    <n v="22301749"/>
    <x v="0"/>
    <s v="CH (Cheque)"/>
    <s v="II. Receipts form Clients - non matured"/>
    <s v="Cheque PF"/>
    <s v="Sales of batteries - local"/>
    <s v="P/BNA+SFAX-6035355"/>
    <s v="TND"/>
    <n v="3000"/>
    <n v="1"/>
    <n v="3000"/>
    <x v="0"/>
    <d v="2022-08-04T00:00:00"/>
    <n v="88"/>
    <d v="2022-10-31T00:00:00"/>
    <n v="-76"/>
    <s v="W44_2022"/>
    <x v="0"/>
  </r>
  <r>
    <x v="0"/>
    <x v="78"/>
    <n v="22301722"/>
    <x v="0"/>
    <s v="CH (Cheque)"/>
    <s v="II. Receipts form Clients - non matured"/>
    <s v="Cheque PF"/>
    <s v="Sales of batteries - local"/>
    <s v="P/BIAT+SFAX-0007613"/>
    <s v="TND"/>
    <n v="1892.66"/>
    <n v="1"/>
    <n v="1892.66"/>
    <x v="0"/>
    <d v="2022-07-27T00:00:00"/>
    <n v="96"/>
    <d v="2022-10-31T00:00:00"/>
    <n v="-76"/>
    <s v="W44_2022"/>
    <x v="0"/>
  </r>
  <r>
    <x v="0"/>
    <x v="236"/>
    <n v="22301714"/>
    <x v="0"/>
    <s v="CH (Cheque)"/>
    <s v="II. Receipts form Clients - non matured"/>
    <s v="Cheque PF"/>
    <s v="Sales of batteries - local"/>
    <s v="P/AB+SFAX-7977345"/>
    <s v="TND"/>
    <n v="8686.8770000000004"/>
    <n v="1"/>
    <n v="8686.8770000000004"/>
    <x v="0"/>
    <d v="2022-07-27T00:00:00"/>
    <n v="96"/>
    <d v="2022-10-31T00:00:00"/>
    <n v="-76"/>
    <s v="W44_2022"/>
    <x v="0"/>
  </r>
  <r>
    <x v="0"/>
    <x v="216"/>
    <n v="22401622"/>
    <x v="0"/>
    <s v="CH (Cheque)"/>
    <s v="II. Receipts form Clients - non matured"/>
    <s v="Cheque PF"/>
    <s v="Sales of batteries - local"/>
    <s v="P/ALBARAKA+MSAKEN-7942"/>
    <s v="TND"/>
    <n v="2716.2289999999998"/>
    <n v="1"/>
    <n v="2716.2289999999998"/>
    <x v="0"/>
    <d v="2022-07-23T00:00:00"/>
    <n v="100"/>
    <d v="2022-10-31T00:00:00"/>
    <n v="-76"/>
    <s v="W44_2022"/>
    <x v="0"/>
  </r>
  <r>
    <x v="0"/>
    <x v="283"/>
    <n v="22401607"/>
    <x v="0"/>
    <s v="CH (Cheque)"/>
    <s v="II. Receipts form Clients - non matured"/>
    <s v="Cheque PF"/>
    <s v="Sales of batteries - local"/>
    <s v="P/BIAT+H SOUSSE-000064"/>
    <s v="TND"/>
    <n v="1563.471"/>
    <n v="1"/>
    <n v="1563.471"/>
    <x v="0"/>
    <d v="2022-07-21T00:00:00"/>
    <n v="102"/>
    <d v="2022-10-31T00:00:00"/>
    <n v="-76"/>
    <s v="W44_2022"/>
    <x v="0"/>
  </r>
  <r>
    <x v="0"/>
    <x v="212"/>
    <n v="22401665"/>
    <x v="0"/>
    <s v="CH (Cheque)"/>
    <s v="II. Receipts form Clients - non matured"/>
    <s v="Cheque PF"/>
    <s v="Sales of batteries - local"/>
    <s v="D/UBCI+TEBOULBA-938376"/>
    <s v="TND"/>
    <n v="3475.0970000000002"/>
    <n v="1"/>
    <n v="3475.0970000000002"/>
    <x v="0"/>
    <d v="2022-07-29T00:00:00"/>
    <n v="94"/>
    <d v="2022-10-31T00:00:00"/>
    <n v="-76"/>
    <s v="W44_2022"/>
    <x v="0"/>
  </r>
  <r>
    <x v="0"/>
    <x v="96"/>
    <n v="22401660"/>
    <x v="0"/>
    <s v="CH (Cheque)"/>
    <s v="II. Receipts form Clients - non matured"/>
    <s v="Cheque PF"/>
    <s v="Sales of batteries - local"/>
    <s v="D/UIB+K KEBIRA-2323298"/>
    <s v="TND"/>
    <n v="1058.8209999999999"/>
    <n v="1"/>
    <n v="1058.8209999999999"/>
    <x v="0"/>
    <d v="2022-07-29T00:00:00"/>
    <n v="94"/>
    <d v="2022-10-31T00:00:00"/>
    <n v="-76"/>
    <s v="W44_2022"/>
    <x v="0"/>
  </r>
  <r>
    <x v="0"/>
    <x v="338"/>
    <n v="22401632"/>
    <x v="0"/>
    <s v="CH (Cheque)"/>
    <s v="II. Receipts form Clients - non matured"/>
    <s v="Cheque PF"/>
    <s v="Sales of batteries - local"/>
    <s v="D/ZITOUNA+MAHDIA-40007"/>
    <s v="TND"/>
    <n v="7381.8029999999999"/>
    <n v="1"/>
    <n v="7381.8029999999999"/>
    <x v="0"/>
    <d v="2022-07-27T00:00:00"/>
    <n v="96"/>
    <d v="2022-10-31T00:00:00"/>
    <n v="-76"/>
    <s v="W44_2022"/>
    <x v="0"/>
  </r>
  <r>
    <x v="0"/>
    <x v="202"/>
    <n v="22601479"/>
    <x v="0"/>
    <s v="CH (Cheque)"/>
    <s v="II. Receipts form Clients - non matured"/>
    <s v="Cheque PF"/>
    <s v="Sales of batteries - local"/>
    <s v="P/UIB+GABES-2181549"/>
    <s v="TND"/>
    <n v="4911.1210000000001"/>
    <n v="1"/>
    <n v="4911.1210000000001"/>
    <x v="0"/>
    <d v="2022-07-27T00:00:00"/>
    <n v="96"/>
    <d v="2022-10-31T00:00:00"/>
    <n v="-76"/>
    <s v="W44_2022"/>
    <x v="0"/>
  </r>
  <r>
    <x v="0"/>
    <x v="339"/>
    <n v="22601457"/>
    <x v="0"/>
    <s v="CH (Cheque)"/>
    <s v="II. Receipts form Clients - non matured"/>
    <s v="Cheque PF"/>
    <s v="Sales of batteries - local"/>
    <s v="P/BZ+DJERBA-4003036"/>
    <s v="TND"/>
    <n v="1858.5170000000001"/>
    <n v="1"/>
    <n v="1858.5170000000001"/>
    <x v="0"/>
    <d v="2022-07-26T00:00:00"/>
    <n v="97"/>
    <d v="2022-10-31T00:00:00"/>
    <n v="-76"/>
    <s v="W44_2022"/>
    <x v="0"/>
  </r>
  <r>
    <x v="0"/>
    <x v="319"/>
    <n v="22701268"/>
    <x v="0"/>
    <s v="CH (Cheque)"/>
    <s v="II. Receipts form Clients - non matured"/>
    <s v="Cheque PF"/>
    <s v="Sales of batteries - local"/>
    <s v="P/UIB+SIDI BEN AOUN-23"/>
    <s v="TND"/>
    <n v="3600"/>
    <n v="1"/>
    <n v="3600"/>
    <x v="0"/>
    <d v="2022-08-04T00:00:00"/>
    <n v="88"/>
    <d v="2022-10-31T00:00:00"/>
    <n v="-76"/>
    <s v="W44_2022"/>
    <x v="0"/>
  </r>
  <r>
    <x v="0"/>
    <x v="91"/>
    <n v="22801411"/>
    <x v="0"/>
    <s v="CH (Cheque)"/>
    <s v="II. Receipts form Clients - non matured"/>
    <s v="Cheque PF"/>
    <s v="Sales of batteries - local"/>
    <s v="P/UIB+BEJA-9895938"/>
    <s v="TND"/>
    <n v="3585.7930000000001"/>
    <n v="1"/>
    <n v="3585.7930000000001"/>
    <x v="0"/>
    <d v="2022-08-04T00:00:00"/>
    <n v="88"/>
    <d v="2022-10-31T00:00:00"/>
    <n v="-76"/>
    <s v="W44_2022"/>
    <x v="0"/>
  </r>
  <r>
    <x v="0"/>
    <x v="215"/>
    <n v="22401386"/>
    <x v="0"/>
    <s v="CH (Cheque)"/>
    <s v="II. Receipts form Clients - non matured"/>
    <s v="Cheque PF"/>
    <s v="Sales of batteries - local"/>
    <s v="D/BNA+MOKNINE-4448642"/>
    <s v="TND"/>
    <n v="2000"/>
    <n v="1"/>
    <n v="2000"/>
    <x v="0"/>
    <d v="2022-05-20T00:00:00"/>
    <n v="164"/>
    <d v="2022-10-31T00:00:00"/>
    <n v="-76"/>
    <s v="W44_2022"/>
    <x v="0"/>
  </r>
  <r>
    <x v="0"/>
    <x v="211"/>
    <n v="22401522"/>
    <x v="0"/>
    <s v="CH (Cheque)"/>
    <s v="II. Receipts form Clients - non matured"/>
    <s v="Cheque PF"/>
    <s v="Sales of batteries - local"/>
    <s v="D/UIB+TEBOULBA-1539193"/>
    <s v="TND"/>
    <n v="2280.9470000000001"/>
    <n v="1"/>
    <n v="2280.9470000000001"/>
    <x v="0"/>
    <d v="2022-06-29T00:00:00"/>
    <n v="124"/>
    <d v="2022-10-31T00:00:00"/>
    <n v="-76"/>
    <s v="W44_2022"/>
    <x v="0"/>
  </r>
  <r>
    <x v="0"/>
    <x v="340"/>
    <n v="22401525"/>
    <x v="0"/>
    <s v="CH (Cheque)"/>
    <s v="II. Receipts form Clients - non matured"/>
    <s v="Cheque PF"/>
    <s v="Sales of batteries - local"/>
    <s v="D/STB+SOUSSE-0002330"/>
    <s v="TND"/>
    <n v="436.32900000000001"/>
    <n v="1"/>
    <n v="436.32900000000001"/>
    <x v="0"/>
    <d v="2022-06-29T00:00:00"/>
    <n v="124"/>
    <d v="2022-10-31T00:00:00"/>
    <n v="-76"/>
    <s v="W44_2022"/>
    <x v="0"/>
  </r>
  <r>
    <x v="0"/>
    <x v="213"/>
    <n v="22401588"/>
    <x v="0"/>
    <s v="CH (Cheque)"/>
    <s v="II. Receipts form Clients - non matured"/>
    <s v="Cheque PF"/>
    <s v="Sales of batteries - local"/>
    <s v="P/BIAT+SOUSSE-0003525"/>
    <s v="TND"/>
    <n v="472.73099999999999"/>
    <n v="1"/>
    <n v="472.73099999999999"/>
    <x v="0"/>
    <d v="2022-07-14T00:00:00"/>
    <n v="109"/>
    <d v="2022-10-31T00:00:00"/>
    <n v="-76"/>
    <s v="W44_2022"/>
    <x v="0"/>
  </r>
  <r>
    <x v="0"/>
    <x v="71"/>
    <n v="22124842"/>
    <x v="0"/>
    <s v="CH (Cheque)"/>
    <s v="II. Receipts form Clients - non matured"/>
    <s v="Cheque PF"/>
    <s v="Sales of batteries - local"/>
    <s v="P/UBCI+BIZERTE-9492153"/>
    <s v="TND"/>
    <n v="718.53899999999999"/>
    <n v="1"/>
    <n v="718.53899999999999"/>
    <x v="0"/>
    <d v="2022-07-15T00:00:00"/>
    <n v="108"/>
    <d v="2022-10-31T00:00:00"/>
    <n v="-76"/>
    <s v="W44_2022"/>
    <x v="0"/>
  </r>
  <r>
    <x v="0"/>
    <x v="314"/>
    <n v="22124853"/>
    <x v="0"/>
    <s v="CH (Cheque)"/>
    <s v="II. Receipts form Clients - non matured"/>
    <s v="Cheque PF"/>
    <s v="Sales of batteries - local"/>
    <s v="P/BTL+DENDEN-2931429"/>
    <s v="TND"/>
    <n v="4000"/>
    <n v="1"/>
    <n v="4000"/>
    <x v="0"/>
    <d v="2022-07-18T00:00:00"/>
    <n v="105"/>
    <d v="2022-10-31T00:00:00"/>
    <n v="-76"/>
    <s v="W44_2022"/>
    <x v="0"/>
  </r>
  <r>
    <x v="0"/>
    <x v="7"/>
    <n v="22124787"/>
    <x v="0"/>
    <s v="CH (Cheque)"/>
    <s v="II. Receipts form Clients - non matured"/>
    <s v="Cheque PF"/>
    <s v="Sales of batteries - local"/>
    <s v="P/BIAT+RAOUED-0003567"/>
    <s v="TND"/>
    <n v="1177.941"/>
    <n v="1"/>
    <n v="1177.941"/>
    <x v="0"/>
    <d v="2022-06-30T00:00:00"/>
    <n v="123"/>
    <d v="2022-10-31T00:00:00"/>
    <n v="-76"/>
    <s v="W44_2022"/>
    <x v="0"/>
  </r>
  <r>
    <x v="0"/>
    <x v="221"/>
    <n v="22124965"/>
    <x v="0"/>
    <s v="CH (Cheque)"/>
    <s v="II. Receipts form Clients - non matured"/>
    <s v="Cheque PF"/>
    <s v="Sales of batteries - local"/>
    <s v="P/UIB+TN-4705581"/>
    <s v="TND"/>
    <n v="2057.6889999999999"/>
    <n v="1"/>
    <n v="2057.6889999999999"/>
    <x v="0"/>
    <d v="2022-07-29T00:00:00"/>
    <n v="94"/>
    <d v="2022-10-31T00:00:00"/>
    <n v="-76"/>
    <s v="W44_2022"/>
    <x v="0"/>
  </r>
  <r>
    <x v="0"/>
    <x v="99"/>
    <n v="22124719"/>
    <x v="0"/>
    <s v="CH (Cheque)"/>
    <s v="II. Receipts form Clients - non matured"/>
    <s v="Cheque PF"/>
    <s v="Sales of batteries - local"/>
    <s v="P/STB+FOUCHANA-0000479"/>
    <s v="TND"/>
    <n v="1081.325"/>
    <n v="1"/>
    <n v="1081.325"/>
    <x v="0"/>
    <d v="2022-06-24T00:00:00"/>
    <n v="129"/>
    <d v="2022-10-31T00:00:00"/>
    <n v="-76"/>
    <s v="W44_2022"/>
    <x v="0"/>
  </r>
  <r>
    <x v="0"/>
    <x v="69"/>
    <n v="22124834"/>
    <x v="0"/>
    <s v="CH (Cheque)"/>
    <s v="II. Receipts form Clients - non matured"/>
    <s v="Cheque PF"/>
    <s v="Sales of batteries - local"/>
    <s v="P/UBCI+MENIHLA-8705925"/>
    <s v="TND"/>
    <n v="10007.869000000001"/>
    <n v="1"/>
    <n v="10007.869000000001"/>
    <x v="0"/>
    <d v="2022-07-13T00:00:00"/>
    <n v="110"/>
    <d v="2022-10-31T00:00:00"/>
    <n v="-76"/>
    <s v="W44_2022"/>
    <x v="0"/>
  </r>
  <r>
    <x v="0"/>
    <x v="178"/>
    <n v="22124869"/>
    <x v="0"/>
    <s v="CH (Cheque)"/>
    <s v="II. Receipts form Clients - non matured"/>
    <s v="Cheque PF"/>
    <s v="Sales of batteries - local"/>
    <s v="P/ATB+EL KHADRA-627671"/>
    <s v="TND"/>
    <n v="3169.3989999999999"/>
    <n v="1"/>
    <n v="3169.3989999999999"/>
    <x v="0"/>
    <d v="2022-07-22T00:00:00"/>
    <n v="101"/>
    <d v="2022-10-31T00:00:00"/>
    <n v="-76"/>
    <s v="W44_2022"/>
    <x v="0"/>
  </r>
  <r>
    <x v="0"/>
    <x v="223"/>
    <n v="22124940"/>
    <x v="0"/>
    <s v="CH (Cheque)"/>
    <s v="II. Receipts form Clients - non matured"/>
    <s v="Cheque PF"/>
    <s v="Sales of batteries - local"/>
    <s v="P/BT+TN-8999989"/>
    <s v="TND"/>
    <n v="229.364"/>
    <n v="1"/>
    <n v="229.364"/>
    <x v="0"/>
    <d v="2022-07-28T00:00:00"/>
    <n v="95"/>
    <d v="2022-10-31T00:00:00"/>
    <n v="-76"/>
    <s v="W44_2022"/>
    <x v="0"/>
  </r>
  <r>
    <x v="0"/>
    <x v="341"/>
    <n v="22124921"/>
    <x v="0"/>
    <s v="CH (Cheque)"/>
    <s v="II. Receipts form Clients - non matured"/>
    <s v="Cheque PF"/>
    <s v="Sales of batteries - local"/>
    <s v="P/BH+RADES-1030523"/>
    <s v="TND"/>
    <n v="546.55399999999997"/>
    <n v="1"/>
    <n v="546.55399999999997"/>
    <x v="0"/>
    <d v="2022-07-28T00:00:00"/>
    <n v="95"/>
    <d v="2022-10-31T00:00:00"/>
    <n v="-76"/>
    <s v="W44_2022"/>
    <x v="0"/>
  </r>
  <r>
    <x v="0"/>
    <x v="126"/>
    <n v="22124937"/>
    <x v="0"/>
    <s v="CH (Cheque)"/>
    <s v="II. Receipts form Clients - non matured"/>
    <s v="Cheque PF"/>
    <s v="Sales of batteries - local"/>
    <s v="P/BNA+M.TEMIM-6123952"/>
    <s v="TND"/>
    <n v="2105.8620000000001"/>
    <n v="1"/>
    <n v="2105.8620000000001"/>
    <x v="0"/>
    <d v="2022-07-28T00:00:00"/>
    <n v="95"/>
    <d v="2022-10-31T00:00:00"/>
    <n v="-76"/>
    <s v="W44_2022"/>
    <x v="0"/>
  </r>
  <r>
    <x v="0"/>
    <x v="109"/>
    <n v="22124957"/>
    <x v="0"/>
    <s v="CH (Cheque)"/>
    <s v="II. Receipts form Clients - non matured"/>
    <s v="Cheque PF"/>
    <s v="Sales of batteries - local"/>
    <s v="P/BIAT+TN-0002337"/>
    <s v="TND"/>
    <n v="2147.4589999999998"/>
    <n v="1"/>
    <n v="2147.4589999999998"/>
    <x v="0"/>
    <d v="2022-07-29T00:00:00"/>
    <n v="94"/>
    <d v="2022-10-31T00:00:00"/>
    <n v="-76"/>
    <s v="W44_2022"/>
    <x v="0"/>
  </r>
  <r>
    <x v="0"/>
    <x v="115"/>
    <n v="22301642"/>
    <x v="0"/>
    <s v="CH (Cheque)"/>
    <s v="II. Receipts form Clients - non matured"/>
    <s v="Cheque PF"/>
    <s v="Sales of batteries - local"/>
    <s v="P/UIB+SFAX-2493050"/>
    <s v="TND"/>
    <n v="1670"/>
    <n v="1"/>
    <n v="1670"/>
    <x v="0"/>
    <d v="2022-06-30T00:00:00"/>
    <n v="123"/>
    <d v="2022-10-31T00:00:00"/>
    <n v="-76"/>
    <s v="W44_2022"/>
    <x v="0"/>
  </r>
  <r>
    <x v="0"/>
    <x v="77"/>
    <n v="22301577"/>
    <x v="0"/>
    <s v="CH (Cheque)"/>
    <s v="II. Receipts form Clients - non matured"/>
    <s v="Cheque PF"/>
    <s v="Sales of batteries - local"/>
    <s v="P/BH+SFAX-1763237"/>
    <s v="TND"/>
    <n v="814.69600000000003"/>
    <n v="1"/>
    <n v="814.69600000000003"/>
    <x v="0"/>
    <d v="2022-06-22T00:00:00"/>
    <n v="131"/>
    <d v="2022-10-31T00:00:00"/>
    <n v="-76"/>
    <s v="W44_2022"/>
    <x v="0"/>
  </r>
  <r>
    <x v="0"/>
    <x v="8"/>
    <n v="22301629"/>
    <x v="0"/>
    <s v="CH (Cheque)"/>
    <s v="II. Receipts form Clients - non matured"/>
    <s v="Cheque PF"/>
    <s v="Sales of batteries - local"/>
    <s v="P/BZ+SFAX-4000705"/>
    <s v="TND"/>
    <n v="5790"/>
    <n v="1"/>
    <n v="5790"/>
    <x v="0"/>
    <d v="2022-06-30T00:00:00"/>
    <n v="123"/>
    <d v="2022-10-31T00:00:00"/>
    <n v="-76"/>
    <s v="W44_2022"/>
    <x v="0"/>
  </r>
  <r>
    <x v="0"/>
    <x v="232"/>
    <n v="22301579"/>
    <x v="0"/>
    <s v="CH (Cheque)"/>
    <s v="II. Receipts form Clients - non matured"/>
    <s v="Cheque PF"/>
    <s v="Sales of batteries - local"/>
    <s v="P/STB+SFAX-0007677"/>
    <s v="TND"/>
    <n v="5989.8890000000001"/>
    <n v="1"/>
    <n v="5989.8890000000001"/>
    <x v="0"/>
    <d v="2022-06-23T00:00:00"/>
    <n v="130"/>
    <d v="2022-10-31T00:00:00"/>
    <n v="-76"/>
    <s v="W44_2022"/>
    <x v="0"/>
  </r>
  <r>
    <x v="0"/>
    <x v="305"/>
    <n v="22301688"/>
    <x v="0"/>
    <s v="CH (Cheque)"/>
    <s v="II. Receipts form Clients - non matured"/>
    <s v="Cheque PF"/>
    <s v="Sales of batteries - local"/>
    <s v="P/BIAT+SFAX-0002043"/>
    <s v="TND"/>
    <n v="2887.2890000000002"/>
    <n v="1"/>
    <n v="2887.2890000000002"/>
    <x v="0"/>
    <d v="2022-07-19T00:00:00"/>
    <n v="104"/>
    <d v="2022-10-31T00:00:00"/>
    <n v="-76"/>
    <s v="W44_2022"/>
    <x v="0"/>
  </r>
  <r>
    <x v="0"/>
    <x v="112"/>
    <n v="22301701"/>
    <x v="0"/>
    <s v="CH (Cheque)"/>
    <s v="II. Receipts form Clients - non matured"/>
    <s v="Cheque PF"/>
    <s v="Sales of batteries - local"/>
    <s v="P/BIAT+SFAX-0001596"/>
    <s v="TND"/>
    <n v="1992.65"/>
    <n v="1"/>
    <n v="1992.65"/>
    <x v="0"/>
    <d v="2022-07-21T00:00:00"/>
    <n v="102"/>
    <d v="2022-10-31T00:00:00"/>
    <n v="-76"/>
    <s v="W44_2022"/>
    <x v="0"/>
  </r>
  <r>
    <x v="0"/>
    <x v="331"/>
    <n v="22301699"/>
    <x v="0"/>
    <s v="CH (Cheque)"/>
    <s v="II. Receipts form Clients - non matured"/>
    <s v="Cheque PF"/>
    <s v="Sales of batteries - local"/>
    <s v="P/BNA+SFAX-5081133"/>
    <s v="TND"/>
    <n v="5000"/>
    <n v="1"/>
    <n v="5000"/>
    <x v="0"/>
    <d v="2022-07-21T00:00:00"/>
    <n v="102"/>
    <d v="2022-10-31T00:00:00"/>
    <n v="-76"/>
    <s v="W44_2022"/>
    <x v="0"/>
  </r>
  <r>
    <x v="0"/>
    <x v="301"/>
    <n v="22301707"/>
    <x v="0"/>
    <s v="CH (Cheque)"/>
    <s v="II. Receipts form Clients - non matured"/>
    <s v="Cheque PF"/>
    <s v="Sales of batteries - local"/>
    <s v="P/AB+SFAX-1851912"/>
    <s v="TND"/>
    <n v="1432.3630000000001"/>
    <n v="1"/>
    <n v="1432.3630000000001"/>
    <x v="0"/>
    <d v="2022-07-22T00:00:00"/>
    <n v="101"/>
    <d v="2022-10-31T00:00:00"/>
    <n v="-76"/>
    <s v="W44_2022"/>
    <x v="0"/>
  </r>
  <r>
    <x v="0"/>
    <x v="74"/>
    <n v="22401615"/>
    <x v="0"/>
    <s v="CH (Cheque)"/>
    <s v="II. Receipts form Clients - non matured"/>
    <s v="Cheque PF"/>
    <s v="Sales of batteries - local"/>
    <s v="D/BIAT+MONASTIR-000779"/>
    <s v="TND"/>
    <n v="1500"/>
    <n v="1"/>
    <n v="1500"/>
    <x v="0"/>
    <d v="2022-07-22T00:00:00"/>
    <n v="102"/>
    <d v="2022-11-01T00:00:00"/>
    <n v="-77"/>
    <s v="W44_2022"/>
    <x v="0"/>
  </r>
  <r>
    <x v="0"/>
    <x v="81"/>
    <n v="22801385"/>
    <x v="0"/>
    <s v="CH (Cheque)"/>
    <s v="II. Receipts form Clients - non matured"/>
    <s v="Cheque PF"/>
    <s v="Sales of batteries - local"/>
    <s v="P/STB+JEND-451750"/>
    <s v="TND"/>
    <n v="2086.2179999999998"/>
    <n v="1"/>
    <n v="2086.2179999999998"/>
    <x v="0"/>
    <d v="2022-07-28T00:00:00"/>
    <n v="96"/>
    <d v="2022-11-01T00:00:00"/>
    <n v="-77"/>
    <s v="W44_2022"/>
    <x v="0"/>
  </r>
  <r>
    <x v="0"/>
    <x v="263"/>
    <n v="22601448"/>
    <x v="0"/>
    <s v="CH (Cheque)"/>
    <s v="II. Receipts form Clients - non matured"/>
    <s v="Cheque PF"/>
    <s v="Sales of batteries - local"/>
    <s v="P/UBCI+ZERZIS-9433911"/>
    <s v="TND"/>
    <n v="1000"/>
    <n v="1"/>
    <n v="1000"/>
    <x v="0"/>
    <d v="2022-07-20T00:00:00"/>
    <n v="104"/>
    <d v="2022-11-01T00:00:00"/>
    <n v="-77"/>
    <s v="W44_2022"/>
    <x v="0"/>
  </r>
  <r>
    <x v="0"/>
    <x v="9"/>
    <n v="22601443"/>
    <x v="0"/>
    <s v="CH (Cheque)"/>
    <s v="II. Receipts form Clients - non matured"/>
    <s v="Cheque PF"/>
    <s v="Sales of batteries - local"/>
    <s v="P/BTL+GABES-3025441"/>
    <s v="TND"/>
    <n v="578.08699999999999"/>
    <n v="1"/>
    <n v="578.08699999999999"/>
    <x v="0"/>
    <d v="2022-07-20T00:00:00"/>
    <n v="104"/>
    <d v="2022-11-01T00:00:00"/>
    <n v="-77"/>
    <s v="W44_2022"/>
    <x v="0"/>
  </r>
  <r>
    <x v="0"/>
    <x v="12"/>
    <n v="22301653"/>
    <x v="0"/>
    <s v="CH (Cheque)"/>
    <s v="II. Receipts form Clients - non matured"/>
    <s v="Cheque PF"/>
    <s v="Sales of batteries - local"/>
    <s v="D/BIAT+BIR ALI-0003119"/>
    <s v="TND"/>
    <n v="3070"/>
    <n v="1"/>
    <n v="3070"/>
    <x v="0"/>
    <d v="2022-07-07T00:00:00"/>
    <n v="117"/>
    <d v="2022-11-01T00:00:00"/>
    <n v="-77"/>
    <s v="W44_2022"/>
    <x v="0"/>
  </r>
  <r>
    <x v="0"/>
    <x v="264"/>
    <n v="22601500"/>
    <x v="0"/>
    <s v="CH (Cheque)"/>
    <s v="II. Receipts form Clients - non matured"/>
    <s v="Cheque PF"/>
    <s v="Sales of batteries - local"/>
    <s v="P/BNA+GABES-5703524"/>
    <s v="TND"/>
    <n v="1340.232"/>
    <n v="1"/>
    <n v="1340.232"/>
    <x v="0"/>
    <d v="2022-07-28T00:00:00"/>
    <n v="97"/>
    <d v="2022-11-02T00:00:00"/>
    <n v="-78"/>
    <s v="W44_2022"/>
    <x v="0"/>
  </r>
  <r>
    <x v="0"/>
    <x v="6"/>
    <n v="22401446"/>
    <x v="0"/>
    <s v="CH (Cheque)"/>
    <s v="II. Receipts form Clients - non matured"/>
    <s v="Cheque PF"/>
    <s v="Sales of batteries - local"/>
    <s v="D/BH+MOKNINE-2104982"/>
    <s v="TND"/>
    <n v="1946.835"/>
    <n v="1"/>
    <n v="1946.835"/>
    <x v="0"/>
    <d v="2022-06-04T00:00:00"/>
    <n v="152"/>
    <d v="2022-11-03T00:00:00"/>
    <n v="-79"/>
    <s v="W44_2022"/>
    <x v="0"/>
  </r>
  <r>
    <x v="0"/>
    <x v="8"/>
    <n v="22301630"/>
    <x v="0"/>
    <s v="CH (Cheque)"/>
    <s v="II. Receipts form Clients - non matured"/>
    <s v="Cheque PF"/>
    <s v="Sales of batteries - local"/>
    <s v="P/BZ+SFAX-4000706"/>
    <s v="TND"/>
    <n v="5790"/>
    <n v="1"/>
    <n v="5790"/>
    <x v="0"/>
    <d v="2022-06-30T00:00:00"/>
    <n v="127"/>
    <d v="2022-11-04T00:00:00"/>
    <n v="-80"/>
    <s v="W44_2022"/>
    <x v="0"/>
  </r>
  <r>
    <x v="0"/>
    <x v="342"/>
    <n v="22124985"/>
    <x v="0"/>
    <s v="CH (Cheque)"/>
    <s v="II. Receipts form Clients - non matured"/>
    <s v="Cheque PF"/>
    <s v="Sales of batteries - local"/>
    <s v="P/BTL+BIZERTE-3023317"/>
    <s v="TND"/>
    <n v="1893.09"/>
    <n v="1"/>
    <n v="1893.09"/>
    <x v="0"/>
    <d v="2022-08-04T00:00:00"/>
    <n v="93"/>
    <d v="2022-11-05T00:00:00"/>
    <n v="-81"/>
    <s v="W45_2022"/>
    <x v="0"/>
  </r>
  <r>
    <x v="0"/>
    <x v="125"/>
    <n v="22301734"/>
    <x v="0"/>
    <s v="CH (Cheque)"/>
    <s v="II. Receipts form Clients - non matured"/>
    <s v="Cheque PF"/>
    <s v="Sales of batteries - local"/>
    <s v="P/BIAT+SFAX-0007517"/>
    <s v="TND"/>
    <n v="936.077"/>
    <n v="1"/>
    <n v="936.077"/>
    <x v="0"/>
    <d v="2022-07-29T00:00:00"/>
    <n v="99"/>
    <d v="2022-11-05T00:00:00"/>
    <n v="-81"/>
    <s v="W45_2022"/>
    <x v="0"/>
  </r>
  <r>
    <x v="0"/>
    <x v="320"/>
    <n v="22801408"/>
    <x v="0"/>
    <s v="CH (Cheque)"/>
    <s v="II. Receipts form Clients - non matured"/>
    <s v="Cheque PF"/>
    <s v="Sales of batteries - local"/>
    <s v="P/ATTIJ BK+BOUSALEM-00"/>
    <s v="TND"/>
    <n v="6132.9610000000002"/>
    <n v="1"/>
    <n v="6132.9610000000002"/>
    <x v="0"/>
    <d v="2022-08-04T00:00:00"/>
    <n v="93"/>
    <d v="2022-11-05T00:00:00"/>
    <n v="-81"/>
    <s v="W45_2022"/>
    <x v="0"/>
  </r>
  <r>
    <x v="0"/>
    <x v="280"/>
    <n v="22801402"/>
    <x v="0"/>
    <s v="CH (Cheque)"/>
    <s v="II. Receipts form Clients - non matured"/>
    <s v="Cheque PF"/>
    <s v="Sales of batteries - local"/>
    <s v="P/ATTIJ BK+MATEUR-0020"/>
    <s v="TND"/>
    <n v="4409.8689999999997"/>
    <n v="1"/>
    <n v="4409.8689999999997"/>
    <x v="0"/>
    <d v="2022-08-02T00:00:00"/>
    <n v="95"/>
    <d v="2022-11-05T00:00:00"/>
    <n v="-81"/>
    <s v="W45_2022"/>
    <x v="0"/>
  </r>
  <r>
    <x v="0"/>
    <x v="263"/>
    <n v="22601449"/>
    <x v="0"/>
    <s v="CH (Cheque)"/>
    <s v="II. Receipts form Clients - non matured"/>
    <s v="Cheque PF"/>
    <s v="Sales of batteries - local"/>
    <s v="P/UBCI+ZERZIS-9433909"/>
    <s v="TND"/>
    <n v="4400"/>
    <n v="1"/>
    <n v="4400"/>
    <x v="0"/>
    <d v="2022-07-20T00:00:00"/>
    <n v="108"/>
    <d v="2022-11-05T00:00:00"/>
    <n v="-81"/>
    <s v="W45_2022"/>
    <x v="0"/>
  </r>
  <r>
    <x v="0"/>
    <x v="9"/>
    <n v="22601444"/>
    <x v="0"/>
    <s v="CH (Cheque)"/>
    <s v="II. Receipts form Clients - non matured"/>
    <s v="Cheque PF"/>
    <s v="Sales of batteries - local"/>
    <s v="P/BTL+GABES-3025442"/>
    <s v="TND"/>
    <n v="578.08699999999999"/>
    <n v="1"/>
    <n v="578.08699999999999"/>
    <x v="0"/>
    <d v="2022-07-20T00:00:00"/>
    <n v="108"/>
    <d v="2022-11-05T00:00:00"/>
    <n v="-81"/>
    <s v="W45_2022"/>
    <x v="0"/>
  </r>
  <r>
    <x v="0"/>
    <x v="252"/>
    <n v="22401465"/>
    <x v="0"/>
    <s v="CH (Cheque)"/>
    <s v="II. Receipts form Clients - non matured"/>
    <s v="Cheque PF"/>
    <s v="Sales of batteries - local"/>
    <s v="P/UIB+KALAA KEBIRA-232"/>
    <s v="TND"/>
    <n v="2211.5030000000002"/>
    <n v="1"/>
    <n v="2211.5030000000002"/>
    <x v="0"/>
    <d v="2022-06-13T00:00:00"/>
    <n v="145"/>
    <d v="2022-11-05T00:00:00"/>
    <n v="-81"/>
    <s v="W45_2022"/>
    <x v="0"/>
  </r>
  <r>
    <x v="0"/>
    <x v="257"/>
    <n v="22124835"/>
    <x v="0"/>
    <s v="CH (Cheque)"/>
    <s v="II. Receipts form Clients - non matured"/>
    <s v="Cheque PF"/>
    <s v="Sales of batteries - local"/>
    <s v="P/BT+MENIHLA-9097493"/>
    <s v="TND"/>
    <n v="3750.366"/>
    <n v="1"/>
    <n v="3750.366"/>
    <x v="0"/>
    <d v="2022-07-13T00:00:00"/>
    <n v="115"/>
    <d v="2022-11-05T00:00:00"/>
    <n v="-81"/>
    <s v="W45_2022"/>
    <x v="0"/>
  </r>
  <r>
    <x v="0"/>
    <x v="7"/>
    <n v="22124788"/>
    <x v="0"/>
    <s v="CH (Cheque)"/>
    <s v="II. Receipts form Clients - non matured"/>
    <s v="Cheque PF"/>
    <s v="Sales of batteries - local"/>
    <s v="P/BIAT+RAOUED-0003568"/>
    <s v="TND"/>
    <n v="1177.941"/>
    <n v="1"/>
    <n v="1177.941"/>
    <x v="0"/>
    <d v="2022-06-30T00:00:00"/>
    <n v="128"/>
    <d v="2022-11-05T00:00:00"/>
    <n v="-81"/>
    <s v="W45_2022"/>
    <x v="0"/>
  </r>
  <r>
    <x v="0"/>
    <x v="245"/>
    <n v="22124864"/>
    <x v="0"/>
    <s v="CH (Cheque)"/>
    <s v="II. Receipts form Clients - non matured"/>
    <s v="Cheque PF"/>
    <s v="Sales of batteries - local"/>
    <s v="P/AMEN B+KALAAT EL AND"/>
    <s v="TND"/>
    <n v="712.89400000000001"/>
    <n v="1"/>
    <n v="712.89400000000001"/>
    <x v="0"/>
    <d v="2022-07-21T00:00:00"/>
    <n v="107"/>
    <d v="2022-11-05T00:00:00"/>
    <n v="-81"/>
    <s v="W45_2022"/>
    <x v="0"/>
  </r>
  <r>
    <x v="0"/>
    <x v="334"/>
    <n v="22124962"/>
    <x v="0"/>
    <s v="CH (Cheque)"/>
    <s v="II. Receipts form Clients - non matured"/>
    <s v="Cheque PF"/>
    <s v="Sales of batteries - local"/>
    <s v="P/UIB+TN-1332858"/>
    <s v="TND"/>
    <n v="4553.1639999999998"/>
    <n v="1"/>
    <n v="4553.1639999999998"/>
    <x v="0"/>
    <d v="2022-07-29T00:00:00"/>
    <n v="99"/>
    <d v="2022-11-05T00:00:00"/>
    <n v="-81"/>
    <s v="W45_2022"/>
    <x v="0"/>
  </r>
  <r>
    <x v="0"/>
    <x v="254"/>
    <n v="22124881"/>
    <x v="0"/>
    <s v="CH (Cheque)"/>
    <s v="II. Receipts form Clients - non matured"/>
    <s v="Cheque PF"/>
    <s v="Sales of batteries - local"/>
    <s v="p/btl+tn-2992504"/>
    <s v="TND"/>
    <n v="4196.076"/>
    <n v="1"/>
    <n v="4196.076"/>
    <x v="0"/>
    <d v="2022-07-26T00:00:00"/>
    <n v="102"/>
    <d v="2022-11-05T00:00:00"/>
    <n v="-81"/>
    <s v="W45_2022"/>
    <x v="0"/>
  </r>
  <r>
    <x v="0"/>
    <x v="253"/>
    <n v="22124967"/>
    <x v="0"/>
    <s v="CH (Cheque)"/>
    <s v="II. Receipts form Clients - non matured"/>
    <s v="Cheque PF"/>
    <s v="Sales of batteries - local"/>
    <s v="P/BT+TN-9153492"/>
    <s v="TND"/>
    <n v="6375.1270000000004"/>
    <n v="1"/>
    <n v="6375.1270000000004"/>
    <x v="0"/>
    <d v="2022-07-29T00:00:00"/>
    <n v="99"/>
    <d v="2022-11-05T00:00:00"/>
    <n v="-81"/>
    <s v="W45_2022"/>
    <x v="0"/>
  </r>
  <r>
    <x v="0"/>
    <x v="115"/>
    <n v="22301643"/>
    <x v="0"/>
    <s v="CH (Cheque)"/>
    <s v="II. Receipts form Clients - non matured"/>
    <s v="Cheque PF"/>
    <s v="Sales of batteries - local"/>
    <s v="P/UIB+SFAX-2493076"/>
    <s v="TND"/>
    <n v="1670"/>
    <n v="1"/>
    <n v="1670"/>
    <x v="0"/>
    <d v="2022-06-30T00:00:00"/>
    <n v="128"/>
    <d v="2022-11-05T00:00:00"/>
    <n v="-81"/>
    <s v="W45_2022"/>
    <x v="0"/>
  </r>
  <r>
    <x v="0"/>
    <x v="125"/>
    <n v="22301600"/>
    <x v="0"/>
    <s v="CH (Cheque)"/>
    <s v="II. Receipts form Clients - non matured"/>
    <s v="Cheque PF"/>
    <s v="Sales of batteries - local"/>
    <s v="P/BIAT+SFAX-0007506"/>
    <s v="TND"/>
    <n v="980"/>
    <n v="1"/>
    <n v="980"/>
    <x v="0"/>
    <d v="2022-06-27T00:00:00"/>
    <n v="132"/>
    <d v="2022-11-06T00:00:00"/>
    <n v="-82"/>
    <s v="W45_2022"/>
    <x v="0"/>
  </r>
  <r>
    <x v="0"/>
    <x v="74"/>
    <n v="22401616"/>
    <x v="0"/>
    <s v="CH (Cheque)"/>
    <s v="II. Receipts form Clients - non matured"/>
    <s v="Cheque PF"/>
    <s v="Sales of batteries - local"/>
    <s v="D/BIAT+MONASTIR-000779"/>
    <s v="TND"/>
    <n v="1500"/>
    <n v="1"/>
    <n v="1500"/>
    <x v="0"/>
    <d v="2022-07-22T00:00:00"/>
    <n v="108"/>
    <d v="2022-11-07T00:00:00"/>
    <n v="-83"/>
    <s v="W45_2022"/>
    <x v="0"/>
  </r>
  <r>
    <x v="0"/>
    <x v="81"/>
    <n v="22801387"/>
    <x v="0"/>
    <s v="CH (Cheque)"/>
    <s v="II. Receipts form Clients - non matured"/>
    <s v="Cheque PF"/>
    <s v="Sales of batteries - local"/>
    <s v="P/STB+JEND-0451751"/>
    <s v="TND"/>
    <n v="2086.2179999999998"/>
    <n v="1"/>
    <n v="2086.2179999999998"/>
    <x v="0"/>
    <d v="2022-07-28T00:00:00"/>
    <n v="102"/>
    <d v="2022-11-07T00:00:00"/>
    <n v="-83"/>
    <s v="W45_2022"/>
    <x v="0"/>
  </r>
  <r>
    <x v="0"/>
    <x v="222"/>
    <n v="22124875"/>
    <x v="0"/>
    <s v="CH (Cheque)"/>
    <s v="II. Receipts form Clients - non matured"/>
    <s v="Cheque PF"/>
    <s v="Sales of batteries - local"/>
    <s v="P/UBCI+MORNEG-8896617"/>
    <s v="TND"/>
    <n v="1055"/>
    <n v="1"/>
    <n v="1055"/>
    <x v="0"/>
    <d v="2022-07-22T00:00:00"/>
    <n v="108"/>
    <d v="2022-11-07T00:00:00"/>
    <n v="-83"/>
    <s v="W45_2022"/>
    <x v="0"/>
  </r>
  <r>
    <x v="0"/>
    <x v="12"/>
    <n v="22301654"/>
    <x v="0"/>
    <s v="CH (Cheque)"/>
    <s v="II. Receipts form Clients - non matured"/>
    <s v="Cheque PF"/>
    <s v="Sales of batteries - local"/>
    <s v="D/BIAT+BIR ALI-0003120"/>
    <s v="TND"/>
    <n v="3070"/>
    <n v="1"/>
    <n v="3070"/>
    <x v="0"/>
    <d v="2022-07-07T00:00:00"/>
    <n v="123"/>
    <d v="2022-11-07T00:00:00"/>
    <n v="-83"/>
    <s v="W45_2022"/>
    <x v="0"/>
  </r>
  <r>
    <x v="0"/>
    <x v="94"/>
    <n v="22401679"/>
    <x v="0"/>
    <s v="CH (Cheque)"/>
    <s v="II. Receipts form Clients - non matured"/>
    <s v="Cheque PF"/>
    <s v="Sales of batteries - local"/>
    <s v="D/UIB+SOUSSE-2490730"/>
    <s v="TND"/>
    <n v="2075.317"/>
    <n v="1"/>
    <n v="2075.317"/>
    <x v="0"/>
    <d v="2022-08-08T00:00:00"/>
    <n v="93"/>
    <d v="2022-11-09T00:00:00"/>
    <n v="-85"/>
    <s v="W45_2022"/>
    <x v="0"/>
  </r>
  <r>
    <x v="0"/>
    <x v="264"/>
    <n v="22601499"/>
    <x v="0"/>
    <s v="CH (Cheque)"/>
    <s v="II. Receipts form Clients - non matured"/>
    <s v="Cheque PF"/>
    <s v="Sales of batteries - local"/>
    <s v="P/BNA+GABES-5703525"/>
    <s v="TND"/>
    <n v="3000"/>
    <n v="1"/>
    <n v="3000"/>
    <x v="0"/>
    <d v="2022-07-28T00:00:00"/>
    <n v="104"/>
    <d v="2022-11-09T00:00:00"/>
    <n v="-85"/>
    <s v="W45_2022"/>
    <x v="0"/>
  </r>
  <r>
    <x v="0"/>
    <x v="8"/>
    <n v="22301631"/>
    <x v="0"/>
    <s v="CH (Cheque)"/>
    <s v="II. Receipts form Clients - non matured"/>
    <s v="Cheque PF"/>
    <s v="Sales of batteries - local"/>
    <s v="P/BZ+SFAX-4000707"/>
    <s v="TND"/>
    <n v="5801.7250000000004"/>
    <n v="1"/>
    <n v="5801.7250000000004"/>
    <x v="0"/>
    <d v="2022-06-30T00:00:00"/>
    <n v="132"/>
    <d v="2022-11-09T00:00:00"/>
    <n v="-85"/>
    <s v="W45_2022"/>
    <x v="0"/>
  </r>
  <r>
    <x v="0"/>
    <x v="104"/>
    <n v="22124980"/>
    <x v="0"/>
    <s v="CH (Cheque)"/>
    <s v="II. Receipts form Clients - non matured"/>
    <s v="Cheque PF"/>
    <s v="Sales of batteries - local"/>
    <s v="P/BIAT+ARIANA-0002027"/>
    <s v="TND"/>
    <n v="2392.2620000000002"/>
    <n v="1"/>
    <n v="2392.2620000000002"/>
    <x v="0"/>
    <d v="2022-08-02T00:00:00"/>
    <n v="100"/>
    <d v="2022-11-10T00:00:00"/>
    <n v="-86"/>
    <s v="W45_2022"/>
    <x v="0"/>
  </r>
  <r>
    <x v="0"/>
    <x v="302"/>
    <n v="22301733"/>
    <x v="0"/>
    <s v="CH (Cheque)"/>
    <s v="II. Receipts form Clients - non matured"/>
    <s v="Cheque PF"/>
    <s v="Sales of batteries - local"/>
    <s v="P/ATTB+SFAX-0000041"/>
    <s v="TND"/>
    <n v="3877.9679999999998"/>
    <n v="1"/>
    <n v="3877.9679999999998"/>
    <x v="0"/>
    <d v="2022-07-29T00:00:00"/>
    <n v="104"/>
    <d v="2022-11-10T00:00:00"/>
    <n v="-86"/>
    <s v="W45_2022"/>
    <x v="0"/>
  </r>
  <r>
    <x v="0"/>
    <x v="233"/>
    <n v="22301750"/>
    <x v="0"/>
    <s v="CH (Cheque)"/>
    <s v="II. Receipts form Clients - non matured"/>
    <s v="Cheque PF"/>
    <s v="Sales of batteries - local"/>
    <s v="P/BNA+SFAX-6035356"/>
    <s v="TND"/>
    <n v="3076.2280000000001"/>
    <n v="1"/>
    <n v="3076.2280000000001"/>
    <x v="0"/>
    <d v="2022-08-04T00:00:00"/>
    <n v="98"/>
    <d v="2022-11-10T00:00:00"/>
    <n v="-86"/>
    <s v="W45_2022"/>
    <x v="0"/>
  </r>
  <r>
    <x v="0"/>
    <x v="206"/>
    <n v="22701276"/>
    <x v="0"/>
    <s v="CH (Cheque)"/>
    <s v="II. Receipts form Clients - non matured"/>
    <s v="Cheque PF"/>
    <s v="Sales of batteries - local"/>
    <s v="P/BIAT+KEBILI-0002008"/>
    <s v="TND"/>
    <n v="3704.4250000000002"/>
    <n v="1"/>
    <n v="3704.4250000000002"/>
    <x v="0"/>
    <d v="2022-08-06T00:00:00"/>
    <n v="96"/>
    <d v="2022-11-10T00:00:00"/>
    <n v="-86"/>
    <s v="W45_2022"/>
    <x v="0"/>
  </r>
  <r>
    <x v="0"/>
    <x v="89"/>
    <n v="22701257"/>
    <x v="0"/>
    <s v="CH (Cheque)"/>
    <s v="II. Receipts form Clients - non matured"/>
    <s v="Cheque PF"/>
    <s v="Sales of batteries - local"/>
    <s v="P/BNA+MEKNASY-6099093"/>
    <s v="TND"/>
    <n v="5155"/>
    <n v="1"/>
    <n v="5155"/>
    <x v="0"/>
    <d v="2022-07-29T00:00:00"/>
    <n v="104"/>
    <d v="2022-11-10T00:00:00"/>
    <n v="-86"/>
    <s v="W45_2022"/>
    <x v="0"/>
  </r>
  <r>
    <x v="0"/>
    <x v="91"/>
    <n v="22801412"/>
    <x v="0"/>
    <s v="CH (Cheque)"/>
    <s v="II. Receipts form Clients - non matured"/>
    <s v="Cheque PF"/>
    <s v="Sales of batteries - local"/>
    <s v="P/UIB+BEJA-9895939"/>
    <s v="TND"/>
    <n v="3585.7930000000001"/>
    <n v="1"/>
    <n v="3585.7930000000001"/>
    <x v="0"/>
    <d v="2022-08-04T00:00:00"/>
    <n v="98"/>
    <d v="2022-11-10T00:00:00"/>
    <n v="-86"/>
    <s v="W45_2022"/>
    <x v="0"/>
  </r>
  <r>
    <x v="0"/>
    <x v="164"/>
    <n v="22801405"/>
    <x v="0"/>
    <s v="CH (Cheque)"/>
    <s v="II. Receipts form Clients - non matured"/>
    <s v="Cheque PF"/>
    <s v="Sales of batteries - local"/>
    <s v="P/BNA+ERROU-5794233"/>
    <s v="TND"/>
    <n v="6126.2359999999999"/>
    <n v="1"/>
    <n v="6126.2359999999999"/>
    <x v="0"/>
    <d v="2022-08-03T00:00:00"/>
    <n v="99"/>
    <d v="2022-11-10T00:00:00"/>
    <n v="-86"/>
    <s v="W45_2022"/>
    <x v="0"/>
  </r>
  <r>
    <x v="0"/>
    <x v="14"/>
    <n v="22601402"/>
    <x v="0"/>
    <s v="CH (Cheque)"/>
    <s v="II. Receipts form Clients - non matured"/>
    <s v="Cheque PF"/>
    <s v="Sales of batteries - local"/>
    <s v="P/UBCI+GABES-7268765"/>
    <s v="TND"/>
    <n v="950"/>
    <n v="1"/>
    <n v="950"/>
    <x v="0"/>
    <d v="2022-06-29T00:00:00"/>
    <n v="134"/>
    <d v="2022-11-10T00:00:00"/>
    <n v="-86"/>
    <s v="W45_2022"/>
    <x v="0"/>
  </r>
  <r>
    <x v="0"/>
    <x v="263"/>
    <n v="22601450"/>
    <x v="0"/>
    <s v="CH (Cheque)"/>
    <s v="II. Receipts form Clients - non matured"/>
    <s v="Cheque PF"/>
    <s v="Sales of batteries - local"/>
    <s v="P/UBCI+ZERZIS-9433910"/>
    <s v="TND"/>
    <n v="4333.6710000000003"/>
    <n v="1"/>
    <n v="4333.6710000000003"/>
    <x v="0"/>
    <d v="2022-07-20T00:00:00"/>
    <n v="113"/>
    <d v="2022-11-10T00:00:00"/>
    <n v="-86"/>
    <s v="W45_2022"/>
    <x v="0"/>
  </r>
  <r>
    <x v="0"/>
    <x v="14"/>
    <n v="22601403"/>
    <x v="0"/>
    <s v="CH (Cheque)"/>
    <s v="II. Receipts form Clients - non matured"/>
    <s v="Cheque PF"/>
    <s v="Sales of batteries - local"/>
    <s v="P/UBCI+GABES-7268764"/>
    <s v="TND"/>
    <n v="950"/>
    <n v="1"/>
    <n v="950"/>
    <x v="0"/>
    <d v="2022-06-29T00:00:00"/>
    <n v="134"/>
    <d v="2022-11-10T00:00:00"/>
    <n v="-86"/>
    <s v="W45_2022"/>
    <x v="0"/>
  </r>
  <r>
    <x v="0"/>
    <x v="300"/>
    <n v="22124775"/>
    <x v="0"/>
    <s v="CH (Cheque)"/>
    <s v="II. Receipts form Clients - non matured"/>
    <s v="Cheque PF"/>
    <s v="Sales of batteries - local"/>
    <s v="P/QNB+BEN AROUS-000900"/>
    <s v="TND"/>
    <n v="5838.308"/>
    <n v="1"/>
    <n v="5838.308"/>
    <x v="0"/>
    <d v="2022-06-29T00:00:00"/>
    <n v="134"/>
    <d v="2022-11-10T00:00:00"/>
    <n v="-86"/>
    <s v="W45_2022"/>
    <x v="0"/>
  </r>
  <r>
    <x v="0"/>
    <x v="324"/>
    <n v="22124865"/>
    <x v="0"/>
    <s v="CH (Cheque)"/>
    <s v="II. Receipts form Clients - non matured"/>
    <s v="Cheque PF"/>
    <s v="Sales of batteries - local"/>
    <s v="P/STB+KELIBIA-0000230"/>
    <s v="TND"/>
    <n v="6195.7079999999996"/>
    <n v="1"/>
    <n v="6195.7079999999996"/>
    <x v="0"/>
    <d v="2022-07-21T00:00:00"/>
    <n v="112"/>
    <d v="2022-11-10T00:00:00"/>
    <n v="-86"/>
    <s v="W45_2022"/>
    <x v="0"/>
  </r>
  <r>
    <x v="0"/>
    <x v="178"/>
    <n v="22124868"/>
    <x v="0"/>
    <s v="CH (Cheque)"/>
    <s v="II. Receipts form Clients - non matured"/>
    <s v="Cheque PF"/>
    <s v="Sales of batteries - local"/>
    <s v="P/ATB+EL KHADRA-627672"/>
    <s v="TND"/>
    <n v="4000"/>
    <n v="1"/>
    <n v="4000"/>
    <x v="0"/>
    <d v="2022-07-22T00:00:00"/>
    <n v="111"/>
    <d v="2022-11-10T00:00:00"/>
    <n v="-86"/>
    <s v="W45_2022"/>
    <x v="0"/>
  </r>
  <r>
    <x v="0"/>
    <x v="271"/>
    <n v="22124896"/>
    <x v="0"/>
    <s v="CH (Cheque)"/>
    <s v="II. Receipts form Clients - non matured"/>
    <s v="Cheque PF"/>
    <s v="Sales of batteries - local"/>
    <s v="P/ATB+TN-5848300"/>
    <s v="TND"/>
    <n v="5963.2650000000003"/>
    <n v="1"/>
    <n v="5963.2650000000003"/>
    <x v="0"/>
    <d v="2022-07-27T00:00:00"/>
    <n v="106"/>
    <d v="2022-11-10T00:00:00"/>
    <n v="-86"/>
    <s v="W45_2022"/>
    <x v="0"/>
  </r>
  <r>
    <x v="0"/>
    <x v="99"/>
    <n v="22124918"/>
    <x v="0"/>
    <s v="CH (Cheque)"/>
    <s v="II. Receipts form Clients - non matured"/>
    <s v="Cheque PF"/>
    <s v="Sales of batteries - local"/>
    <s v="P/STB+FOUCHENA-0000480"/>
    <s v="TND"/>
    <n v="1378.5"/>
    <n v="1"/>
    <n v="1378.5"/>
    <x v="0"/>
    <d v="2022-07-28T00:00:00"/>
    <n v="105"/>
    <d v="2022-11-10T00:00:00"/>
    <n v="-86"/>
    <s v="W45_2022"/>
    <x v="0"/>
  </r>
  <r>
    <x v="0"/>
    <x v="274"/>
    <n v="22124934"/>
    <x v="0"/>
    <s v="CH (Cheque)"/>
    <s v="II. Receipts form Clients - non matured"/>
    <s v="Cheque PF"/>
    <s v="Sales of batteries - local"/>
    <s v="P/BIAT+TN-0005830"/>
    <s v="TND"/>
    <n v="9171.6790000000001"/>
    <n v="1"/>
    <n v="9171.6790000000001"/>
    <x v="0"/>
    <d v="2022-07-28T00:00:00"/>
    <n v="105"/>
    <d v="2022-11-10T00:00:00"/>
    <n v="-86"/>
    <s v="W45_2022"/>
    <x v="0"/>
  </r>
  <r>
    <x v="0"/>
    <x v="7"/>
    <n v="22124969"/>
    <x v="0"/>
    <s v="CH (Cheque)"/>
    <s v="II. Receipts form Clients - non matured"/>
    <s v="Cheque PF"/>
    <s v="Sales of batteries - local"/>
    <s v="P/BIAT+TN-0003604"/>
    <s v="TND"/>
    <n v="745.98800000000006"/>
    <n v="1"/>
    <n v="745.98800000000006"/>
    <x v="0"/>
    <d v="2022-07-29T00:00:00"/>
    <n v="104"/>
    <d v="2022-11-10T00:00:00"/>
    <n v="-86"/>
    <s v="W45_2022"/>
    <x v="0"/>
  </r>
  <r>
    <x v="0"/>
    <x v="115"/>
    <n v="22301644"/>
    <x v="0"/>
    <s v="CH (Cheque)"/>
    <s v="II. Receipts form Clients - non matured"/>
    <s v="Cheque PF"/>
    <s v="Sales of batteries - local"/>
    <s v="P/UIB+SFAX-2493077"/>
    <s v="TND"/>
    <n v="1670"/>
    <n v="1"/>
    <n v="1670"/>
    <x v="0"/>
    <d v="2022-06-30T00:00:00"/>
    <n v="133"/>
    <d v="2022-11-10T00:00:00"/>
    <n v="-86"/>
    <s v="W45_2022"/>
    <x v="0"/>
  </r>
  <r>
    <x v="0"/>
    <x v="74"/>
    <n v="22401617"/>
    <x v="0"/>
    <s v="CH (Cheque)"/>
    <s v="II. Receipts form Clients - non matured"/>
    <s v="Cheque PF"/>
    <s v="Sales of batteries - local"/>
    <s v="D/BIAT+MONASTIR-000779"/>
    <s v="TND"/>
    <n v="1500"/>
    <n v="1"/>
    <n v="1500"/>
    <x v="0"/>
    <d v="2022-07-22T00:00:00"/>
    <n v="112"/>
    <d v="2022-11-11T00:00:00"/>
    <n v="-87"/>
    <s v="W45_2022"/>
    <x v="0"/>
  </r>
  <r>
    <x v="0"/>
    <x v="212"/>
    <n v="22401666"/>
    <x v="0"/>
    <s v="CH (Cheque)"/>
    <s v="II. Receipts form Clients - non matured"/>
    <s v="Cheque PF"/>
    <s v="Sales of batteries - local"/>
    <s v="D/UBCI+TEBOULBA-938376"/>
    <s v="TND"/>
    <n v="3000"/>
    <n v="1"/>
    <n v="3000"/>
    <x v="0"/>
    <d v="2022-07-29T00:00:00"/>
    <n v="106"/>
    <d v="2022-11-12T00:00:00"/>
    <n v="-88"/>
    <s v="W46_2022"/>
    <x v="0"/>
  </r>
  <r>
    <x v="0"/>
    <x v="282"/>
    <n v="22401677"/>
    <x v="0"/>
    <s v="CH (Cheque)"/>
    <s v="II. Receipts form Clients - non matured"/>
    <s v="Cheque PF"/>
    <s v="Sales of batteries - local"/>
    <s v="P/UIB+SOUSSE-2487081"/>
    <s v="TND"/>
    <n v="231.79900000000001"/>
    <n v="1"/>
    <n v="231.79900000000001"/>
    <x v="0"/>
    <d v="2022-08-04T00:00:00"/>
    <n v="100"/>
    <d v="2022-11-12T00:00:00"/>
    <n v="-88"/>
    <s v="W46_2022"/>
    <x v="0"/>
  </r>
  <r>
    <x v="0"/>
    <x v="11"/>
    <n v="22401650"/>
    <x v="0"/>
    <s v="CH (Cheque)"/>
    <s v="II. Receipts form Clients - non matured"/>
    <s v="Cheque PF"/>
    <s v="Sales of batteries - local"/>
    <s v="D/BIAT+JEMMAL-0000444"/>
    <s v="TND"/>
    <n v="1800"/>
    <n v="1"/>
    <n v="1800"/>
    <x v="0"/>
    <d v="2022-07-29T00:00:00"/>
    <n v="106"/>
    <d v="2022-11-12T00:00:00"/>
    <n v="-88"/>
    <s v="W46_2022"/>
    <x v="0"/>
  </r>
  <r>
    <x v="0"/>
    <x v="281"/>
    <n v="22601517"/>
    <x v="0"/>
    <s v="CH (Cheque)"/>
    <s v="II. Receipts form Clients - non matured"/>
    <s v="Cheque PF"/>
    <s v="Sales of batteries - local"/>
    <s v="P/ATTIJARI+GABES-00856"/>
    <s v="TND"/>
    <n v="1349.8409999999999"/>
    <n v="1"/>
    <n v="1349.8409999999999"/>
    <x v="0"/>
    <d v="2022-08-05T00:00:00"/>
    <n v="99"/>
    <d v="2022-11-12T00:00:00"/>
    <n v="-88"/>
    <s v="W46_2022"/>
    <x v="0"/>
  </r>
  <r>
    <x v="0"/>
    <x v="75"/>
    <n v="22124729"/>
    <x v="0"/>
    <s v="CH (Cheque)"/>
    <s v="II. Receipts form Clients - non matured"/>
    <s v="Cheque PF"/>
    <s v="Sales of batteries - local"/>
    <s v="P/STB+KELIBIA-0008383"/>
    <s v="TND"/>
    <n v="840"/>
    <n v="1"/>
    <n v="840"/>
    <x v="0"/>
    <d v="2022-06-24T00:00:00"/>
    <n v="141"/>
    <d v="2022-11-12T00:00:00"/>
    <n v="-88"/>
    <s v="W46_2022"/>
    <x v="0"/>
  </r>
  <r>
    <x v="0"/>
    <x v="81"/>
    <n v="22801389"/>
    <x v="0"/>
    <s v="CH (Cheque)"/>
    <s v="II. Receipts form Clients - non matured"/>
    <s v="Cheque PF"/>
    <s v="Sales of batteries - local"/>
    <s v="P/STB+JEND-0451752"/>
    <s v="TND"/>
    <n v="2086.2179999999998"/>
    <n v="1"/>
    <n v="2086.2179999999998"/>
    <x v="0"/>
    <d v="2022-07-28T00:00:00"/>
    <n v="108"/>
    <d v="2022-11-13T00:00:00"/>
    <n v="-89"/>
    <s v="W46_2022"/>
    <x v="0"/>
  </r>
  <r>
    <x v="0"/>
    <x v="75"/>
    <n v="22124727"/>
    <x v="0"/>
    <s v="CH (Cheque)"/>
    <s v="II. Receipts form Clients - non matured"/>
    <s v="Cheque PF"/>
    <s v="Sales of batteries - local"/>
    <s v="P/STB+KELIBIA-0008384"/>
    <s v="TND"/>
    <n v="835"/>
    <n v="1"/>
    <n v="835"/>
    <x v="0"/>
    <d v="2022-06-24T00:00:00"/>
    <n v="142"/>
    <d v="2022-11-13T00:00:00"/>
    <n v="-89"/>
    <s v="W46_2022"/>
    <x v="0"/>
  </r>
  <r>
    <x v="0"/>
    <x v="222"/>
    <n v="22124874"/>
    <x v="0"/>
    <s v="CH (Cheque)"/>
    <s v="II. Receipts form Clients - non matured"/>
    <s v="Cheque PF"/>
    <s v="Sales of batteries - local"/>
    <s v="P/UBCI+MORNEG-8896616"/>
    <s v="TND"/>
    <n v="1055"/>
    <n v="1"/>
    <n v="1055"/>
    <x v="0"/>
    <d v="2022-07-22T00:00:00"/>
    <n v="114"/>
    <d v="2022-11-13T00:00:00"/>
    <n v="-89"/>
    <s v="W46_2022"/>
    <x v="0"/>
  </r>
  <r>
    <x v="0"/>
    <x v="12"/>
    <n v="22301655"/>
    <x v="0"/>
    <s v="CH (Cheque)"/>
    <s v="II. Receipts form Clients - non matured"/>
    <s v="Cheque PF"/>
    <s v="Sales of batteries - local"/>
    <s v="D/BIAT+BIR ALI-0003121"/>
    <s v="TND"/>
    <n v="3070"/>
    <n v="1"/>
    <n v="3070"/>
    <x v="0"/>
    <d v="2022-07-07T00:00:00"/>
    <n v="129"/>
    <d v="2022-11-13T00:00:00"/>
    <n v="-89"/>
    <s v="W46_2022"/>
    <x v="0"/>
  </r>
  <r>
    <x v="0"/>
    <x v="125"/>
    <n v="22301601"/>
    <x v="0"/>
    <s v="CH (Cheque)"/>
    <s v="II. Receipts form Clients - non matured"/>
    <s v="Cheque PF"/>
    <s v="Sales of batteries - local"/>
    <s v="P/BIAT+SFAX-0007507"/>
    <s v="TND"/>
    <n v="980"/>
    <n v="1"/>
    <n v="980"/>
    <x v="0"/>
    <d v="2022-06-27T00:00:00"/>
    <n v="139"/>
    <d v="2022-11-13T00:00:00"/>
    <n v="-89"/>
    <s v="W46_2022"/>
    <x v="0"/>
  </r>
  <r>
    <x v="0"/>
    <x v="125"/>
    <n v="22301735"/>
    <x v="0"/>
    <s v="CH (Cheque)"/>
    <s v="II. Receipts form Clients - non matured"/>
    <s v="Cheque PF"/>
    <s v="Sales of batteries - local"/>
    <s v="P/BIAT+SFAX-0007518"/>
    <s v="TND"/>
    <n v="930"/>
    <n v="1"/>
    <n v="930"/>
    <x v="0"/>
    <d v="2022-07-29T00:00:00"/>
    <n v="108"/>
    <d v="2022-11-14T00:00:00"/>
    <n v="-90"/>
    <s v="W46_2022"/>
    <x v="0"/>
  </r>
  <r>
    <x v="0"/>
    <x v="267"/>
    <n v="22601504"/>
    <x v="0"/>
    <s v="CH (Cheque)"/>
    <s v="II. Receipts form Clients - non matured"/>
    <s v="Cheque PF"/>
    <s v="Sales of batteries - local"/>
    <s v="P/BNA+DEJERA-6143840"/>
    <s v="TND"/>
    <n v="758.05499999999995"/>
    <n v="1"/>
    <n v="758.05499999999995"/>
    <x v="0"/>
    <d v="2022-08-04T00:00:00"/>
    <n v="102"/>
    <d v="2022-11-14T00:00:00"/>
    <n v="-90"/>
    <s v="W46_2022"/>
    <x v="0"/>
  </r>
  <r>
    <x v="0"/>
    <x v="75"/>
    <n v="22124735"/>
    <x v="0"/>
    <s v="CH (Cheque)"/>
    <s v="II. Receipts form Clients - non matured"/>
    <s v="Cheque PF"/>
    <s v="Sales of batteries - local"/>
    <s v="P/STB+KELIBIA-0008385"/>
    <s v="TND"/>
    <n v="830"/>
    <n v="1"/>
    <n v="830"/>
    <x v="0"/>
    <d v="2022-06-24T00:00:00"/>
    <n v="143"/>
    <d v="2022-11-14T00:00:00"/>
    <n v="-90"/>
    <s v="W46_2022"/>
    <x v="0"/>
  </r>
  <r>
    <x v="0"/>
    <x v="295"/>
    <n v="22124999"/>
    <x v="0"/>
    <s v="CH (Cheque)"/>
    <s v="II. Receipts form Clients - non matured"/>
    <s v="Cheque PF"/>
    <s v="Sales of batteries - local"/>
    <s v="P/BIAT+BEN AROUS-00015"/>
    <s v="TND"/>
    <n v="1124.289"/>
    <n v="1"/>
    <n v="1124.289"/>
    <x v="0"/>
    <d v="2022-08-05T00:00:00"/>
    <n v="102"/>
    <d v="2022-11-15T00:00:00"/>
    <n v="-91"/>
    <s v="W46_2022"/>
    <x v="0"/>
  </r>
  <r>
    <x v="0"/>
    <x v="104"/>
    <n v="22124979"/>
    <x v="0"/>
    <s v="CH (Cheque)"/>
    <s v="II. Receipts form Clients - non matured"/>
    <s v="Cheque PF"/>
    <s v="Sales of batteries - local"/>
    <s v="P/BIAT+ARIANA-0002028"/>
    <s v="TND"/>
    <n v="2392.2620000000002"/>
    <n v="1"/>
    <n v="2392.2620000000002"/>
    <x v="0"/>
    <d v="2022-08-02T00:00:00"/>
    <n v="105"/>
    <d v="2022-11-15T00:00:00"/>
    <n v="-91"/>
    <s v="W46_2022"/>
    <x v="0"/>
  </r>
  <r>
    <x v="0"/>
    <x v="96"/>
    <n v="22401661"/>
    <x v="0"/>
    <s v="CH (Cheque)"/>
    <s v="II. Receipts form Clients - non matured"/>
    <s v="Cheque PF"/>
    <s v="Sales of batteries - local"/>
    <s v="D/UIB+K KEBIRA-0232399"/>
    <s v="TND"/>
    <n v="1058.8209999999999"/>
    <n v="1"/>
    <n v="1058.8209999999999"/>
    <x v="0"/>
    <d v="2022-07-29T00:00:00"/>
    <n v="109"/>
    <d v="2022-11-15T00:00:00"/>
    <n v="-91"/>
    <s v="W46_2022"/>
    <x v="0"/>
  </r>
  <r>
    <x v="0"/>
    <x v="23"/>
    <n v="22401646"/>
    <x v="0"/>
    <s v="CH (Cheque)"/>
    <s v="II. Receipts form Clients - non matured"/>
    <s v="Cheque PF"/>
    <s v="Sales of batteries - local"/>
    <s v="D/UIB+KALAA KEBIRA-208"/>
    <s v="TND"/>
    <n v="2151.3789999999999"/>
    <n v="1"/>
    <n v="2151.3789999999999"/>
    <x v="0"/>
    <d v="2022-07-28T00:00:00"/>
    <n v="110"/>
    <d v="2022-11-15T00:00:00"/>
    <n v="-91"/>
    <s v="W46_2022"/>
    <x v="0"/>
  </r>
  <r>
    <x v="0"/>
    <x v="308"/>
    <n v="22401656"/>
    <x v="0"/>
    <s v="CH (Cheque)"/>
    <s v="II. Receipts form Clients - non matured"/>
    <s v="Cheque PF"/>
    <s v="Sales of batteries - local"/>
    <s v="D/UIB+BEMBLA-7479774"/>
    <s v="TND"/>
    <n v="1850"/>
    <n v="1"/>
    <n v="1850"/>
    <x v="0"/>
    <d v="2022-07-29T00:00:00"/>
    <n v="109"/>
    <d v="2022-11-15T00:00:00"/>
    <n v="-91"/>
    <s v="W46_2022"/>
    <x v="0"/>
  </r>
  <r>
    <x v="0"/>
    <x v="202"/>
    <n v="22601480"/>
    <x v="0"/>
    <s v="CH (Cheque)"/>
    <s v="II. Receipts form Clients - non matured"/>
    <s v="Cheque PF"/>
    <s v="Sales of batteries - local"/>
    <s v="P/UIB+GABES-2181569"/>
    <s v="TND"/>
    <n v="4137.9629999999997"/>
    <n v="1"/>
    <n v="4137.9629999999997"/>
    <x v="0"/>
    <d v="2022-07-27T00:00:00"/>
    <n v="111"/>
    <d v="2022-11-15T00:00:00"/>
    <n v="-91"/>
    <s v="W46_2022"/>
    <x v="0"/>
  </r>
  <r>
    <x v="0"/>
    <x v="264"/>
    <n v="22601497"/>
    <x v="0"/>
    <s v="CH (Cheque)"/>
    <s v="II. Receipts form Clients - non matured"/>
    <s v="Cheque PF"/>
    <s v="Sales of batteries - local"/>
    <s v="P/BNA+GABES-5703529"/>
    <s v="TND"/>
    <n v="3000"/>
    <n v="1"/>
    <n v="3000"/>
    <x v="0"/>
    <d v="2022-07-28T00:00:00"/>
    <n v="110"/>
    <d v="2022-11-15T00:00:00"/>
    <n v="-91"/>
    <s v="W46_2022"/>
    <x v="0"/>
  </r>
  <r>
    <x v="0"/>
    <x v="157"/>
    <n v="22701263"/>
    <x v="0"/>
    <s v="CH (Cheque)"/>
    <s v="II. Receipts form Clients - non matured"/>
    <s v="Cheque PF"/>
    <s v="Sales of batteries - local"/>
    <s v="P/BNA+METLAOUI-5348330"/>
    <s v="TND"/>
    <n v="6000"/>
    <n v="1"/>
    <n v="6000"/>
    <x v="0"/>
    <d v="2022-07-29T00:00:00"/>
    <n v="109"/>
    <d v="2022-11-15T00:00:00"/>
    <n v="-91"/>
    <s v="W46_2022"/>
    <x v="0"/>
  </r>
  <r>
    <x v="0"/>
    <x v="20"/>
    <n v="22801297"/>
    <x v="0"/>
    <s v="CH (Cheque)"/>
    <s v="II. Receipts form Clients - non matured"/>
    <s v="Cheque PF"/>
    <s v="Sales of batteries - local"/>
    <s v="P/BTE+BEJA-6283527"/>
    <s v="TND"/>
    <n v="3235.8020000000001"/>
    <n v="1"/>
    <n v="3235.8020000000001"/>
    <x v="0"/>
    <d v="2022-06-13T00:00:00"/>
    <n v="155"/>
    <d v="2022-11-15T00:00:00"/>
    <n v="-91"/>
    <s v="W46_2022"/>
    <x v="0"/>
  </r>
  <r>
    <x v="0"/>
    <x v="93"/>
    <n v="22401585"/>
    <x v="0"/>
    <s v="CH (Cheque)"/>
    <s v="II. Receipts form Clients - non matured"/>
    <s v="Cheque PF"/>
    <s v="Sales of batteries - local"/>
    <s v="D/BT+KAIROUAN-9051381"/>
    <s v="TND"/>
    <n v="825.65300000000002"/>
    <n v="1"/>
    <n v="825.65300000000002"/>
    <x v="0"/>
    <d v="2022-07-12T00:00:00"/>
    <n v="126"/>
    <d v="2022-11-15T00:00:00"/>
    <n v="-91"/>
    <s v="W46_2022"/>
    <x v="0"/>
  </r>
  <r>
    <x v="0"/>
    <x v="173"/>
    <n v="22124832"/>
    <x v="0"/>
    <s v="CH (Cheque)"/>
    <s v="II. Receipts form Clients - non matured"/>
    <s v="Cheque PF"/>
    <s v="Sales of batteries - local"/>
    <s v="P/AMEN B+MORNAGUIA-782"/>
    <s v="TND"/>
    <n v="7500"/>
    <n v="1"/>
    <n v="7500"/>
    <x v="0"/>
    <d v="2022-07-12T00:00:00"/>
    <n v="126"/>
    <d v="2022-11-15T00:00:00"/>
    <n v="-91"/>
    <s v="W46_2022"/>
    <x v="0"/>
  </r>
  <r>
    <x v="0"/>
    <x v="75"/>
    <n v="22124736"/>
    <x v="0"/>
    <s v="CH (Cheque)"/>
    <s v="II. Receipts form Clients - non matured"/>
    <s v="Cheque PF"/>
    <s v="Sales of batteries - local"/>
    <s v="P/STB+KELIBIA-0008386"/>
    <s v="TND"/>
    <n v="825"/>
    <n v="1"/>
    <n v="825"/>
    <x v="0"/>
    <d v="2022-06-24T00:00:00"/>
    <n v="144"/>
    <d v="2022-11-15T00:00:00"/>
    <n v="-91"/>
    <s v="W46_2022"/>
    <x v="0"/>
  </r>
  <r>
    <x v="0"/>
    <x v="101"/>
    <n v="22124846"/>
    <x v="0"/>
    <s v="CH (Cheque)"/>
    <s v="II. Receipts form Clients - non matured"/>
    <s v="Cheque PF"/>
    <s v="Sales of batteries - local"/>
    <s v="P/STB+FOUCHANA-0004415"/>
    <s v="TND"/>
    <n v="1000"/>
    <n v="1"/>
    <n v="1000"/>
    <x v="0"/>
    <d v="2022-07-15T00:00:00"/>
    <n v="123"/>
    <d v="2022-11-15T00:00:00"/>
    <n v="-91"/>
    <s v="W46_2022"/>
    <x v="0"/>
  </r>
  <r>
    <x v="0"/>
    <x v="99"/>
    <n v="22124917"/>
    <x v="0"/>
    <s v="CH (Cheque)"/>
    <s v="II. Receipts form Clients - non matured"/>
    <s v="Cheque PF"/>
    <s v="Sales of batteries - local"/>
    <s v="P/STB+FOUCHENA-0000481"/>
    <s v="TND"/>
    <n v="1378.9"/>
    <n v="1"/>
    <n v="1378.9"/>
    <x v="0"/>
    <d v="2022-07-28T00:00:00"/>
    <n v="110"/>
    <d v="2022-11-15T00:00:00"/>
    <n v="-91"/>
    <s v="W46_2022"/>
    <x v="0"/>
  </r>
  <r>
    <x v="0"/>
    <x v="336"/>
    <n v="22124919"/>
    <x v="0"/>
    <s v="CH (Cheque)"/>
    <s v="II. Receipts form Clients - non matured"/>
    <s v="Cheque PF"/>
    <s v="Sales of batteries - local"/>
    <s v="P/TSB+TN-8980780"/>
    <s v="TND"/>
    <n v="1418.434"/>
    <n v="1"/>
    <n v="1418.434"/>
    <x v="0"/>
    <d v="2022-07-28T00:00:00"/>
    <n v="110"/>
    <d v="2022-11-15T00:00:00"/>
    <n v="-91"/>
    <s v="W46_2022"/>
    <x v="0"/>
  </r>
  <r>
    <x v="0"/>
    <x v="115"/>
    <n v="22301645"/>
    <x v="0"/>
    <s v="CH (Cheque)"/>
    <s v="II. Receipts form Clients - non matured"/>
    <s v="Cheque PF"/>
    <s v="Sales of batteries - local"/>
    <s v="P/UIB+SFAX-2493078"/>
    <s v="TND"/>
    <n v="1690.4059999999999"/>
    <n v="1"/>
    <n v="1690.4059999999999"/>
    <x v="0"/>
    <d v="2022-06-30T00:00:00"/>
    <n v="138"/>
    <d v="2022-11-15T00:00:00"/>
    <n v="-91"/>
    <s v="W46_2022"/>
    <x v="0"/>
  </r>
  <r>
    <x v="0"/>
    <x v="74"/>
    <n v="22401618"/>
    <x v="0"/>
    <s v="CH (Cheque)"/>
    <s v="II. Receipts form Clients - non matured"/>
    <s v="Cheque PF"/>
    <s v="Sales of batteries - local"/>
    <s v="D/BIAT+MONASTIR-000779"/>
    <s v="TND"/>
    <n v="1500"/>
    <n v="1"/>
    <n v="1500"/>
    <x v="0"/>
    <d v="2022-07-22T00:00:00"/>
    <n v="117"/>
    <d v="2022-11-16T00:00:00"/>
    <n v="-92"/>
    <s v="W46_2022"/>
    <x v="0"/>
  </r>
  <r>
    <x v="0"/>
    <x v="86"/>
    <n v="22401643"/>
    <x v="0"/>
    <s v="CH (Cheque)"/>
    <s v="II. Receipts form Clients - non matured"/>
    <s v="Cheque PF"/>
    <s v="Sales of batteries - local"/>
    <s v="D/ZITOUNA+MOKNINE-4001"/>
    <s v="TND"/>
    <n v="500"/>
    <n v="1"/>
    <n v="500"/>
    <x v="0"/>
    <d v="2022-07-27T00:00:00"/>
    <n v="112"/>
    <d v="2022-11-16T00:00:00"/>
    <n v="-92"/>
    <s v="W46_2022"/>
    <x v="0"/>
  </r>
  <r>
    <x v="0"/>
    <x v="6"/>
    <n v="22401519"/>
    <x v="0"/>
    <s v="CH (Cheque)"/>
    <s v="II. Receipts form Clients - non matured"/>
    <s v="Cheque PF"/>
    <s v="Sales of batteries - local"/>
    <s v="D/BH+MOKNINE-2447351"/>
    <s v="TND"/>
    <n v="2000"/>
    <n v="1"/>
    <n v="2000"/>
    <x v="0"/>
    <d v="2022-06-28T00:00:00"/>
    <n v="141"/>
    <d v="2022-11-16T00:00:00"/>
    <n v="-92"/>
    <s v="W46_2022"/>
    <x v="0"/>
  </r>
  <r>
    <x v="0"/>
    <x v="75"/>
    <n v="22124728"/>
    <x v="0"/>
    <s v="CH (Cheque)"/>
    <s v="II. Receipts form Clients - non matured"/>
    <s v="Cheque PF"/>
    <s v="Sales of batteries - local"/>
    <s v="P/STB+KELIBIA-0008387"/>
    <s v="TND"/>
    <n v="820"/>
    <n v="1"/>
    <n v="820"/>
    <x v="0"/>
    <d v="2022-06-24T00:00:00"/>
    <n v="145"/>
    <d v="2022-11-16T00:00:00"/>
    <n v="-92"/>
    <s v="W46_2022"/>
    <x v="0"/>
  </r>
  <r>
    <x v="0"/>
    <x v="222"/>
    <n v="22124873"/>
    <x v="0"/>
    <s v="CH (Cheque)"/>
    <s v="II. Receipts form Clients - non matured"/>
    <s v="Cheque PF"/>
    <s v="Sales of batteries - local"/>
    <s v="P/UBCI+MORNEG-8896615"/>
    <s v="TND"/>
    <n v="1055"/>
    <n v="1"/>
    <n v="1055"/>
    <x v="0"/>
    <d v="2022-07-22T00:00:00"/>
    <n v="117"/>
    <d v="2022-11-16T00:00:00"/>
    <n v="-92"/>
    <s v="W46_2022"/>
    <x v="0"/>
  </r>
  <r>
    <x v="0"/>
    <x v="252"/>
    <n v="22401464"/>
    <x v="0"/>
    <s v="CH (Cheque)"/>
    <s v="II. Receipts form Clients - non matured"/>
    <s v="Cheque PF"/>
    <s v="Sales of batteries - local"/>
    <s v="P/UIB+KALAA KEBIRA-232"/>
    <s v="TND"/>
    <n v="2211.5030000000002"/>
    <n v="1"/>
    <n v="2211.5030000000002"/>
    <x v="0"/>
    <d v="2022-06-13T00:00:00"/>
    <n v="157"/>
    <d v="2022-11-17T00:00:00"/>
    <n v="-93"/>
    <s v="W46_2022"/>
    <x v="0"/>
  </r>
  <r>
    <x v="0"/>
    <x v="75"/>
    <n v="22124726"/>
    <x v="0"/>
    <s v="CH (Cheque)"/>
    <s v="II. Receipts form Clients - non matured"/>
    <s v="Cheque PF"/>
    <s v="Sales of batteries - local"/>
    <s v="P/STB+KELIBIA-0008388"/>
    <s v="TND"/>
    <n v="815"/>
    <n v="1"/>
    <n v="815"/>
    <x v="0"/>
    <d v="2022-06-24T00:00:00"/>
    <n v="146"/>
    <d v="2022-11-17T00:00:00"/>
    <n v="-93"/>
    <s v="W46_2022"/>
    <x v="0"/>
  </r>
  <r>
    <x v="0"/>
    <x v="7"/>
    <n v="22124968"/>
    <x v="0"/>
    <s v="CH (Cheque)"/>
    <s v="II. Receipts form Clients - non matured"/>
    <s v="Cheque PF"/>
    <s v="Sales of batteries - local"/>
    <s v="P/BIAT+TN-0003605"/>
    <s v="TND"/>
    <n v="745.98800000000006"/>
    <n v="1"/>
    <n v="745.98800000000006"/>
    <x v="0"/>
    <d v="2022-07-29T00:00:00"/>
    <n v="111"/>
    <d v="2022-11-17T00:00:00"/>
    <n v="-93"/>
    <s v="W46_2022"/>
    <x v="0"/>
  </r>
  <r>
    <x v="0"/>
    <x v="77"/>
    <n v="22301677"/>
    <x v="0"/>
    <s v="CH (Cheque)"/>
    <s v="II. Receipts form Clients - non matured"/>
    <s v="Cheque PF"/>
    <s v="Sales of batteries - local"/>
    <s v="P/BH+SFAX-2250836"/>
    <s v="TND"/>
    <n v="1610"/>
    <n v="1"/>
    <n v="1610"/>
    <x v="0"/>
    <d v="2022-07-15T00:00:00"/>
    <n v="125"/>
    <d v="2022-11-17T00:00:00"/>
    <n v="-93"/>
    <s v="W46_2022"/>
    <x v="0"/>
  </r>
  <r>
    <x v="0"/>
    <x v="14"/>
    <n v="22601489"/>
    <x v="0"/>
    <s v="CH (Cheque)"/>
    <s v="II. Receipts form Clients - non matured"/>
    <s v="Cheque PF"/>
    <s v="Sales of batteries - local"/>
    <s v="p/ubci+gabes-7781678"/>
    <s v="TND"/>
    <n v="950"/>
    <n v="1"/>
    <n v="950"/>
    <x v="0"/>
    <d v="2022-07-27T00:00:00"/>
    <n v="114"/>
    <d v="2022-11-18T00:00:00"/>
    <n v="-94"/>
    <s v="W46_2022"/>
    <x v="0"/>
  </r>
  <r>
    <x v="0"/>
    <x v="264"/>
    <n v="22601498"/>
    <x v="0"/>
    <s v="CH (Cheque)"/>
    <s v="II. Receipts form Clients - non matured"/>
    <s v="Cheque PF"/>
    <s v="Sales of batteries - local"/>
    <s v="P/BNA+GABES-5703526"/>
    <s v="TND"/>
    <n v="3000"/>
    <n v="1"/>
    <n v="3000"/>
    <x v="0"/>
    <d v="2022-07-28T00:00:00"/>
    <n v="113"/>
    <d v="2022-11-18T00:00:00"/>
    <n v="-94"/>
    <s v="W46_2022"/>
    <x v="0"/>
  </r>
  <r>
    <x v="0"/>
    <x v="81"/>
    <n v="22801390"/>
    <x v="0"/>
    <s v="CH (Cheque)"/>
    <s v="II. Receipts form Clients - non matured"/>
    <s v="Cheque PF"/>
    <s v="Sales of batteries - local"/>
    <s v="P/STB+JEND-0451753"/>
    <s v="TND"/>
    <n v="2086.2179999999998"/>
    <n v="1"/>
    <n v="2086.2179999999998"/>
    <x v="0"/>
    <d v="2022-07-28T00:00:00"/>
    <n v="113"/>
    <d v="2022-11-18T00:00:00"/>
    <n v="-94"/>
    <s v="W46_2022"/>
    <x v="0"/>
  </r>
  <r>
    <x v="0"/>
    <x v="75"/>
    <n v="22124725"/>
    <x v="0"/>
    <s v="CH (Cheque)"/>
    <s v="II. Receipts form Clients - non matured"/>
    <s v="Cheque PF"/>
    <s v="Sales of batteries - local"/>
    <s v="P/STB+KELIBIA-0008389"/>
    <s v="TND"/>
    <n v="810"/>
    <n v="1"/>
    <n v="810"/>
    <x v="0"/>
    <d v="2022-06-24T00:00:00"/>
    <n v="147"/>
    <d v="2022-11-18T00:00:00"/>
    <n v="-94"/>
    <s v="W46_2022"/>
    <x v="0"/>
  </r>
  <r>
    <x v="0"/>
    <x v="12"/>
    <n v="22301656"/>
    <x v="0"/>
    <s v="CH (Cheque)"/>
    <s v="II. Receipts form Clients - non matured"/>
    <s v="Cheque PF"/>
    <s v="Sales of batteries - local"/>
    <s v="D/BIAT+BIR ALI-0003122"/>
    <s v="TND"/>
    <n v="3070"/>
    <n v="1"/>
    <n v="3070"/>
    <x v="0"/>
    <d v="2022-07-07T00:00:00"/>
    <n v="134"/>
    <d v="2022-11-18T00:00:00"/>
    <n v="-94"/>
    <s v="W46_2022"/>
    <x v="0"/>
  </r>
  <r>
    <x v="0"/>
    <x v="146"/>
    <n v="22301694"/>
    <x v="0"/>
    <s v="CH (Cheque)"/>
    <s v="II. Receipts form Clients - non matured"/>
    <s v="Cheque PF"/>
    <s v="Sales of batteries - local"/>
    <s v="D/BNA+CHEBBA-6217611"/>
    <s v="TND"/>
    <n v="4000"/>
    <n v="1"/>
    <n v="4000"/>
    <x v="0"/>
    <d v="2022-07-19T00:00:00"/>
    <n v="122"/>
    <d v="2022-11-18T00:00:00"/>
    <n v="-94"/>
    <s v="W46_2022"/>
    <x v="0"/>
  </r>
  <r>
    <x v="0"/>
    <x v="11"/>
    <n v="22401649"/>
    <x v="0"/>
    <s v="CH (Cheque)"/>
    <s v="II. Receipts form Clients - non matured"/>
    <s v="Cheque PF"/>
    <s v="Sales of batteries - local"/>
    <s v="D/BIAT+JEMMAL-0000445"/>
    <s v="TND"/>
    <n v="1821.8920000000001"/>
    <n v="1"/>
    <n v="1821.8920000000001"/>
    <x v="0"/>
    <d v="2022-07-29T00:00:00"/>
    <n v="113"/>
    <d v="2022-11-19T00:00:00"/>
    <n v="-95"/>
    <s v="W47_2022"/>
    <x v="0"/>
  </r>
  <r>
    <x v="0"/>
    <x v="75"/>
    <n v="22124733"/>
    <x v="0"/>
    <s v="CH (Cheque)"/>
    <s v="II. Receipts form Clients - non matured"/>
    <s v="Cheque PF"/>
    <s v="Sales of batteries - local"/>
    <s v="P/STB+KELIBIA-0008390"/>
    <s v="TND"/>
    <n v="946.50599999999997"/>
    <n v="1"/>
    <n v="946.50599999999997"/>
    <x v="0"/>
    <d v="2022-06-24T00:00:00"/>
    <n v="148"/>
    <d v="2022-11-19T00:00:00"/>
    <n v="-95"/>
    <s v="W47_2022"/>
    <x v="0"/>
  </r>
  <r>
    <x v="0"/>
    <x v="104"/>
    <n v="22124978"/>
    <x v="0"/>
    <s v="CH (Cheque)"/>
    <s v="II. Receipts form Clients - non matured"/>
    <s v="Cheque PF"/>
    <s v="Sales of batteries - local"/>
    <s v="P/BIAT+ARIANA-0002029"/>
    <s v="TND"/>
    <n v="2392.2620000000002"/>
    <n v="1"/>
    <n v="2392.2620000000002"/>
    <x v="0"/>
    <d v="2022-08-02T00:00:00"/>
    <n v="110"/>
    <d v="2022-11-20T00:00:00"/>
    <n v="-96"/>
    <s v="W47_2022"/>
    <x v="0"/>
  </r>
  <r>
    <x v="0"/>
    <x v="96"/>
    <n v="22401662"/>
    <x v="0"/>
    <s v="CH (Cheque)"/>
    <s v="II. Receipts form Clients - non matured"/>
    <s v="Cheque PF"/>
    <s v="Sales of batteries - local"/>
    <s v="D/UIB+K KEBIRA-2323300"/>
    <s v="TND"/>
    <n v="1058.8209999999999"/>
    <n v="1"/>
    <n v="1058.8209999999999"/>
    <x v="0"/>
    <d v="2022-07-29T00:00:00"/>
    <n v="114"/>
    <d v="2022-11-20T00:00:00"/>
    <n v="-96"/>
    <s v="W47_2022"/>
    <x v="0"/>
  </r>
  <r>
    <x v="0"/>
    <x v="14"/>
    <n v="22601491"/>
    <x v="0"/>
    <s v="CH (Cheque)"/>
    <s v="II. Receipts form Clients - non matured"/>
    <s v="Cheque PF"/>
    <s v="Sales of batteries - local"/>
    <s v="p/ubci+gabes-7781677"/>
    <s v="TND"/>
    <n v="950"/>
    <n v="1"/>
    <n v="950"/>
    <x v="0"/>
    <d v="2022-07-27T00:00:00"/>
    <n v="116"/>
    <d v="2022-11-20T00:00:00"/>
    <n v="-96"/>
    <s v="W47_2022"/>
    <x v="0"/>
  </r>
  <r>
    <x v="0"/>
    <x v="319"/>
    <n v="22701269"/>
    <x v="0"/>
    <s v="CH (Cheque)"/>
    <s v="II. Receipts form Clients - non matured"/>
    <s v="Cheque PF"/>
    <s v="Sales of batteries - local"/>
    <s v="P/UIB+SIDI BEN AOUN-23"/>
    <s v="TND"/>
    <n v="3600"/>
    <n v="1"/>
    <n v="3600"/>
    <x v="0"/>
    <d v="2022-08-04T00:00:00"/>
    <n v="108"/>
    <d v="2022-11-20T00:00:00"/>
    <n v="-96"/>
    <s v="W47_2022"/>
    <x v="0"/>
  </r>
  <r>
    <x v="0"/>
    <x v="91"/>
    <n v="22801413"/>
    <x v="0"/>
    <s v="CH (Cheque)"/>
    <s v="II. Receipts form Clients - non matured"/>
    <s v="Cheque PF"/>
    <s v="Sales of batteries - local"/>
    <s v="P/UIB+BEJA-9895940"/>
    <s v="TND"/>
    <n v="3585.7930000000001"/>
    <n v="1"/>
    <n v="3585.7930000000001"/>
    <x v="0"/>
    <d v="2022-08-04T00:00:00"/>
    <n v="108"/>
    <d v="2022-11-20T00:00:00"/>
    <n v="-96"/>
    <s v="W47_2022"/>
    <x v="0"/>
  </r>
  <r>
    <x v="0"/>
    <x v="288"/>
    <n v="22701237"/>
    <x v="0"/>
    <s v="CH (Cheque)"/>
    <s v="II. Receipts form Clients - non matured"/>
    <s v="Cheque PF"/>
    <s v="Sales of batteries - local"/>
    <s v="P/STB+REDEYEF-0000298"/>
    <s v="TND"/>
    <n v="2233.9929999999999"/>
    <n v="1"/>
    <n v="2233.9929999999999"/>
    <x v="0"/>
    <d v="2022-07-14T00:00:00"/>
    <n v="129"/>
    <d v="2022-11-20T00:00:00"/>
    <n v="-96"/>
    <s v="W47_2022"/>
    <x v="0"/>
  </r>
  <r>
    <x v="0"/>
    <x v="222"/>
    <n v="22124872"/>
    <x v="0"/>
    <s v="CH (Cheque)"/>
    <s v="II. Receipts form Clients - non matured"/>
    <s v="Cheque PF"/>
    <s v="Sales of batteries - local"/>
    <s v="P/UBCI+MORNEG-8896618"/>
    <s v="TND"/>
    <n v="1056.8489999999999"/>
    <n v="1"/>
    <n v="1056.8489999999999"/>
    <x v="0"/>
    <d v="2022-07-22T00:00:00"/>
    <n v="121"/>
    <d v="2022-11-20T00:00:00"/>
    <n v="-96"/>
    <s v="W47_2022"/>
    <x v="0"/>
  </r>
  <r>
    <x v="0"/>
    <x v="99"/>
    <n v="22124916"/>
    <x v="0"/>
    <s v="CH (Cheque)"/>
    <s v="II. Receipts form Clients - non matured"/>
    <s v="Cheque PF"/>
    <s v="Sales of batteries - local"/>
    <s v="P/STB+FOUCHENA-0000482"/>
    <s v="TND"/>
    <n v="1379"/>
    <n v="1"/>
    <n v="1379"/>
    <x v="0"/>
    <d v="2022-07-28T00:00:00"/>
    <n v="115"/>
    <d v="2022-11-20T00:00:00"/>
    <n v="-96"/>
    <s v="W47_2022"/>
    <x v="0"/>
  </r>
  <r>
    <x v="0"/>
    <x v="74"/>
    <n v="22401619"/>
    <x v="0"/>
    <s v="CH (Cheque)"/>
    <s v="II. Receipts form Clients - non matured"/>
    <s v="Cheque PF"/>
    <s v="Sales of batteries - local"/>
    <s v="D/BIAT+MONASTIR-000779"/>
    <s v="TND"/>
    <n v="1500"/>
    <n v="1"/>
    <n v="1500"/>
    <x v="0"/>
    <d v="2022-07-22T00:00:00"/>
    <n v="122"/>
    <d v="2022-11-21T00:00:00"/>
    <n v="-97"/>
    <s v="W47_2022"/>
    <x v="0"/>
  </r>
  <r>
    <x v="0"/>
    <x v="264"/>
    <n v="22601495"/>
    <x v="0"/>
    <s v="CH (Cheque)"/>
    <s v="II. Receipts form Clients - non matured"/>
    <s v="Cheque PF"/>
    <s v="Sales of batteries - local"/>
    <s v="P/BNA+GABES-5703527"/>
    <s v="TND"/>
    <n v="3000"/>
    <n v="1"/>
    <n v="3000"/>
    <x v="0"/>
    <d v="2022-07-28T00:00:00"/>
    <n v="118"/>
    <d v="2022-11-23T00:00:00"/>
    <n v="-99"/>
    <s v="W47_2022"/>
    <x v="0"/>
  </r>
  <r>
    <x v="0"/>
    <x v="6"/>
    <n v="22401520"/>
    <x v="0"/>
    <s v="CH (Cheque)"/>
    <s v="II. Receipts form Clients - non matured"/>
    <s v="Cheque PF"/>
    <s v="Sales of batteries - local"/>
    <s v="D/BH+MOKNINE-2447352"/>
    <s v="TND"/>
    <n v="2000"/>
    <n v="1"/>
    <n v="2000"/>
    <x v="0"/>
    <d v="2022-06-28T00:00:00"/>
    <n v="148"/>
    <d v="2022-11-23T00:00:00"/>
    <n v="-99"/>
    <s v="W47_2022"/>
    <x v="0"/>
  </r>
  <r>
    <x v="0"/>
    <x v="12"/>
    <n v="22301657"/>
    <x v="0"/>
    <s v="CH (Cheque)"/>
    <s v="II. Receipts form Clients - non matured"/>
    <s v="Cheque PF"/>
    <s v="Sales of batteries - local"/>
    <s v="D/BIAT+BIR ALI-0003123"/>
    <s v="TND"/>
    <n v="3070"/>
    <n v="1"/>
    <n v="3070"/>
    <x v="0"/>
    <d v="2022-07-07T00:00:00"/>
    <n v="139"/>
    <d v="2022-11-23T00:00:00"/>
    <n v="-99"/>
    <s v="W47_2022"/>
    <x v="0"/>
  </r>
  <r>
    <x v="0"/>
    <x v="77"/>
    <n v="22301678"/>
    <x v="0"/>
    <s v="CH (Cheque)"/>
    <s v="II. Receipts form Clients - non matured"/>
    <s v="Cheque PF"/>
    <s v="Sales of batteries - local"/>
    <s v="P/BH+SFAX-2250837"/>
    <s v="TND"/>
    <n v="1610"/>
    <n v="1"/>
    <n v="1610"/>
    <x v="0"/>
    <d v="2022-07-15T00:00:00"/>
    <n v="131"/>
    <d v="2022-11-23T00:00:00"/>
    <n v="-99"/>
    <s v="W47_2022"/>
    <x v="0"/>
  </r>
  <r>
    <x v="0"/>
    <x v="125"/>
    <n v="22301736"/>
    <x v="0"/>
    <s v="CH (Cheque)"/>
    <s v="II. Receipts form Clients - non matured"/>
    <s v="Cheque PF"/>
    <s v="Sales of batteries - local"/>
    <s v="P/BIAT+SFAX-0007519"/>
    <s v="TND"/>
    <n v="920"/>
    <n v="1"/>
    <n v="920"/>
    <x v="0"/>
    <d v="2022-07-29T00:00:00"/>
    <n v="118"/>
    <d v="2022-11-24T00:00:00"/>
    <n v="-100"/>
    <s v="W47_2022"/>
    <x v="0"/>
  </r>
  <r>
    <x v="0"/>
    <x v="74"/>
    <n v="22401620"/>
    <x v="0"/>
    <s v="CH (Cheque)"/>
    <s v="II. Receipts form Clients - non matured"/>
    <s v="Cheque PF"/>
    <s v="Sales of batteries - local"/>
    <s v="D/BIAT+MONASTIR-000779"/>
    <s v="TND"/>
    <n v="1500"/>
    <n v="1"/>
    <n v="1500"/>
    <x v="0"/>
    <d v="2022-07-22T00:00:00"/>
    <n v="125"/>
    <d v="2022-11-24T00:00:00"/>
    <n v="-100"/>
    <s v="W47_2022"/>
    <x v="0"/>
  </r>
  <r>
    <x v="0"/>
    <x v="75"/>
    <n v="22124945"/>
    <x v="0"/>
    <s v="CH (Cheque)"/>
    <s v="II. Receipts form Clients - non matured"/>
    <s v="Cheque PF"/>
    <s v="Sales of batteries - local"/>
    <s v="P/STB+TN-0008579"/>
    <s v="TND"/>
    <n v="839"/>
    <n v="1"/>
    <n v="839"/>
    <x v="0"/>
    <d v="2022-07-28T00:00:00"/>
    <n v="119"/>
    <d v="2022-11-24T00:00:00"/>
    <n v="-100"/>
    <s v="W47_2022"/>
    <x v="0"/>
  </r>
  <r>
    <x v="0"/>
    <x v="232"/>
    <n v="22301742"/>
    <x v="0"/>
    <s v="CH (Cheque)"/>
    <s v="II. Receipts form Clients - non matured"/>
    <s v="Cheque PF"/>
    <s v="Sales of batteries - local"/>
    <s v="P/STB+SFAX-0007736"/>
    <s v="TND"/>
    <n v="4000"/>
    <n v="1"/>
    <n v="4000"/>
    <x v="0"/>
    <d v="2022-08-04T00:00:00"/>
    <n v="113"/>
    <d v="2022-11-25T00:00:00"/>
    <n v="-101"/>
    <s v="W47_2022"/>
    <x v="0"/>
  </r>
  <r>
    <x v="0"/>
    <x v="14"/>
    <n v="22601490"/>
    <x v="0"/>
    <s v="CH (Cheque)"/>
    <s v="II. Receipts form Clients - non matured"/>
    <s v="Cheque PF"/>
    <s v="Sales of batteries - local"/>
    <s v="p/ubci+gabes-7781676"/>
    <s v="TND"/>
    <n v="950"/>
    <n v="1"/>
    <n v="950"/>
    <x v="0"/>
    <d v="2022-07-27T00:00:00"/>
    <n v="121"/>
    <d v="2022-11-25T00:00:00"/>
    <n v="-101"/>
    <s v="W47_2022"/>
    <x v="0"/>
  </r>
  <r>
    <x v="0"/>
    <x v="101"/>
    <n v="22124847"/>
    <x v="0"/>
    <s v="CH (Cheque)"/>
    <s v="II. Receipts form Clients - non matured"/>
    <s v="Cheque PF"/>
    <s v="Sales of batteries - local"/>
    <s v="P/STB+FOUCHANA-0004416"/>
    <s v="TND"/>
    <n v="1000"/>
    <n v="1"/>
    <n v="1000"/>
    <x v="0"/>
    <d v="2022-07-15T00:00:00"/>
    <n v="133"/>
    <d v="2022-11-25T00:00:00"/>
    <n v="-101"/>
    <s v="W47_2022"/>
    <x v="0"/>
  </r>
  <r>
    <x v="0"/>
    <x v="12"/>
    <n v="22301658"/>
    <x v="0"/>
    <s v="CH (Cheque)"/>
    <s v="II. Receipts form Clients - non matured"/>
    <s v="Cheque PF"/>
    <s v="Sales of batteries - local"/>
    <s v="D/BIAT+BIR ALI-0003124"/>
    <s v="TND"/>
    <n v="3070"/>
    <n v="1"/>
    <n v="3070"/>
    <x v="0"/>
    <d v="2022-07-07T00:00:00"/>
    <n v="142"/>
    <d v="2022-11-26T00:00:00"/>
    <n v="-102"/>
    <s v="W48_2022"/>
    <x v="0"/>
  </r>
  <r>
    <x v="0"/>
    <x v="84"/>
    <n v="22301684"/>
    <x v="0"/>
    <s v="CH (Cheque)"/>
    <s v="II. Receipts form Clients - non matured"/>
    <s v="Cheque PF"/>
    <s v="Sales of batteries - local"/>
    <s v="P/UIB+SFAX-2492249"/>
    <s v="TND"/>
    <n v="7850.0940000000001"/>
    <n v="1"/>
    <n v="7850.0940000000001"/>
    <x v="0"/>
    <d v="2022-07-18T00:00:00"/>
    <n v="131"/>
    <d v="2022-11-26T00:00:00"/>
    <n v="-102"/>
    <s v="W48_2022"/>
    <x v="0"/>
  </r>
  <r>
    <x v="0"/>
    <x v="144"/>
    <n v="22401531"/>
    <x v="0"/>
    <s v="CH (Cheque)"/>
    <s v="II. Receipts form Clients - non matured"/>
    <s v="Cheque PF"/>
    <s v="Sales of batteries - local"/>
    <s v="P/UIB+SOUSSE-1052381"/>
    <s v="TND"/>
    <n v="11731.47"/>
    <n v="1"/>
    <n v="11731.47"/>
    <x v="0"/>
    <d v="2022-06-29T00:00:00"/>
    <n v="151"/>
    <d v="2022-11-27T00:00:00"/>
    <n v="-103"/>
    <s v="W48_2022"/>
    <x v="0"/>
  </r>
  <r>
    <x v="0"/>
    <x v="75"/>
    <n v="22124943"/>
    <x v="0"/>
    <s v="CH (Cheque)"/>
    <s v="II. Receipts form Clients - non matured"/>
    <s v="Cheque PF"/>
    <s v="Sales of batteries - local"/>
    <s v="P/STB+TN-0008580"/>
    <s v="TND"/>
    <n v="835"/>
    <n v="1"/>
    <n v="835"/>
    <x v="0"/>
    <d v="2022-07-28T00:00:00"/>
    <n v="122"/>
    <d v="2022-11-27T00:00:00"/>
    <n v="-103"/>
    <s v="W48_2022"/>
    <x v="0"/>
  </r>
  <r>
    <x v="0"/>
    <x v="211"/>
    <n v="22401630"/>
    <x v="0"/>
    <s v="CH (Cheque)"/>
    <s v="II. Receipts form Clients - non matured"/>
    <s v="Cheque PF"/>
    <s v="Sales of batteries - local"/>
    <s v="D/UIB+TEBOULBA-1539218"/>
    <s v="TND"/>
    <n v="2512.277"/>
    <n v="1"/>
    <n v="2512.277"/>
    <x v="0"/>
    <d v="2022-07-23T00:00:00"/>
    <n v="128"/>
    <d v="2022-11-28T00:00:00"/>
    <n v="-104"/>
    <s v="W48_2022"/>
    <x v="0"/>
  </r>
  <r>
    <x v="0"/>
    <x v="244"/>
    <n v="22401653"/>
    <x v="0"/>
    <s v="CH (Cheque)"/>
    <s v="II. Receipts form Clients - non matured"/>
    <s v="Cheque PF"/>
    <s v="Sales of batteries - local"/>
    <s v="D/BT+JEMMAL-8673790"/>
    <s v="TND"/>
    <n v="2403.317"/>
    <n v="1"/>
    <n v="2403.317"/>
    <x v="0"/>
    <d v="2022-07-29T00:00:00"/>
    <n v="122"/>
    <d v="2022-11-28T00:00:00"/>
    <n v="-104"/>
    <s v="W48_2022"/>
    <x v="0"/>
  </r>
  <r>
    <x v="0"/>
    <x v="77"/>
    <n v="22301679"/>
    <x v="0"/>
    <s v="CH (Cheque)"/>
    <s v="II. Receipts form Clients - non matured"/>
    <s v="Cheque PF"/>
    <s v="Sales of batteries - local"/>
    <s v="P/BH+SFAX-2250838"/>
    <s v="TND"/>
    <n v="1610.617"/>
    <n v="1"/>
    <n v="1610.617"/>
    <x v="0"/>
    <d v="2022-07-15T00:00:00"/>
    <n v="136"/>
    <d v="2022-11-28T00:00:00"/>
    <n v="-104"/>
    <s v="W48_2022"/>
    <x v="0"/>
  </r>
  <r>
    <x v="0"/>
    <x v="146"/>
    <n v="22301695"/>
    <x v="0"/>
    <s v="CH (Cheque)"/>
    <s v="II. Receipts form Clients - non matured"/>
    <s v="Cheque PF"/>
    <s v="Sales of batteries - local"/>
    <s v="D/BNA+CHEBBA-6217612"/>
    <s v="TND"/>
    <n v="4363.875"/>
    <n v="1"/>
    <n v="4363.875"/>
    <x v="0"/>
    <d v="2022-07-19T00:00:00"/>
    <n v="132"/>
    <d v="2022-11-28T00:00:00"/>
    <n v="-104"/>
    <s v="W48_2022"/>
    <x v="0"/>
  </r>
  <r>
    <x v="0"/>
    <x v="102"/>
    <n v="22124907"/>
    <x v="0"/>
    <s v="CH (Cheque)"/>
    <s v="II. Receipts form Clients - non matured"/>
    <s v="Cheque PF"/>
    <s v="Sales of batteries - local"/>
    <s v="P/ATTJ+TN-0100799"/>
    <s v="TND"/>
    <n v="3277.1880000000001"/>
    <n v="1"/>
    <n v="3277.1880000000001"/>
    <x v="0"/>
    <d v="2022-07-28T00:00:00"/>
    <n v="124"/>
    <d v="2022-11-29T00:00:00"/>
    <n v="-105"/>
    <s v="W48_2022"/>
    <x v="0"/>
  </r>
  <r>
    <x v="0"/>
    <x v="232"/>
    <n v="22301743"/>
    <x v="0"/>
    <s v="CH (Cheque)"/>
    <s v="II. Receipts form Clients - non matured"/>
    <s v="Cheque PF"/>
    <s v="Sales of batteries - local"/>
    <s v="P/STB+SFAX-0007737"/>
    <s v="TND"/>
    <n v="4000"/>
    <n v="1"/>
    <n v="4000"/>
    <x v="0"/>
    <d v="2022-08-04T00:00:00"/>
    <n v="118"/>
    <d v="2022-11-30T00:00:00"/>
    <n v="-106"/>
    <s v="W48_2022"/>
    <x v="0"/>
  </r>
  <r>
    <x v="0"/>
    <x v="308"/>
    <n v="22401657"/>
    <x v="0"/>
    <s v="CH (Cheque)"/>
    <s v="II. Receipts form Clients - non matured"/>
    <s v="Cheque PF"/>
    <s v="Sales of batteries - local"/>
    <s v="D/UIB+BEMBLA-7479775"/>
    <s v="TND"/>
    <n v="1850"/>
    <n v="1"/>
    <n v="1850"/>
    <x v="0"/>
    <d v="2022-07-29T00:00:00"/>
    <n v="124"/>
    <d v="2022-11-30T00:00:00"/>
    <n v="-106"/>
    <s v="W48_2022"/>
    <x v="0"/>
  </r>
  <r>
    <x v="0"/>
    <x v="264"/>
    <n v="22601496"/>
    <x v="0"/>
    <s v="CH (Cheque)"/>
    <s v="II. Receipts form Clients - non matured"/>
    <s v="Cheque PF"/>
    <s v="Sales of batteries - local"/>
    <s v="P/BNA+GABES-5703528"/>
    <s v="TND"/>
    <n v="3000"/>
    <n v="1"/>
    <n v="3000"/>
    <x v="0"/>
    <d v="2022-07-28T00:00:00"/>
    <n v="125"/>
    <d v="2022-11-30T00:00:00"/>
    <n v="-106"/>
    <s v="W48_2022"/>
    <x v="0"/>
  </r>
  <r>
    <x v="0"/>
    <x v="319"/>
    <n v="22701270"/>
    <x v="0"/>
    <s v="CH (Cheque)"/>
    <s v="II. Receipts form Clients - non matured"/>
    <s v="Cheque PF"/>
    <s v="Sales of batteries - local"/>
    <s v="P/UIB+SIDI ALI BEN AOU"/>
    <s v="TND"/>
    <n v="3168"/>
    <n v="1"/>
    <n v="3168"/>
    <x v="0"/>
    <d v="2022-08-04T00:00:00"/>
    <n v="118"/>
    <d v="2022-11-30T00:00:00"/>
    <n v="-106"/>
    <s v="W48_2022"/>
    <x v="0"/>
  </r>
  <r>
    <x v="0"/>
    <x v="161"/>
    <n v="22801396"/>
    <x v="0"/>
    <s v="CH (Cheque)"/>
    <s v="II. Receipts form Clients - non matured"/>
    <s v="Cheque PF"/>
    <s v="Sales of batteries - local"/>
    <s v="P/STB+NEFZA-0001280"/>
    <s v="TND"/>
    <n v="966.85299999999995"/>
    <n v="1"/>
    <n v="966.85299999999995"/>
    <x v="0"/>
    <d v="2022-07-28T00:00:00"/>
    <n v="125"/>
    <d v="2022-11-30T00:00:00"/>
    <n v="-106"/>
    <s v="W48_2022"/>
    <x v="0"/>
  </r>
  <r>
    <x v="0"/>
    <x v="20"/>
    <n v="22801364"/>
    <x v="0"/>
    <s v="CH (Cheque)"/>
    <s v="II. Receipts form Clients - non matured"/>
    <s v="Cheque PF"/>
    <s v="Sales of batteries - local"/>
    <s v="P/BTE+BEJA-6283543"/>
    <s v="TND"/>
    <n v="10144.781000000001"/>
    <n v="1"/>
    <n v="10144.781000000001"/>
    <x v="0"/>
    <d v="2022-07-19T00:00:00"/>
    <n v="134"/>
    <d v="2022-11-30T00:00:00"/>
    <n v="-106"/>
    <s v="W48_2022"/>
    <x v="0"/>
  </r>
  <r>
    <x v="0"/>
    <x v="6"/>
    <n v="22401521"/>
    <x v="0"/>
    <s v="CH (Cheque)"/>
    <s v="II. Receipts form Clients - non matured"/>
    <s v="Cheque PF"/>
    <s v="Sales of batteries - local"/>
    <s v="D/BH+MOKNINE-2447353"/>
    <s v="TND"/>
    <n v="2141.7600000000002"/>
    <n v="1"/>
    <n v="2141.7600000000002"/>
    <x v="0"/>
    <d v="2022-06-28T00:00:00"/>
    <n v="155"/>
    <d v="2022-11-30T00:00:00"/>
    <n v="-106"/>
    <s v="W48_2022"/>
    <x v="0"/>
  </r>
  <r>
    <x v="0"/>
    <x v="173"/>
    <n v="22124828"/>
    <x v="0"/>
    <s v="CH (Cheque)"/>
    <s v="II. Receipts form Clients - non matured"/>
    <s v="Cheque PF"/>
    <s v="Sales of batteries - local"/>
    <s v="P/AMEN B+MORNAGUIA-782"/>
    <s v="TND"/>
    <n v="7434.5749999999998"/>
    <n v="1"/>
    <n v="7434.5749999999998"/>
    <x v="0"/>
    <d v="2022-07-12T00:00:00"/>
    <n v="141"/>
    <d v="2022-11-30T00:00:00"/>
    <n v="-106"/>
    <s v="W48_2022"/>
    <x v="0"/>
  </r>
  <r>
    <x v="0"/>
    <x v="99"/>
    <n v="22124915"/>
    <x v="0"/>
    <s v="CH (Cheque)"/>
    <s v="II. Receipts form Clients - non matured"/>
    <s v="Cheque PF"/>
    <s v="Sales of batteries - local"/>
    <s v="P/STB+FOUCHENA-0000483"/>
    <s v="TND"/>
    <n v="1375.1690000000001"/>
    <n v="1"/>
    <n v="1375.1690000000001"/>
    <x v="0"/>
    <d v="2022-07-28T00:00:00"/>
    <n v="125"/>
    <d v="2022-11-30T00:00:00"/>
    <n v="-106"/>
    <s v="W48_2022"/>
    <x v="0"/>
  </r>
  <r>
    <x v="0"/>
    <x v="12"/>
    <n v="22301659"/>
    <x v="0"/>
    <s v="CH (Cheque)"/>
    <s v="II. Receipts form Clients - non matured"/>
    <s v="Cheque PF"/>
    <s v="Sales of batteries - local"/>
    <s v="D/BIAT+BIR ALI-0003125"/>
    <s v="TND"/>
    <n v="3070"/>
    <n v="1"/>
    <n v="3070"/>
    <x v="0"/>
    <d v="2022-07-07T00:00:00"/>
    <n v="146"/>
    <d v="2022-11-30T00:00:00"/>
    <n v="-106"/>
    <s v="W48_2022"/>
    <x v="0"/>
  </r>
  <r>
    <x v="0"/>
    <x v="12"/>
    <n v="22301759"/>
    <x v="0"/>
    <s v="CH (Cheque)"/>
    <s v="II. Receipts form Clients - non matured"/>
    <s v="Cheque PF"/>
    <s v="Sales of batteries - local"/>
    <s v="D/BIAT+BIR ALI-0002885"/>
    <s v="TND"/>
    <n v="3590"/>
    <n v="1"/>
    <n v="3590"/>
    <x v="0"/>
    <d v="2022-08-05T00:00:00"/>
    <n v="118"/>
    <d v="2022-12-01T00:00:00"/>
    <n v="-107"/>
    <s v="W48_2022"/>
    <x v="0"/>
  </r>
  <r>
    <x v="0"/>
    <x v="74"/>
    <n v="22401621"/>
    <x v="0"/>
    <s v="CH (Cheque)"/>
    <s v="II. Receipts form Clients - non matured"/>
    <s v="Cheque PF"/>
    <s v="Sales of batteries - local"/>
    <s v="D/BIAT+MONASTIR-000779"/>
    <s v="TND"/>
    <n v="1920.694"/>
    <n v="1"/>
    <n v="1920.694"/>
    <x v="0"/>
    <d v="2022-07-22T00:00:00"/>
    <n v="132"/>
    <d v="2022-12-01T00:00:00"/>
    <n v="-107"/>
    <s v="W48_2022"/>
    <x v="0"/>
  </r>
  <r>
    <x v="0"/>
    <x v="125"/>
    <n v="22301737"/>
    <x v="0"/>
    <s v="CH (Cheque)"/>
    <s v="II. Receipts form Clients - non matured"/>
    <s v="Cheque PF"/>
    <s v="Sales of batteries - local"/>
    <s v="P/BIAT+SFAX-0007520"/>
    <s v="TND"/>
    <n v="930"/>
    <n v="1"/>
    <n v="930"/>
    <x v="0"/>
    <d v="2022-07-29T00:00:00"/>
    <n v="129"/>
    <d v="2022-12-05T00:00:00"/>
    <n v="-111"/>
    <s v="W49_2022"/>
    <x v="0"/>
  </r>
  <r>
    <x v="0"/>
    <x v="14"/>
    <n v="22601488"/>
    <x v="0"/>
    <s v="CH (Cheque)"/>
    <s v="II. Receipts form Clients - non matured"/>
    <s v="Cheque PF"/>
    <s v="Sales of batteries - local"/>
    <s v="p/ubci+gabes-7781679"/>
    <s v="TND"/>
    <n v="950"/>
    <n v="1"/>
    <n v="950"/>
    <x v="0"/>
    <d v="2022-07-27T00:00:00"/>
    <n v="131"/>
    <d v="2022-12-05T00:00:00"/>
    <n v="-111"/>
    <s v="W49_2022"/>
    <x v="0"/>
  </r>
  <r>
    <x v="0"/>
    <x v="309"/>
    <n v="22124938"/>
    <x v="0"/>
    <s v="CH (Cheque)"/>
    <s v="II. Receipts form Clients - non matured"/>
    <s v="Cheque PF"/>
    <s v="Sales of batteries - local"/>
    <s v="P/BIAT+TN-0000947"/>
    <s v="TND"/>
    <n v="8049.3919999999998"/>
    <n v="1"/>
    <n v="8049.3919999999998"/>
    <x v="0"/>
    <d v="2022-07-28T00:00:00"/>
    <n v="130"/>
    <d v="2022-12-05T00:00:00"/>
    <n v="-111"/>
    <s v="W49_2022"/>
    <x v="0"/>
  </r>
  <r>
    <x v="0"/>
    <x v="12"/>
    <n v="22301660"/>
    <x v="0"/>
    <s v="CH (Cheque)"/>
    <s v="II. Receipts form Clients - non matured"/>
    <s v="Cheque PF"/>
    <s v="Sales of batteries - local"/>
    <s v="D/BIAT+BIR ALI-0003126"/>
    <s v="TND"/>
    <n v="3148"/>
    <n v="1"/>
    <n v="3148"/>
    <x v="0"/>
    <d v="2022-07-07T00:00:00"/>
    <n v="151"/>
    <d v="2022-12-05T00:00:00"/>
    <n v="-111"/>
    <s v="W49_2022"/>
    <x v="0"/>
  </r>
  <r>
    <x v="0"/>
    <x v="6"/>
    <n v="22401610"/>
    <x v="0"/>
    <s v="CH (Cheque)"/>
    <s v="II. Receipts form Clients - non matured"/>
    <s v="Cheque PF"/>
    <s v="Sales of batteries - local"/>
    <s v="D/BH+MOKNINE-2638359"/>
    <s v="TND"/>
    <n v="1894.5329999999999"/>
    <n v="1"/>
    <n v="1894.5329999999999"/>
    <x v="0"/>
    <d v="2022-07-22T00:00:00"/>
    <n v="137"/>
    <d v="2022-12-06T00:00:00"/>
    <n v="-112"/>
    <s v="W49_2022"/>
    <x v="0"/>
  </r>
  <r>
    <x v="0"/>
    <x v="12"/>
    <n v="22301760"/>
    <x v="0"/>
    <s v="CH (Cheque)"/>
    <s v="II. Receipts form Clients - non matured"/>
    <s v="Cheque PF"/>
    <s v="Sales of batteries - local"/>
    <s v="D/BIAT+BIR ALI-0002893"/>
    <s v="TND"/>
    <n v="3600"/>
    <n v="1"/>
    <n v="3600"/>
    <x v="0"/>
    <d v="2022-08-05T00:00:00"/>
    <n v="125"/>
    <d v="2022-12-08T00:00:00"/>
    <n v="-114"/>
    <s v="W49_2022"/>
    <x v="0"/>
  </r>
  <r>
    <x v="0"/>
    <x v="14"/>
    <n v="22601487"/>
    <x v="0"/>
    <s v="CH (Cheque)"/>
    <s v="II. Receipts form Clients - non matured"/>
    <s v="Cheque PF"/>
    <s v="Sales of batteries - local"/>
    <s v="p/ubci+gabes-7781680"/>
    <s v="TND"/>
    <n v="998.65"/>
    <n v="1"/>
    <n v="998.65"/>
    <x v="0"/>
    <d v="2022-07-27T00:00:00"/>
    <n v="136"/>
    <d v="2022-12-10T00:00:00"/>
    <n v="-116"/>
    <s v="W50_2022"/>
    <x v="0"/>
  </r>
  <r>
    <x v="0"/>
    <x v="252"/>
    <n v="22401599"/>
    <x v="0"/>
    <s v="CH (Cheque)"/>
    <s v="II. Receipts form Clients - non matured"/>
    <s v="Cheque PF"/>
    <s v="Sales of batteries - local"/>
    <s v="P/UIB+KALAA KEBIRA-232"/>
    <s v="TND"/>
    <n v="2643.4960000000001"/>
    <n v="1"/>
    <n v="2643.4960000000001"/>
    <x v="0"/>
    <d v="2022-07-19T00:00:00"/>
    <n v="144"/>
    <d v="2022-12-10T00:00:00"/>
    <n v="-116"/>
    <s v="W50_2022"/>
    <x v="0"/>
  </r>
  <r>
    <x v="0"/>
    <x v="12"/>
    <n v="22301761"/>
    <x v="0"/>
    <s v="CH (Cheque)"/>
    <s v="II. Receipts form Clients - non matured"/>
    <s v="Cheque PF"/>
    <s v="Sales of batteries - local"/>
    <s v="D/BIAT+CHRARDA-0002890"/>
    <s v="TND"/>
    <n v="3600"/>
    <n v="1"/>
    <n v="3600"/>
    <x v="0"/>
    <d v="2022-08-05T00:00:00"/>
    <n v="130"/>
    <d v="2022-12-13T00:00:00"/>
    <n v="-119"/>
    <s v="W50_2022"/>
    <x v="0"/>
  </r>
  <r>
    <x v="0"/>
    <x v="6"/>
    <n v="22401608"/>
    <x v="0"/>
    <s v="CH (Cheque)"/>
    <s v="II. Receipts form Clients - non matured"/>
    <s v="Cheque PF"/>
    <s v="Sales of batteries - local"/>
    <s v="D/BH+MOKNINE-2638360"/>
    <s v="TND"/>
    <n v="1920"/>
    <n v="1"/>
    <n v="1920"/>
    <x v="0"/>
    <d v="2022-07-22T00:00:00"/>
    <n v="144"/>
    <d v="2022-12-13T00:00:00"/>
    <n v="-119"/>
    <s v="W50_2022"/>
    <x v="0"/>
  </r>
  <r>
    <x v="0"/>
    <x v="75"/>
    <n v="22124942"/>
    <x v="0"/>
    <s v="CH (Cheque)"/>
    <s v="II. Receipts form Clients - non matured"/>
    <s v="Cheque PF"/>
    <s v="Sales of batteries - local"/>
    <s v="P/STB+TN-0008581"/>
    <s v="TND"/>
    <n v="800"/>
    <n v="1"/>
    <n v="800"/>
    <x v="0"/>
    <d v="2022-07-28T00:00:00"/>
    <n v="138"/>
    <d v="2022-12-13T00:00:00"/>
    <n v="-119"/>
    <s v="W50_2022"/>
    <x v="0"/>
  </r>
  <r>
    <x v="0"/>
    <x v="125"/>
    <n v="22301738"/>
    <x v="0"/>
    <s v="CH (Cheque)"/>
    <s v="II. Receipts form Clients - non matured"/>
    <s v="Cheque PF"/>
    <s v="Sales of batteries - local"/>
    <s v="P/BIAT+SFAX-0007521"/>
    <s v="TND"/>
    <n v="920"/>
    <n v="1"/>
    <n v="920"/>
    <x v="0"/>
    <d v="2022-07-29T00:00:00"/>
    <n v="138"/>
    <d v="2022-12-14T00:00:00"/>
    <n v="-120"/>
    <s v="W50_2022"/>
    <x v="0"/>
  </r>
  <r>
    <x v="0"/>
    <x v="232"/>
    <n v="22301744"/>
    <x v="0"/>
    <s v="CH (Cheque)"/>
    <s v="II. Receipts form Clients - non matured"/>
    <s v="Cheque PF"/>
    <s v="Sales of batteries - local"/>
    <s v="P/STB+SFAX-0007738"/>
    <s v="TND"/>
    <n v="4458.0820000000003"/>
    <n v="1"/>
    <n v="4458.0820000000003"/>
    <x v="0"/>
    <d v="2022-08-04T00:00:00"/>
    <n v="133"/>
    <d v="2022-12-15T00:00:00"/>
    <n v="-121"/>
    <s v="W50_2022"/>
    <x v="0"/>
  </r>
  <r>
    <x v="0"/>
    <x v="308"/>
    <n v="22401658"/>
    <x v="0"/>
    <s v="CH (Cheque)"/>
    <s v="II. Receipts form Clients - non matured"/>
    <s v="Cheque PF"/>
    <s v="Sales of batteries - local"/>
    <s v="D/UIB+BEMBLA-7479776"/>
    <s v="TND"/>
    <n v="1872.6790000000001"/>
    <n v="1"/>
    <n v="1872.6790000000001"/>
    <x v="0"/>
    <d v="2022-07-29T00:00:00"/>
    <n v="139"/>
    <d v="2022-12-15T00:00:00"/>
    <n v="-121"/>
    <s v="W50_2022"/>
    <x v="0"/>
  </r>
  <r>
    <x v="0"/>
    <x v="288"/>
    <n v="22701265"/>
    <x v="0"/>
    <s v="CH (Cheque)"/>
    <s v="II. Receipts form Clients - non matured"/>
    <s v="Cheque PF"/>
    <s v="Sales of batteries - local"/>
    <s v="P/STB+REDEYEF-0000303"/>
    <s v="TND"/>
    <n v="3696.5909999999999"/>
    <n v="1"/>
    <n v="3696.5909999999999"/>
    <x v="0"/>
    <d v="2022-08-02T00:00:00"/>
    <n v="135"/>
    <d v="2022-12-15T00:00:00"/>
    <n v="-121"/>
    <s v="W50_2022"/>
    <x v="0"/>
  </r>
  <r>
    <x v="0"/>
    <x v="20"/>
    <n v="22801365"/>
    <x v="0"/>
    <s v="CH (Cheque)"/>
    <s v="II. Receipts form Clients - non matured"/>
    <s v="Cheque PF"/>
    <s v="Sales of batteries - local"/>
    <s v="P/BTE+BEJA-6283542"/>
    <s v="TND"/>
    <n v="10100"/>
    <n v="1"/>
    <n v="10100"/>
    <x v="0"/>
    <d v="2022-07-19T00:00:00"/>
    <n v="149"/>
    <d v="2022-12-15T00:00:00"/>
    <n v="-121"/>
    <s v="W50_2022"/>
    <x v="0"/>
  </r>
  <r>
    <x v="0"/>
    <x v="75"/>
    <n v="22124953"/>
    <x v="0"/>
    <s v="CH (Cheque)"/>
    <s v="II. Receipts form Clients - non matured"/>
    <s v="Cheque PF"/>
    <s v="Sales of batteries - local"/>
    <s v="P/STB+TN-0008589"/>
    <s v="TND"/>
    <n v="790"/>
    <n v="1"/>
    <n v="790"/>
    <x v="0"/>
    <d v="2022-07-28T00:00:00"/>
    <n v="140"/>
    <d v="2022-12-15T00:00:00"/>
    <n v="-121"/>
    <s v="W50_2022"/>
    <x v="0"/>
  </r>
  <r>
    <x v="0"/>
    <x v="300"/>
    <n v="22124984"/>
    <x v="0"/>
    <s v="CH (Cheque)"/>
    <s v="II. Receipts form Clients - non matured"/>
    <s v="Cheque PF"/>
    <s v="Sales of batteries - local"/>
    <s v="P/QNB+BEN AROUS-000915"/>
    <s v="TND"/>
    <n v="7816.4740000000002"/>
    <n v="1"/>
    <n v="7816.4740000000002"/>
    <x v="0"/>
    <d v="2022-08-03T00:00:00"/>
    <n v="135"/>
    <d v="2022-12-16T00:00:00"/>
    <n v="-122"/>
    <s v="W50_2022"/>
    <x v="0"/>
  </r>
  <r>
    <x v="0"/>
    <x v="75"/>
    <n v="22124944"/>
    <x v="0"/>
    <s v="CH (Cheque)"/>
    <s v="II. Receipts form Clients - non matured"/>
    <s v="Cheque PF"/>
    <s v="Sales of batteries - local"/>
    <s v="P/STB+TN-0008582"/>
    <s v="TND"/>
    <n v="825"/>
    <n v="1"/>
    <n v="825"/>
    <x v="0"/>
    <d v="2022-07-28T00:00:00"/>
    <n v="141"/>
    <d v="2022-12-16T00:00:00"/>
    <n v="-122"/>
    <s v="W50_2022"/>
    <x v="0"/>
  </r>
  <r>
    <x v="0"/>
    <x v="12"/>
    <n v="22301762"/>
    <x v="0"/>
    <s v="CH (Cheque)"/>
    <s v="II. Receipts form Clients - non matured"/>
    <s v="Cheque PF"/>
    <s v="Sales of batteries - local"/>
    <s v="D/BIAT+BIR ALI-0002889"/>
    <s v="TND"/>
    <n v="3600"/>
    <n v="1"/>
    <n v="3600"/>
    <x v="0"/>
    <d v="2022-08-05T00:00:00"/>
    <n v="134"/>
    <d v="2022-12-17T00:00:00"/>
    <n v="-123"/>
    <s v="W51_2022"/>
    <x v="0"/>
  </r>
  <r>
    <x v="0"/>
    <x v="252"/>
    <n v="22401602"/>
    <x v="0"/>
    <s v="CH (Cheque)"/>
    <s v="II. Receipts form Clients - non matured"/>
    <s v="Cheque PF"/>
    <s v="Sales of batteries - local"/>
    <s v="P/UIB+KALAA KEBIRA-232"/>
    <s v="TND"/>
    <n v="2643.4960000000001"/>
    <n v="1"/>
    <n v="2643.4960000000001"/>
    <x v="0"/>
    <d v="2022-07-19T00:00:00"/>
    <n v="151"/>
    <d v="2022-12-17T00:00:00"/>
    <n v="-123"/>
    <s v="W51_2022"/>
    <x v="0"/>
  </r>
  <r>
    <x v="0"/>
    <x v="75"/>
    <n v="22124941"/>
    <x v="0"/>
    <s v="CH (Cheque)"/>
    <s v="II. Receipts form Clients - non matured"/>
    <s v="Cheque PF"/>
    <s v="Sales of batteries - local"/>
    <s v="P/STB+TN-0008583"/>
    <s v="TND"/>
    <n v="820"/>
    <n v="1"/>
    <n v="820"/>
    <x v="0"/>
    <d v="2022-07-28T00:00:00"/>
    <n v="143"/>
    <d v="2022-12-18T00:00:00"/>
    <n v="-124"/>
    <s v="W51_2022"/>
    <x v="0"/>
  </r>
  <r>
    <x v="0"/>
    <x v="12"/>
    <n v="22301763"/>
    <x v="0"/>
    <s v="CH (Cheque)"/>
    <s v="II. Receipts form Clients - non matured"/>
    <s v="Cheque PF"/>
    <s v="Sales of batteries - local"/>
    <s v="D/BIAT+BIR ALI-0002888"/>
    <s v="TND"/>
    <n v="3600"/>
    <n v="1"/>
    <n v="3600"/>
    <x v="0"/>
    <d v="2022-08-05T00:00:00"/>
    <n v="137"/>
    <d v="2022-12-20T00:00:00"/>
    <n v="-126"/>
    <s v="W51_2022"/>
    <x v="0"/>
  </r>
  <r>
    <x v="0"/>
    <x v="6"/>
    <n v="22401614"/>
    <x v="0"/>
    <s v="CH (Cheque)"/>
    <s v="II. Receipts form Clients - non matured"/>
    <s v="Cheque PF"/>
    <s v="Sales of batteries - local"/>
    <s v="D/BH+MOKNINE-2638361"/>
    <s v="TND"/>
    <n v="1920"/>
    <n v="1"/>
    <n v="1920"/>
    <x v="0"/>
    <d v="2022-07-22T00:00:00"/>
    <n v="151"/>
    <d v="2022-12-20T00:00:00"/>
    <n v="-126"/>
    <s v="W51_2022"/>
    <x v="0"/>
  </r>
  <r>
    <x v="0"/>
    <x v="75"/>
    <n v="22124946"/>
    <x v="0"/>
    <s v="CH (Cheque)"/>
    <s v="II. Receipts form Clients - non matured"/>
    <s v="Cheque PF"/>
    <s v="Sales of batteries - local"/>
    <s v="P/STB+TN-0008584"/>
    <s v="TND"/>
    <n v="815"/>
    <n v="1"/>
    <n v="815"/>
    <x v="0"/>
    <d v="2022-07-28T00:00:00"/>
    <n v="145"/>
    <d v="2022-12-20T00:00:00"/>
    <n v="-126"/>
    <s v="W51_2022"/>
    <x v="0"/>
  </r>
  <r>
    <x v="0"/>
    <x v="75"/>
    <n v="22124948"/>
    <x v="0"/>
    <s v="CH (Cheque)"/>
    <s v="II. Receipts form Clients - non matured"/>
    <s v="Cheque PF"/>
    <s v="Sales of batteries - local"/>
    <s v="P/STB+TN-0008585"/>
    <s v="TND"/>
    <n v="810"/>
    <n v="1"/>
    <n v="810"/>
    <x v="0"/>
    <d v="2022-07-28T00:00:00"/>
    <n v="147"/>
    <d v="2022-12-22T00:00:00"/>
    <n v="-128"/>
    <s v="W51_2022"/>
    <x v="0"/>
  </r>
  <r>
    <x v="0"/>
    <x v="12"/>
    <n v="22301764"/>
    <x v="0"/>
    <s v="CH (Cheque)"/>
    <s v="II. Receipts form Clients - non matured"/>
    <s v="Cheque PF"/>
    <s v="Sales of batteries - local"/>
    <s v="D/BIAT+BIR ALI-0002887"/>
    <s v="TND"/>
    <n v="3600"/>
    <n v="1"/>
    <n v="3600"/>
    <x v="0"/>
    <d v="2022-08-05T00:00:00"/>
    <n v="141"/>
    <d v="2022-12-24T00:00:00"/>
    <n v="-130"/>
    <s v="W52_2022"/>
    <x v="0"/>
  </r>
  <r>
    <x v="0"/>
    <x v="75"/>
    <n v="22124947"/>
    <x v="0"/>
    <s v="CH (Cheque)"/>
    <s v="II. Receipts form Clients - non matured"/>
    <s v="Cheque PF"/>
    <s v="Sales of batteries - local"/>
    <s v="P/STB+TN-0008586"/>
    <s v="TND"/>
    <n v="755"/>
    <n v="1"/>
    <n v="755"/>
    <x v="0"/>
    <d v="2022-07-28T00:00:00"/>
    <n v="149"/>
    <d v="2022-12-24T00:00:00"/>
    <n v="-130"/>
    <s v="W52_2022"/>
    <x v="0"/>
  </r>
  <r>
    <x v="0"/>
    <x v="252"/>
    <n v="22401600"/>
    <x v="0"/>
    <s v="CH (Cheque)"/>
    <s v="II. Receipts form Clients - non matured"/>
    <s v="Cheque PF"/>
    <s v="Sales of batteries - local"/>
    <s v="P/UIB+KALAA KEBIRA-232"/>
    <s v="TND"/>
    <n v="2643.4960000000001"/>
    <n v="1"/>
    <n v="2643.4960000000001"/>
    <x v="0"/>
    <d v="2022-07-19T00:00:00"/>
    <n v="159"/>
    <d v="2022-12-25T00:00:00"/>
    <n v="-131"/>
    <s v="W52_2022"/>
    <x v="0"/>
  </r>
  <r>
    <x v="0"/>
    <x v="75"/>
    <n v="22124950"/>
    <x v="0"/>
    <s v="CH (Cheque)"/>
    <s v="II. Receipts form Clients - non matured"/>
    <s v="Cheque PF"/>
    <s v="Sales of batteries - local"/>
    <s v="P/STB+TN-0008587"/>
    <s v="TND"/>
    <n v="750"/>
    <n v="1"/>
    <n v="750"/>
    <x v="0"/>
    <d v="2022-07-28T00:00:00"/>
    <n v="151"/>
    <d v="2022-12-26T00:00:00"/>
    <n v="-132"/>
    <s v="W52_2022"/>
    <x v="0"/>
  </r>
  <r>
    <x v="0"/>
    <x v="12"/>
    <n v="22301765"/>
    <x v="0"/>
    <s v="CH (Cheque)"/>
    <s v="II. Receipts form Clients - non matured"/>
    <s v="Cheque PF"/>
    <s v="Sales of batteries - local"/>
    <s v="D/BIAT+BIR ALI-0002886"/>
    <s v="TND"/>
    <n v="3600"/>
    <n v="1"/>
    <n v="3600"/>
    <x v="0"/>
    <d v="2022-08-05T00:00:00"/>
    <n v="144"/>
    <d v="2022-12-27T00:00:00"/>
    <n v="-133"/>
    <s v="W52_2022"/>
    <x v="0"/>
  </r>
  <r>
    <x v="0"/>
    <x v="6"/>
    <n v="22401613"/>
    <x v="0"/>
    <s v="CH (Cheque)"/>
    <s v="II. Receipts form Clients - non matured"/>
    <s v="Cheque PF"/>
    <s v="Sales of batteries - local"/>
    <s v="D/BH+MOKNINE-2638362"/>
    <s v="TND"/>
    <n v="1920"/>
    <n v="1"/>
    <n v="1920"/>
    <x v="0"/>
    <d v="2022-07-22T00:00:00"/>
    <n v="158"/>
    <d v="2022-12-27T00:00:00"/>
    <n v="-133"/>
    <s v="W52_2022"/>
    <x v="0"/>
  </r>
  <r>
    <x v="0"/>
    <x v="144"/>
    <n v="22401655"/>
    <x v="0"/>
    <s v="CH (Cheque)"/>
    <s v="II. Receipts form Clients - non matured"/>
    <s v="Cheque PF"/>
    <s v="Sales of batteries - local"/>
    <s v="P/UIB+SOUSSE-1052388"/>
    <s v="TND"/>
    <n v="16971.087"/>
    <n v="1"/>
    <n v="16971.087"/>
    <x v="0"/>
    <d v="2022-07-29T00:00:00"/>
    <n v="151"/>
    <d v="2022-12-27T00:00:00"/>
    <n v="-133"/>
    <s v="W52_2022"/>
    <x v="0"/>
  </r>
  <r>
    <x v="0"/>
    <x v="75"/>
    <n v="22124949"/>
    <x v="0"/>
    <s v="CH (Cheque)"/>
    <s v="II. Receipts form Clients - non matured"/>
    <s v="Cheque PF"/>
    <s v="Sales of batteries - local"/>
    <s v="P/STB+TN-0008588"/>
    <s v="TND"/>
    <n v="795"/>
    <n v="1"/>
    <n v="795"/>
    <x v="0"/>
    <d v="2022-07-28T00:00:00"/>
    <n v="153"/>
    <d v="2022-12-28T00:00:00"/>
    <n v="-134"/>
    <s v="W52_2022"/>
    <x v="0"/>
  </r>
  <r>
    <x v="0"/>
    <x v="12"/>
    <n v="22301766"/>
    <x v="0"/>
    <s v="CH (Cheque)"/>
    <s v="II. Receipts form Clients - non matured"/>
    <s v="Cheque PF"/>
    <s v="Sales of batteries - local"/>
    <s v="D/BIAT+BIR ALI-0002892"/>
    <s v="TND"/>
    <n v="3554"/>
    <n v="1"/>
    <n v="3554"/>
    <x v="0"/>
    <d v="2022-08-05T00:00:00"/>
    <n v="148"/>
    <d v="2022-12-31T00:00:00"/>
    <n v="-137"/>
    <s v="W01_2023"/>
    <x v="0"/>
  </r>
  <r>
    <x v="0"/>
    <x v="270"/>
    <n v="22401663"/>
    <x v="0"/>
    <s v="CH (Cheque)"/>
    <s v="II. Receipts form Clients - non matured"/>
    <s v="Cheque PF"/>
    <s v="Sales of batteries - local"/>
    <s v="P/ATB+H SOUSSE-5908205"/>
    <s v="TND"/>
    <n v="28770.573"/>
    <n v="1"/>
    <n v="28770.573"/>
    <x v="0"/>
    <d v="2022-07-29T00:00:00"/>
    <n v="155"/>
    <d v="2022-12-31T00:00:00"/>
    <n v="-137"/>
    <s v="W01_2023"/>
    <x v="0"/>
  </r>
  <r>
    <x v="0"/>
    <x v="252"/>
    <n v="22401601"/>
    <x v="0"/>
    <s v="CH (Cheque)"/>
    <s v="II. Receipts form Clients - non matured"/>
    <s v="Cheque PF"/>
    <s v="Sales of batteries - local"/>
    <s v="P/UIB+KALAA KEBIRA-232"/>
    <s v="TND"/>
    <n v="2643.4960000000001"/>
    <n v="1"/>
    <n v="2643.4960000000001"/>
    <x v="0"/>
    <d v="2022-07-19T00:00:00"/>
    <n v="165"/>
    <d v="2022-12-31T00:00:00"/>
    <n v="-137"/>
    <s v="W01_2023"/>
    <x v="0"/>
  </r>
  <r>
    <x v="0"/>
    <x v="6"/>
    <n v="22401612"/>
    <x v="0"/>
    <s v="CH (Cheque)"/>
    <s v="II. Receipts form Clients - non matured"/>
    <s v="Cheque PF"/>
    <s v="Sales of batteries - local"/>
    <s v="D/BH+MOKNINE-2638363"/>
    <s v="TND"/>
    <n v="1920"/>
    <n v="1"/>
    <n v="1920"/>
    <x v="0"/>
    <d v="2022-07-22T00:00:00"/>
    <n v="165"/>
    <d v="2023-01-03T00:00:00"/>
    <n v="-140"/>
    <s v="W01_2023"/>
    <x v="0"/>
  </r>
  <r>
    <x v="0"/>
    <x v="6"/>
    <n v="22401611"/>
    <x v="0"/>
    <s v="CH (Cheque)"/>
    <s v="II. Receipts form Clients - non matured"/>
    <s v="Cheque PF"/>
    <s v="Sales of batteries - local"/>
    <s v="D/BH+MOKNINE-2638364"/>
    <s v="TND"/>
    <n v="1920"/>
    <n v="1"/>
    <n v="1920"/>
    <x v="0"/>
    <d v="2022-07-22T00:00:00"/>
    <n v="172"/>
    <d v="2023-01-10T00:00:00"/>
    <n v="-147"/>
    <s v="W02_2023"/>
    <x v="0"/>
  </r>
  <r>
    <x v="0"/>
    <x v="6"/>
    <n v="22401609"/>
    <x v="0"/>
    <s v="CH (Cheque)"/>
    <s v="II. Receipts form Clients - non matured"/>
    <s v="Cheque PF"/>
    <s v="Sales of batteries - local"/>
    <s v="D/BH+MOKNINE-2638365"/>
    <s v="TND"/>
    <n v="1920"/>
    <n v="1"/>
    <n v="1920"/>
    <x v="0"/>
    <d v="2022-07-22T00:00:00"/>
    <n v="179"/>
    <d v="2023-01-17T00:00:00"/>
    <n v="-154"/>
    <s v="W03_2023"/>
    <x v="0"/>
  </r>
  <r>
    <x v="0"/>
    <x v="332"/>
    <m/>
    <x v="0"/>
    <s v="CH (Cheque)"/>
    <s v="II. Receipts form Clients - non matured"/>
    <s v="Cheque V"/>
    <s v="Sales of batteries - local"/>
    <s v="AUTRE AGENCE"/>
    <s v="TND"/>
    <n v="20000"/>
    <n v="1"/>
    <n v="20000"/>
    <x v="1"/>
    <d v="2022-08-20T00:00:00"/>
    <n v="0"/>
    <d v="2022-08-20T00:00:00"/>
    <n v="-4"/>
    <s v="W34_2022"/>
    <x v="0"/>
  </r>
  <r>
    <x v="0"/>
    <x v="332"/>
    <m/>
    <x v="0"/>
    <s v="CH (Cheque)"/>
    <s v="II. Receipts form Clients - non matured"/>
    <s v="Cheque V"/>
    <s v="Sales of batteries - local"/>
    <s v="AGENCE MEGRINE"/>
    <s v="TND"/>
    <n v="28000"/>
    <n v="1"/>
    <n v="28000"/>
    <x v="1"/>
    <d v="2022-08-20T00:00:00"/>
    <n v="0"/>
    <d v="2022-08-20T00:00:00"/>
    <n v="-4"/>
    <s v="W34_2022"/>
    <x v="0"/>
  </r>
  <r>
    <x v="0"/>
    <x v="332"/>
    <m/>
    <x v="0"/>
    <s v="CH (Cheque)"/>
    <s v="II. Receipts form Clients - non matured"/>
    <s v="Cheque V"/>
    <s v="Sales of batteries - local"/>
    <s v="AUTRE AGENCE"/>
    <s v="TND"/>
    <n v="80000"/>
    <n v="1"/>
    <n v="80000"/>
    <x v="1"/>
    <d v="2022-08-31T00:00:00"/>
    <n v="0"/>
    <d v="2022-08-31T00:00:00"/>
    <n v="-15"/>
    <s v="W35_2022"/>
    <x v="0"/>
  </r>
  <r>
    <x v="0"/>
    <x v="332"/>
    <m/>
    <x v="0"/>
    <s v="CH (Cheque)"/>
    <s v="II. Receipts form Clients - non matured"/>
    <s v="Cheque V"/>
    <s v="Sales of batteries - local"/>
    <s v="AGENCE MEGRINE"/>
    <s v="TND"/>
    <n v="58000"/>
    <n v="1"/>
    <n v="58000"/>
    <x v="1"/>
    <d v="2022-08-31T00:00:00"/>
    <n v="0"/>
    <d v="2022-08-31T00:00:00"/>
    <n v="-15"/>
    <s v="W35_2022"/>
    <x v="0"/>
  </r>
  <r>
    <x v="0"/>
    <x v="332"/>
    <m/>
    <x v="0"/>
    <s v="CH (Cheque)"/>
    <s v="II. Receipts form Clients - non matured"/>
    <s v="Cheque V"/>
    <s v="Sales of batteries - local"/>
    <s v="AGENCE MEGRINE"/>
    <s v="TND"/>
    <n v="15000"/>
    <n v="1"/>
    <n v="15000"/>
    <x v="1"/>
    <d v="2022-09-03T00:00:00"/>
    <n v="0"/>
    <d v="2022-09-03T00:00:00"/>
    <n v="-18"/>
    <s v="W36_2022"/>
    <x v="0"/>
  </r>
  <r>
    <x v="0"/>
    <x v="332"/>
    <m/>
    <x v="0"/>
    <s v="CH (Cheque)"/>
    <s v="II. Receipts form Clients - non matured"/>
    <s v="Cheque V"/>
    <s v="Sales of batteries - local"/>
    <s v="AUTRE AGENCE"/>
    <s v="TND"/>
    <n v="1000"/>
    <n v="1"/>
    <n v="1000"/>
    <x v="1"/>
    <d v="2022-09-03T00:00:00"/>
    <n v="0"/>
    <d v="2022-09-03T00:00:00"/>
    <n v="-18"/>
    <s v="W36_2022"/>
    <x v="0"/>
  </r>
  <r>
    <x v="0"/>
    <x v="332"/>
    <m/>
    <x v="0"/>
    <s v="CH (Cheque)"/>
    <s v="II. Receipts form Clients - non matured"/>
    <s v="Cheque V"/>
    <s v="Sales of batteries - local"/>
    <s v="AGENCE MEGRINE"/>
    <s v="TND"/>
    <n v="47000"/>
    <n v="1"/>
    <n v="47000"/>
    <x v="1"/>
    <d v="2022-09-10T00:00:00"/>
    <n v="0"/>
    <d v="2022-09-10T00:00:00"/>
    <n v="-25"/>
    <s v="W37_2022"/>
    <x v="0"/>
  </r>
  <r>
    <x v="0"/>
    <x v="332"/>
    <m/>
    <x v="0"/>
    <s v="CH (Cheque)"/>
    <s v="II. Receipts form Clients - non matured"/>
    <s v="Cheque V"/>
    <s v="Sales of batteries - local"/>
    <s v="AUTRE AGENCE"/>
    <s v="TND"/>
    <n v="54000"/>
    <n v="1"/>
    <n v="54000"/>
    <x v="1"/>
    <d v="2022-09-10T00:00:00"/>
    <n v="0"/>
    <d v="2022-09-10T00:00:00"/>
    <n v="-25"/>
    <s v="W37_2022"/>
    <x v="0"/>
  </r>
  <r>
    <x v="0"/>
    <x v="332"/>
    <m/>
    <x v="0"/>
    <s v="CH (Cheque)"/>
    <s v="II. Receipts form Clients - non matured"/>
    <s v="Cheque V"/>
    <s v="Sales of batteries - local"/>
    <s v="AGENCE MEGRINE"/>
    <s v="TND"/>
    <n v="57000"/>
    <n v="1"/>
    <n v="57000"/>
    <x v="1"/>
    <d v="2022-09-17T00:00:00"/>
    <n v="0"/>
    <d v="2022-09-17T00:00:00"/>
    <n v="-32"/>
    <s v="W38_2022"/>
    <x v="0"/>
  </r>
  <r>
    <x v="0"/>
    <x v="332"/>
    <m/>
    <x v="0"/>
    <s v="CH (Cheque)"/>
    <s v="II. Receipts form Clients - non matured"/>
    <s v="Cheque V"/>
    <s v="Sales of batteries - local"/>
    <s v="AUTRE AGENCE"/>
    <s v="TND"/>
    <n v="11000"/>
    <n v="1"/>
    <n v="11000"/>
    <x v="1"/>
    <d v="2022-09-17T00:00:00"/>
    <n v="0"/>
    <d v="2022-09-17T00:00:00"/>
    <n v="-32"/>
    <s v="W38_2022"/>
    <x v="0"/>
  </r>
  <r>
    <x v="0"/>
    <x v="332"/>
    <m/>
    <x v="0"/>
    <s v="CH (Cheque)"/>
    <s v="II. Receipts form Clients - non matured"/>
    <s v="Cheque V"/>
    <s v="Sales of batteries - local"/>
    <s v="AGENCE MEGRINE"/>
    <s v="TND"/>
    <n v="40000"/>
    <n v="1"/>
    <n v="40000"/>
    <x v="1"/>
    <d v="2022-09-24T00:00:00"/>
    <n v="0"/>
    <d v="2022-09-24T00:00:00"/>
    <n v="-39"/>
    <s v="W39_2022"/>
    <x v="0"/>
  </r>
  <r>
    <x v="0"/>
    <x v="332"/>
    <m/>
    <x v="0"/>
    <s v="CH (Cheque)"/>
    <s v="II. Receipts form Clients - non matured"/>
    <s v="Cheque V"/>
    <s v="Sales of batteries - local"/>
    <s v="AUTRE AGENCE"/>
    <s v="TND"/>
    <n v="44000"/>
    <n v="1"/>
    <n v="44000"/>
    <x v="1"/>
    <d v="2022-09-24T00:00:00"/>
    <n v="0"/>
    <d v="2022-09-24T00:00:00"/>
    <n v="-39"/>
    <s v="W39_2022"/>
    <x v="0"/>
  </r>
  <r>
    <x v="0"/>
    <x v="332"/>
    <s v="PREVISION TRAITE"/>
    <x v="0"/>
    <s v="TR (Bank Transfer)"/>
    <s v="II. Receipts form Clients - non matured"/>
    <s v="Escompte"/>
    <s v="Sales of batteries - local"/>
    <s v="SND"/>
    <s v="TND"/>
    <n v="150000"/>
    <n v="1"/>
    <n v="150000"/>
    <x v="1"/>
    <d v="2022-08-20T00:00:00"/>
    <n v="0"/>
    <d v="2022-08-20T00:00:00"/>
    <n v="-4"/>
    <s v="W34_2022"/>
    <x v="0"/>
  </r>
  <r>
    <x v="0"/>
    <x v="332"/>
    <s v="PREVISION TRAITE"/>
    <x v="0"/>
    <s v="TR (Bank Transfer)"/>
    <s v="II. Receipts form Clients - non matured"/>
    <s v="Escompte"/>
    <s v="Sales of batteries - local"/>
    <s v="SND"/>
    <s v="TND"/>
    <n v="150000"/>
    <n v="1"/>
    <n v="150000"/>
    <x v="1"/>
    <d v="2022-08-31T00:00:00"/>
    <n v="0"/>
    <d v="2022-08-31T00:00:00"/>
    <n v="-15"/>
    <s v="W35_2022"/>
    <x v="0"/>
  </r>
  <r>
    <x v="0"/>
    <x v="332"/>
    <m/>
    <x v="0"/>
    <s v="TR (Bank Transfer)"/>
    <s v="II. Receipts form Clients - non matured"/>
    <s v="Escompte"/>
    <s v="Sales of batteries - local"/>
    <s v="SND"/>
    <s v="TND"/>
    <n v="150000"/>
    <n v="1"/>
    <n v="150000"/>
    <x v="1"/>
    <d v="2022-09-03T00:00:00"/>
    <n v="0"/>
    <d v="2022-09-03T00:00:00"/>
    <n v="-18"/>
    <s v="W36_2022"/>
    <x v="1"/>
  </r>
  <r>
    <x v="0"/>
    <x v="332"/>
    <m/>
    <x v="0"/>
    <s v="TR (Bank Transfer)"/>
    <s v="II. Receipts form Clients - non matured"/>
    <s v="Escompte"/>
    <s v="Sales of batteries - local"/>
    <s v="SND"/>
    <s v="TND"/>
    <n v="150000"/>
    <n v="1"/>
    <n v="150000"/>
    <x v="1"/>
    <d v="2022-09-10T00:00:00"/>
    <n v="0"/>
    <d v="2022-09-10T00:00:00"/>
    <n v="-25"/>
    <s v="W37_2022"/>
    <x v="1"/>
  </r>
  <r>
    <x v="0"/>
    <x v="332"/>
    <m/>
    <x v="0"/>
    <s v="TR (Bank Transfer)"/>
    <s v="II. Receipts form Clients - non matured"/>
    <s v="Escompte"/>
    <s v="Sales of batteries - local"/>
    <s v="SND"/>
    <s v="TND"/>
    <n v="150000"/>
    <n v="1"/>
    <n v="150000"/>
    <x v="1"/>
    <d v="2022-09-17T00:00:00"/>
    <n v="0"/>
    <d v="2022-09-17T00:00:00"/>
    <n v="-32"/>
    <s v="W38_2022"/>
    <x v="1"/>
  </r>
  <r>
    <x v="0"/>
    <x v="332"/>
    <m/>
    <x v="0"/>
    <s v="TR (Bank Transfer)"/>
    <s v="II. Receipts form Clients - non matured"/>
    <s v="Escompte"/>
    <s v="Sales of batteries - local"/>
    <s v="SND"/>
    <s v="TND"/>
    <n v="150000"/>
    <n v="1"/>
    <n v="150000"/>
    <x v="1"/>
    <d v="2022-09-24T00:00:00"/>
    <n v="0"/>
    <d v="2022-09-24T00:00:00"/>
    <n v="-39"/>
    <s v="W39_2022"/>
    <x v="1"/>
  </r>
  <r>
    <x v="0"/>
    <x v="332"/>
    <m/>
    <x v="0"/>
    <s v="CASH"/>
    <s v="II. Receipts form Clients - non matured"/>
    <s v="Espece"/>
    <s v="Sales of batteries - local"/>
    <s v="AUTRE AGENCE"/>
    <s v="TND"/>
    <n v="50000"/>
    <n v="1"/>
    <n v="50000"/>
    <x v="1"/>
    <d v="2022-08-12T00:00:00"/>
    <n v="7"/>
    <d v="2022-08-19T00:00:00"/>
    <n v="-3"/>
    <s v="W33_2022"/>
    <x v="0"/>
  </r>
  <r>
    <x v="0"/>
    <x v="332"/>
    <m/>
    <x v="0"/>
    <s v="CASH"/>
    <s v="II. Receipts form Clients - non matured"/>
    <s v="Espece"/>
    <s v="Sales of batteries - local"/>
    <s v="AUTRE AGENCE"/>
    <s v="TND"/>
    <n v="150000"/>
    <n v="1"/>
    <n v="150000"/>
    <x v="1"/>
    <d v="2022-08-20T00:00:00"/>
    <n v="0"/>
    <d v="2022-08-20T00:00:00"/>
    <n v="-4"/>
    <s v="W34_2022"/>
    <x v="0"/>
  </r>
  <r>
    <x v="0"/>
    <x v="332"/>
    <m/>
    <x v="0"/>
    <s v="CASH"/>
    <s v="II. Receipts form Clients - non matured"/>
    <s v="Espece"/>
    <s v="Sales of batteries - local"/>
    <s v="AUTRE AGENCE"/>
    <s v="TND"/>
    <n v="235000"/>
    <n v="1"/>
    <n v="235000"/>
    <x v="1"/>
    <d v="2022-08-31T00:00:00"/>
    <n v="0"/>
    <d v="2022-08-31T00:00:00"/>
    <n v="-15"/>
    <s v="W35_2022"/>
    <x v="0"/>
  </r>
  <r>
    <x v="0"/>
    <x v="332"/>
    <m/>
    <x v="0"/>
    <s v="CASH"/>
    <s v="II. Receipts form Clients - non matured"/>
    <s v="Espece"/>
    <s v="Sales of batteries - local"/>
    <s v="AGENCE MEGRINE"/>
    <s v="TND"/>
    <n v="20000"/>
    <n v="1"/>
    <n v="20000"/>
    <x v="1"/>
    <d v="2022-08-12T00:00:00"/>
    <n v="7"/>
    <d v="2022-08-19T00:00:00"/>
    <n v="-3"/>
    <s v="W33_2022"/>
    <x v="0"/>
  </r>
  <r>
    <x v="0"/>
    <x v="332"/>
    <m/>
    <x v="0"/>
    <s v="CASH"/>
    <s v="II. Receipts form Clients - non matured"/>
    <s v="Espece"/>
    <s v="Sales of batteries - local"/>
    <s v="AGENCE MEGRINE"/>
    <s v="TND"/>
    <n v="57000"/>
    <n v="1"/>
    <n v="57000"/>
    <x v="1"/>
    <d v="2022-08-20T00:00:00"/>
    <n v="0"/>
    <d v="2022-08-20T00:00:00"/>
    <n v="-4"/>
    <s v="W34_2022"/>
    <x v="0"/>
  </r>
  <r>
    <x v="0"/>
    <x v="332"/>
    <m/>
    <x v="0"/>
    <s v="CASH"/>
    <s v="II. Receipts form Clients - non matured"/>
    <s v="Espece"/>
    <s v="Sales of batteries - local"/>
    <s v="AGENCE MEGRINE"/>
    <s v="TND"/>
    <n v="66000"/>
    <n v="1"/>
    <n v="66000"/>
    <x v="1"/>
    <d v="2022-08-31T00:00:00"/>
    <n v="0"/>
    <d v="2022-08-31T00:00:00"/>
    <n v="-15"/>
    <s v="W35_2022"/>
    <x v="0"/>
  </r>
  <r>
    <x v="0"/>
    <x v="332"/>
    <m/>
    <x v="0"/>
    <s v="CASH"/>
    <s v="II. Receipts form Clients - non matured"/>
    <s v="Espece"/>
    <s v="Sales of batteries - local"/>
    <s v="AGENCE MEGRINE"/>
    <s v="TND"/>
    <n v="27000"/>
    <n v="1"/>
    <n v="27000"/>
    <x v="1"/>
    <d v="2022-09-03T00:00:00"/>
    <n v="0"/>
    <d v="2022-09-03T00:00:00"/>
    <n v="-18"/>
    <s v="W36_2022"/>
    <x v="0"/>
  </r>
  <r>
    <x v="0"/>
    <x v="332"/>
    <m/>
    <x v="0"/>
    <s v="CASH"/>
    <s v="II. Receipts form Clients - non matured"/>
    <s v="Espece"/>
    <s v="Sales of batteries - local"/>
    <s v="AGENCE MEGRINE"/>
    <s v="TND"/>
    <n v="37000"/>
    <n v="1"/>
    <n v="37000"/>
    <x v="1"/>
    <d v="2022-09-10T00:00:00"/>
    <n v="0"/>
    <d v="2022-09-10T00:00:00"/>
    <n v="-25"/>
    <s v="W37_2022"/>
    <x v="0"/>
  </r>
  <r>
    <x v="0"/>
    <x v="332"/>
    <m/>
    <x v="0"/>
    <s v="CASH"/>
    <s v="II. Receipts form Clients - non matured"/>
    <s v="Espece"/>
    <s v="Sales of batteries - local"/>
    <s v="AGENCE MEGRINE"/>
    <s v="TND"/>
    <n v="35000"/>
    <n v="1"/>
    <n v="35000"/>
    <x v="1"/>
    <d v="2022-09-17T00:00:00"/>
    <n v="0"/>
    <d v="2022-09-17T00:00:00"/>
    <n v="-32"/>
    <s v="W38_2022"/>
    <x v="0"/>
  </r>
  <r>
    <x v="0"/>
    <x v="332"/>
    <m/>
    <x v="0"/>
    <s v="CASH"/>
    <s v="II. Receipts form Clients - non matured"/>
    <s v="Espece"/>
    <s v="Sales of batteries - local"/>
    <s v="AGENCE MEGRINE"/>
    <s v="TND"/>
    <n v="43000"/>
    <n v="1"/>
    <n v="43000"/>
    <x v="1"/>
    <d v="2022-09-24T00:00:00"/>
    <n v="0"/>
    <d v="2022-09-24T00:00:00"/>
    <n v="-39"/>
    <s v="W39_2022"/>
    <x v="0"/>
  </r>
  <r>
    <x v="0"/>
    <x v="332"/>
    <m/>
    <x v="0"/>
    <s v="CASH"/>
    <s v="II. Receipts form Clients - non matured"/>
    <s v="Espece"/>
    <s v="Sales of batteries - local"/>
    <s v="AGENCE MEGRINE"/>
    <s v="TND"/>
    <n v="32000"/>
    <n v="1"/>
    <n v="32000"/>
    <x v="1"/>
    <d v="2022-10-01T00:00:00"/>
    <n v="0"/>
    <d v="2022-10-01T00:00:00"/>
    <n v="-46"/>
    <s v="W40_2022"/>
    <x v="0"/>
  </r>
  <r>
    <x v="0"/>
    <x v="332"/>
    <m/>
    <x v="0"/>
    <s v="CASH"/>
    <s v="II. Receipts form Clients - non matured"/>
    <s v="Espece"/>
    <s v="Sales of batteries - local"/>
    <s v="AUTRE AGENCE"/>
    <s v="TND"/>
    <n v="100000"/>
    <n v="1"/>
    <n v="100000"/>
    <x v="1"/>
    <d v="2022-09-03T00:00:00"/>
    <n v="0"/>
    <d v="2022-09-03T00:00:00"/>
    <n v="-18"/>
    <s v="W36_2022"/>
    <x v="0"/>
  </r>
  <r>
    <x v="0"/>
    <x v="332"/>
    <m/>
    <x v="0"/>
    <s v="CASH"/>
    <s v="II. Receipts form Clients - non matured"/>
    <s v="Espece"/>
    <s v="Sales of batteries - local"/>
    <s v="AUTRE AGENCE"/>
    <s v="TND"/>
    <n v="152000"/>
    <n v="1"/>
    <n v="152000"/>
    <x v="1"/>
    <d v="2022-09-10T00:00:00"/>
    <n v="0"/>
    <d v="2022-09-10T00:00:00"/>
    <n v="-25"/>
    <s v="W37_2022"/>
    <x v="0"/>
  </r>
  <r>
    <x v="0"/>
    <x v="332"/>
    <m/>
    <x v="0"/>
    <s v="CASH"/>
    <s v="II. Receipts form Clients - non matured"/>
    <s v="Espece"/>
    <s v="Sales of batteries - local"/>
    <s v="AUTRE AGENCE"/>
    <s v="TND"/>
    <n v="160000"/>
    <n v="1"/>
    <n v="160000"/>
    <x v="1"/>
    <d v="2022-09-17T00:00:00"/>
    <n v="0"/>
    <d v="2022-09-17T00:00:00"/>
    <n v="-32"/>
    <s v="W38_2022"/>
    <x v="0"/>
  </r>
  <r>
    <x v="0"/>
    <x v="332"/>
    <m/>
    <x v="0"/>
    <s v="CASH"/>
    <s v="II. Receipts form Clients - non matured"/>
    <s v="Espece"/>
    <s v="Sales of batteries - local"/>
    <s v="AUTRE AGENCE"/>
    <s v="TND"/>
    <n v="126000"/>
    <n v="1"/>
    <n v="126000"/>
    <x v="1"/>
    <d v="2022-09-24T00:00:00"/>
    <n v="0"/>
    <d v="2022-09-24T00:00:00"/>
    <n v="-39"/>
    <s v="W39_2022"/>
    <x v="0"/>
  </r>
  <r>
    <x v="0"/>
    <x v="332"/>
    <m/>
    <x v="0"/>
    <s v="CASH"/>
    <s v="II. Receipts form Clients - non matured"/>
    <s v="Espece"/>
    <s v="Sales of batteries - local"/>
    <s v="AUTRE AGENCE"/>
    <s v="TND"/>
    <n v="141000"/>
    <n v="1"/>
    <n v="141000"/>
    <x v="1"/>
    <d v="2022-10-01T00:00:00"/>
    <n v="0"/>
    <d v="2022-10-01T00:00:00"/>
    <n v="-46"/>
    <s v="W40_2022"/>
    <x v="0"/>
  </r>
  <r>
    <x v="1"/>
    <x v="343"/>
    <m/>
    <x v="0"/>
    <s v="CH (Cheque)"/>
    <s v="II. Receipts form Clients - non matured"/>
    <s v="Cheque"/>
    <s v="Sales of polypropilene"/>
    <m/>
    <s v="TND"/>
    <n v="100000"/>
    <n v="1"/>
    <n v="100000"/>
    <x v="1"/>
    <d v="2022-07-31T00:00:00"/>
    <n v="27"/>
    <d v="2022-08-27T00:00:00"/>
    <n v="-11"/>
    <s v="W35_2022"/>
    <x v="0"/>
  </r>
  <r>
    <x v="1"/>
    <x v="344"/>
    <s v="FN210108"/>
    <x v="1"/>
    <s v="CASH"/>
    <s v="II. Receipts form Clients - non matured"/>
    <s v="Espece"/>
    <s v="Sales of batteries - export"/>
    <d v="2021-12-24T00:00:00"/>
    <s v="EUR"/>
    <n v="73609.399999999994"/>
    <n v="0.31"/>
    <n v="237449.67741935482"/>
    <x v="0"/>
    <d v="2021-12-24T00:00:00"/>
    <n v="60"/>
    <d v="2022-02-22T00:00:00"/>
    <n v="175"/>
    <s v="W08_2022"/>
    <x v="2"/>
  </r>
  <r>
    <x v="1"/>
    <x v="344"/>
    <s v="FN220008"/>
    <x v="1"/>
    <s v="CASH"/>
    <s v="II. Receipts form Clients - non matured"/>
    <s v="Espece"/>
    <s v="Sales of batteries - export"/>
    <d v="2022-02-16T00:00:00"/>
    <s v="EUR"/>
    <n v="99796.479999999996"/>
    <n v="0.31"/>
    <n v="321924.12903225806"/>
    <x v="0"/>
    <d v="2022-02-16T00:00:00"/>
    <n v="60"/>
    <d v="2022-04-17T00:00:00"/>
    <n v="121"/>
    <s v="W16_2022"/>
    <x v="2"/>
  </r>
  <r>
    <x v="1"/>
    <x v="344"/>
    <s v="FN220014"/>
    <x v="1"/>
    <s v="CASH"/>
    <s v="II. Receipts form Clients - non matured"/>
    <s v="Espece"/>
    <s v="Sales of batteries - export"/>
    <d v="2022-03-10T00:00:00"/>
    <s v="EUR"/>
    <n v="96226.82"/>
    <n v="0.31"/>
    <n v="310409.09677419357"/>
    <x v="0"/>
    <d v="2022-03-10T00:00:00"/>
    <n v="60"/>
    <d v="2022-05-09T00:00:00"/>
    <n v="99"/>
    <s v="W19_2022"/>
    <x v="3"/>
  </r>
  <r>
    <x v="1"/>
    <x v="344"/>
    <s v="FN210108"/>
    <x v="1"/>
    <s v="CASH"/>
    <s v="VI. Other receipts"/>
    <s v="Espece"/>
    <s v="Sales of batteries - export"/>
    <d v="2021-12-24T00:00:00"/>
    <s v="EUR"/>
    <n v="73609.399999999994"/>
    <n v="0.31"/>
    <n v="237449.67741935482"/>
    <x v="1"/>
    <d v="2021-12-24T00:00:00"/>
    <n v="246"/>
    <d v="2022-08-27T00:00:00"/>
    <n v="-11"/>
    <s v="W35_2022"/>
    <x v="0"/>
  </r>
  <r>
    <x v="1"/>
    <x v="344"/>
    <s v="FN220008"/>
    <x v="1"/>
    <s v="CASH"/>
    <s v="VI. Other receipts"/>
    <s v="Espece"/>
    <s v="Sales of batteries - export"/>
    <d v="2022-02-16T00:00:00"/>
    <s v="EUR"/>
    <n v="99796.479999999996"/>
    <n v="0.31"/>
    <n v="321924.12903225806"/>
    <x v="1"/>
    <d v="2022-02-16T00:00:00"/>
    <n v="212"/>
    <d v="2022-09-16T00:00:00"/>
    <n v="-31"/>
    <s v="W37_2022"/>
    <x v="0"/>
  </r>
  <r>
    <x v="1"/>
    <x v="344"/>
    <s v="FN220014"/>
    <x v="1"/>
    <s v="CASH"/>
    <s v="VI. Other receipts"/>
    <s v="Espece"/>
    <s v="Sales of batteries - export"/>
    <d v="2022-03-10T00:00:00"/>
    <s v="EUR"/>
    <n v="96226.82"/>
    <n v="0.31"/>
    <n v="310409.09677419357"/>
    <x v="1"/>
    <d v="2022-03-10T00:00:00"/>
    <n v="197"/>
    <d v="2022-09-23T00:00:00"/>
    <n v="-38"/>
    <s v="W38_2022"/>
    <x v="0"/>
  </r>
  <r>
    <x v="1"/>
    <x v="344"/>
    <s v="FN210081"/>
    <x v="1"/>
    <s v="LC "/>
    <s v="III. Receipts form Clients - Bank transfers"/>
    <s v="Key Accounts"/>
    <s v="Sales of batteries - export"/>
    <d v="2021-10-30T00:00:00"/>
    <s v="EUR"/>
    <n v="100465.94"/>
    <n v="0.31"/>
    <n v="324083.67741935485"/>
    <x v="0"/>
    <d v="2021-10-30T00:00:00"/>
    <n v="63"/>
    <d v="2022-01-01T00:00:00"/>
    <n v="227"/>
    <s v="W01_2022"/>
    <x v="4"/>
  </r>
  <r>
    <x v="1"/>
    <x v="345"/>
    <s v="FN220013"/>
    <x v="1"/>
    <s v="VIREMENT"/>
    <s v="III. Receipts form Clients - Bank transfers"/>
    <s v="Key Accounts"/>
    <s v="Sales of batteries - export"/>
    <d v="2022-03-02T00:00:00"/>
    <s v="EUR"/>
    <n v="21235.57"/>
    <n v="0.31"/>
    <n v="68501.838709677424"/>
    <x v="0"/>
    <d v="2022-03-02T00:00:00"/>
    <n v="60"/>
    <d v="2022-05-01T00:00:00"/>
    <n v="107"/>
    <s v="W18_2022"/>
    <x v="3"/>
  </r>
  <r>
    <x v="1"/>
    <x v="345"/>
    <s v="FN220016"/>
    <x v="1"/>
    <s v="VIREMENT"/>
    <s v="III. Receipts form Clients - Bank transfers"/>
    <s v="Key Accounts"/>
    <s v="Sales of batteries - export"/>
    <d v="2022-03-16T00:00:00"/>
    <s v="EUR"/>
    <n v="23020"/>
    <n v="0.31"/>
    <n v="74258.06451612903"/>
    <x v="0"/>
    <d v="2022-03-16T00:00:00"/>
    <n v="60"/>
    <d v="2022-05-15T00:00:00"/>
    <n v="93"/>
    <s v="W20_2022"/>
    <x v="3"/>
  </r>
  <r>
    <x v="1"/>
    <x v="345"/>
    <s v="FN220022"/>
    <x v="1"/>
    <s v="VIREMENT"/>
    <s v="III. Receipts form Clients - Bank transfers"/>
    <s v="Key Accounts"/>
    <s v="Sales of batteries - export"/>
    <d v="2022-04-01T00:00:00"/>
    <s v="EUR"/>
    <n v="15884"/>
    <n v="0.31"/>
    <n v="51238.709677419356"/>
    <x v="0"/>
    <d v="2022-04-01T00:00:00"/>
    <n v="60"/>
    <d v="2022-05-31T00:00:00"/>
    <n v="77"/>
    <s v="W22_2022"/>
    <x v="5"/>
  </r>
  <r>
    <x v="1"/>
    <x v="345"/>
    <s v="FN220024"/>
    <x v="1"/>
    <s v="VIREMENT"/>
    <s v="III. Receipts form Clients - Bank transfers"/>
    <s v="Key Accounts"/>
    <s v="Sales of batteries - export"/>
    <d v="2022-04-27T00:00:00"/>
    <s v="EUR"/>
    <n v="17521"/>
    <n v="0.31"/>
    <n v="56519.354838709674"/>
    <x v="0"/>
    <d v="2022-04-27T00:00:00"/>
    <n v="60"/>
    <d v="2022-06-26T00:00:00"/>
    <n v="51"/>
    <s v="W26_2022"/>
    <x v="6"/>
  </r>
  <r>
    <x v="1"/>
    <x v="345"/>
    <s v="FN220028"/>
    <x v="1"/>
    <s v="VIREMENT"/>
    <s v="III. Receipts form Clients - Bank transfers"/>
    <s v="Key Accounts"/>
    <s v="Sales of batteries - export"/>
    <d v="2022-05-19T00:00:00"/>
    <s v="EUR"/>
    <n v="19835"/>
    <n v="0.31"/>
    <n v="63983.870967741939"/>
    <x v="0"/>
    <d v="2022-05-19T00:00:00"/>
    <n v="23"/>
    <d v="2022-06-11T00:00:00"/>
    <n v="66"/>
    <s v="W24_2022"/>
    <x v="5"/>
  </r>
  <r>
    <x v="1"/>
    <x v="345"/>
    <s v="FN220035"/>
    <x v="1"/>
    <s v="VIREMENT"/>
    <s v="III. Receipts form Clients - Bank transfers"/>
    <s v="Key Accounts"/>
    <s v="Sales of batteries - export"/>
    <d v="2022-06-08T00:00:00"/>
    <s v="EUR"/>
    <n v="15019.5"/>
    <n v="0.31"/>
    <n v="48450"/>
    <x v="0"/>
    <d v="2022-06-08T00:00:00"/>
    <n v="60"/>
    <d v="2022-08-07T00:00:00"/>
    <n v="9"/>
    <s v="W32_2022"/>
    <x v="7"/>
  </r>
  <r>
    <x v="1"/>
    <x v="344"/>
    <s v="FN220050"/>
    <x v="1"/>
    <s v="LC "/>
    <s v="III. Receipts form Clients - Bank transfers"/>
    <s v="Key Accounts"/>
    <s v="Sales of batteries - export"/>
    <d v="2022-07-11T00:00:00"/>
    <s v="EUR"/>
    <n v="98603.56"/>
    <n v="0.31"/>
    <n v="318076"/>
    <x v="0"/>
    <d v="2022-07-11T00:00:00"/>
    <n v="60"/>
    <d v="2022-09-09T00:00:00"/>
    <n v="-24"/>
    <s v="W36_2022"/>
    <x v="0"/>
  </r>
  <r>
    <x v="1"/>
    <x v="346"/>
    <s v="FN220046"/>
    <x v="1"/>
    <s v="VIREMENT"/>
    <s v="IV. Receipts from intergroup companies"/>
    <s v="Monbat AD"/>
    <s v="Sales of batteries - export"/>
    <d v="2022-07-11T00:00:00"/>
    <s v="EUR"/>
    <n v="43552.74"/>
    <n v="0.31"/>
    <n v="140492.70967741936"/>
    <x v="0"/>
    <d v="2022-07-11T00:00:00"/>
    <n v="60"/>
    <d v="2022-09-09T00:00:00"/>
    <n v="-24"/>
    <s v="W36_2022"/>
    <x v="0"/>
  </r>
  <r>
    <x v="1"/>
    <x v="346"/>
    <s v="FN220047"/>
    <x v="1"/>
    <s v="VIREMENT"/>
    <s v="IV. Receipts from intergroup companies"/>
    <s v="Monbat AD"/>
    <s v="Sales of batteries - export"/>
    <d v="2022-07-11T00:00:00"/>
    <s v="EUR"/>
    <n v="43195.28"/>
    <n v="0.31"/>
    <n v="139339.61290322582"/>
    <x v="0"/>
    <d v="2022-07-11T00:00:00"/>
    <n v="60"/>
    <d v="2022-09-09T00:00:00"/>
    <n v="-24"/>
    <s v="W36_2022"/>
    <x v="0"/>
  </r>
  <r>
    <x v="1"/>
    <x v="346"/>
    <s v="FN220048"/>
    <x v="1"/>
    <s v="VIREMENT"/>
    <s v="IV. Receipts from intergroup companies"/>
    <s v="Monbat AD"/>
    <s v="Sales of batteries - export"/>
    <d v="2022-07-11T00:00:00"/>
    <s v="EUR"/>
    <n v="41452.54"/>
    <n v="0.31"/>
    <n v="133717.87096774194"/>
    <x v="0"/>
    <d v="2022-07-11T00:00:00"/>
    <n v="60"/>
    <d v="2022-09-09T00:00:00"/>
    <n v="-24"/>
    <s v="W36_2022"/>
    <x v="0"/>
  </r>
  <r>
    <x v="1"/>
    <x v="346"/>
    <s v="FN220049"/>
    <x v="1"/>
    <s v="VIREMENT"/>
    <s v="IV. Receipts from intergroup companies"/>
    <s v="Monbat AD"/>
    <s v="Sales of batteries - export"/>
    <d v="2022-07-11T00:00:00"/>
    <s v="EUR"/>
    <n v="1207.7"/>
    <n v="0.31"/>
    <n v="3895.8064516129034"/>
    <x v="0"/>
    <d v="2022-07-11T00:00:00"/>
    <n v="60"/>
    <d v="2022-09-09T00:00:00"/>
    <n v="-24"/>
    <s v="W36_2022"/>
    <x v="0"/>
  </r>
  <r>
    <x v="1"/>
    <x v="344"/>
    <s v="FN210081"/>
    <x v="1"/>
    <s v="LC "/>
    <s v="VI. Other receipts"/>
    <s v="Virement"/>
    <s v="Sales of batteries - export"/>
    <d v="2021-10-30T00:00:00"/>
    <s v="EUR"/>
    <n v="100465.94"/>
    <n v="0.31"/>
    <n v="324083.67741935485"/>
    <x v="1"/>
    <d v="2021-10-30T00:00:00"/>
    <n v="301"/>
    <d v="2022-08-27T00:00:00"/>
    <n v="-11"/>
    <s v="W35_2022"/>
    <x v="0"/>
  </r>
  <r>
    <x v="1"/>
    <x v="345"/>
    <s v="FN220013"/>
    <x v="1"/>
    <s v="VIREMENT"/>
    <s v="VI. Other receipts"/>
    <s v="Virement"/>
    <s v="Sales of batteries - export"/>
    <d v="2022-03-02T00:00:00"/>
    <s v="EUR"/>
    <n v="21235.57"/>
    <n v="0.31"/>
    <n v="68501.838709677424"/>
    <x v="1"/>
    <d v="2022-03-02T00:00:00"/>
    <n v="212"/>
    <d v="2022-09-30T00:00:00"/>
    <n v="-45"/>
    <s v="W39_2022"/>
    <x v="0"/>
  </r>
  <r>
    <x v="1"/>
    <x v="345"/>
    <s v="FN220016"/>
    <x v="1"/>
    <s v="VIREMENT"/>
    <s v="VI. Other receipts"/>
    <s v="Virement"/>
    <s v="Sales of batteries - export"/>
    <d v="2022-03-16T00:00:00"/>
    <s v="EUR"/>
    <n v="23020"/>
    <n v="0.31"/>
    <n v="74258.06451612903"/>
    <x v="1"/>
    <d v="2022-03-16T00:00:00"/>
    <n v="259"/>
    <d v="2022-11-30T00:00:00"/>
    <n v="-106"/>
    <s v="W48_2022"/>
    <x v="0"/>
  </r>
  <r>
    <x v="1"/>
    <x v="345"/>
    <s v="FN220022"/>
    <x v="1"/>
    <s v="VIREMENT"/>
    <s v="VI. Other receipts"/>
    <s v="Virement"/>
    <s v="Sales of batteries - export"/>
    <d v="2022-04-01T00:00:00"/>
    <s v="EUR"/>
    <n v="15884"/>
    <n v="0.31"/>
    <n v="51238.709677419356"/>
    <x v="1"/>
    <d v="2022-04-01T00:00:00"/>
    <n v="274"/>
    <d v="2022-12-31T00:00:00"/>
    <n v="-137"/>
    <s v="W01_2023"/>
    <x v="0"/>
  </r>
  <r>
    <x v="1"/>
    <x v="345"/>
    <s v="FN220024"/>
    <x v="1"/>
    <s v="VIREMENT"/>
    <s v="VI. Other receipts"/>
    <s v="Virement"/>
    <s v="Sales of batteries - export"/>
    <d v="2022-04-27T00:00:00"/>
    <s v="EUR"/>
    <n v="17521"/>
    <n v="0.31"/>
    <n v="56519.354838709674"/>
    <x v="1"/>
    <d v="2022-04-27T00:00:00"/>
    <n v="279"/>
    <d v="2023-01-31T00:00:00"/>
    <n v="-168"/>
    <s v="W05_2023"/>
    <x v="0"/>
  </r>
  <r>
    <x v="1"/>
    <x v="345"/>
    <s v="FN220028"/>
    <x v="1"/>
    <s v="VIREMENT"/>
    <s v="VI. Other receipts"/>
    <s v="Virement"/>
    <s v="Sales of batteries - export"/>
    <d v="2022-05-19T00:00:00"/>
    <s v="EUR"/>
    <n v="19835"/>
    <n v="0.31"/>
    <n v="63983.870967741939"/>
    <x v="1"/>
    <d v="2022-05-19T00:00:00"/>
    <n v="285"/>
    <d v="2023-02-28T00:00:00"/>
    <n v="-196"/>
    <s v="W09_2023"/>
    <x v="0"/>
  </r>
  <r>
    <x v="1"/>
    <x v="347"/>
    <s v="PREVISIONNEL"/>
    <x v="1"/>
    <s v="VIREMENT"/>
    <s v="VI. Other receipts"/>
    <s v="Virement"/>
    <s v="Sales of batteries - export"/>
    <s v="PREVISONNEL"/>
    <s v="EUR"/>
    <n v="16000"/>
    <n v="0.31"/>
    <n v="51612.903225806454"/>
    <x v="1"/>
    <d v="2022-08-11T00:00:00"/>
    <n v="20"/>
    <d v="2022-08-31T00:00:00"/>
    <n v="-15"/>
    <s v="W35_2022"/>
    <x v="0"/>
  </r>
  <r>
    <x v="1"/>
    <x v="348"/>
    <s v="PREVISIONNEL"/>
    <x v="1"/>
    <s v="VIREMENT"/>
    <s v="VI. Other receipts"/>
    <s v="Virement"/>
    <s v="Sales of batteries - export"/>
    <s v="PREVISONNEL"/>
    <s v="EUR"/>
    <n v="95000"/>
    <n v="0.31"/>
    <n v="306451.61290322582"/>
    <x v="1"/>
    <d v="2022-09-15T00:00:00"/>
    <n v="14"/>
    <d v="2022-09-29T00:00:00"/>
    <n v="-44"/>
    <s v="W39_2022"/>
    <x v="0"/>
  </r>
  <r>
    <x v="2"/>
    <x v="349"/>
    <m/>
    <x v="2"/>
    <m/>
    <m/>
    <m/>
    <m/>
    <m/>
    <m/>
    <m/>
    <m/>
    <m/>
    <x v="2"/>
    <m/>
    <m/>
    <m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FDE34B-0914-4796-8A29-50CEDCF22E63}" name="PivotTable3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A3:K350" firstHeaderRow="1" firstDataRow="2" firstDataCol="3" rowPageCount="1" colPageCount="1"/>
  <pivotFields count="20">
    <pivotField axis="axisRow" compact="0" outline="0" showAll="0" defaultSubtotal="0">
      <items count="3">
        <item x="1"/>
        <item x="0"/>
        <item x="2"/>
      </items>
    </pivotField>
    <pivotField axis="axisRow" compact="0" outline="0" showAll="0" defaultSubtotal="0">
      <items count="455">
        <item sd="0" m="1" x="361"/>
        <item sd="0" m="1" x="444"/>
        <item sd="0" m="1" x="425"/>
        <item sd="0" m="1" x="406"/>
        <item m="1" x="377"/>
        <item x="349"/>
        <item m="1" x="405"/>
        <item x="345"/>
        <item m="1" x="420"/>
        <item m="1" x="371"/>
        <item x="0"/>
        <item m="1" x="369"/>
        <item m="1" x="448"/>
        <item x="75"/>
        <item x="188"/>
        <item m="1" x="363"/>
        <item x="129"/>
        <item x="144"/>
        <item x="74"/>
        <item x="6"/>
        <item x="238"/>
        <item m="1" x="443"/>
        <item m="1" x="366"/>
        <item x="149"/>
        <item x="306"/>
        <item x="33"/>
        <item x="214"/>
        <item x="240"/>
        <item x="7"/>
        <item x="70"/>
        <item m="1" x="421"/>
        <item x="61"/>
        <item m="1" x="418"/>
        <item m="1" x="434"/>
        <item x="125"/>
        <item x="79"/>
        <item x="151"/>
        <item x="173"/>
        <item x="97"/>
        <item x="227"/>
        <item x="101"/>
        <item x="222"/>
        <item x="57"/>
        <item x="333"/>
        <item x="71"/>
        <item x="294"/>
        <item x="179"/>
        <item x="177"/>
        <item x="59"/>
        <item x="60"/>
        <item x="325"/>
        <item x="49"/>
        <item x="63"/>
        <item x="174"/>
        <item x="328"/>
        <item x="330"/>
        <item x="110"/>
        <item x="107"/>
        <item x="108"/>
        <item x="58"/>
        <item x="41"/>
        <item x="50"/>
        <item x="329"/>
        <item x="186"/>
        <item x="44"/>
        <item x="183"/>
        <item x="184"/>
        <item x="264"/>
        <item x="147"/>
        <item x="202"/>
        <item x="155"/>
        <item x="201"/>
        <item x="29"/>
        <item x="152"/>
        <item m="1" x="452"/>
        <item x="250"/>
        <item x="18"/>
        <item x="206"/>
        <item x="157"/>
        <item x="89"/>
        <item x="288"/>
        <item m="1" x="447"/>
        <item x="156"/>
        <item x="19"/>
        <item x="163"/>
        <item x="165"/>
        <item x="32"/>
        <item x="269"/>
        <item x="122"/>
        <item x="207"/>
        <item x="167"/>
        <item m="1" x="449"/>
        <item m="1" x="383"/>
        <item m="1" x="416"/>
        <item x="252"/>
        <item x="93"/>
        <item m="1" x="376"/>
        <item x="169"/>
        <item x="13"/>
        <item x="95"/>
        <item x="171"/>
        <item x="146"/>
        <item m="1" x="373"/>
        <item x="299"/>
        <item x="189"/>
        <item x="85"/>
        <item x="303"/>
        <item x="26"/>
        <item m="1" x="387"/>
        <item x="99"/>
        <item x="62"/>
        <item x="69"/>
        <item x="178"/>
        <item x="324"/>
        <item m="1" x="402"/>
        <item m="1" x="359"/>
        <item x="221"/>
        <item x="223"/>
        <item x="104"/>
        <item x="176"/>
        <item x="336"/>
        <item x="66"/>
        <item x="65"/>
        <item x="38"/>
        <item x="230"/>
        <item x="105"/>
        <item x="225"/>
        <item x="182"/>
        <item x="181"/>
        <item x="111"/>
        <item m="1" x="390"/>
        <item x="323"/>
        <item m="1" x="384"/>
        <item x="9"/>
        <item x="203"/>
        <item x="16"/>
        <item x="15"/>
        <item m="1" x="442"/>
        <item m="1" x="362"/>
        <item x="319"/>
        <item x="205"/>
        <item x="30"/>
        <item x="17"/>
        <item x="91"/>
        <item m="1" x="433"/>
        <item m="1" x="435"/>
        <item x="210"/>
        <item x="209"/>
        <item x="289"/>
        <item x="216"/>
        <item x="213"/>
        <item x="23"/>
        <item x="168"/>
        <item x="96"/>
        <item x="215"/>
        <item x="217"/>
        <item x="291"/>
        <item x="86"/>
        <item x="170"/>
        <item m="1" x="427"/>
        <item x="232"/>
        <item x="233"/>
        <item x="77"/>
        <item x="331"/>
        <item x="115"/>
        <item x="236"/>
        <item x="305"/>
        <item x="118"/>
        <item m="1" x="417"/>
        <item x="193"/>
        <item x="235"/>
        <item x="190"/>
        <item x="116"/>
        <item x="239"/>
        <item x="121"/>
        <item x="114"/>
        <item x="191"/>
        <item m="1" x="454"/>
        <item m="1" x="429"/>
        <item m="1" x="410"/>
        <item m="1" x="446"/>
        <item m="1" x="391"/>
        <item m="1" x="413"/>
        <item m="1" x="392"/>
        <item m="1" x="432"/>
        <item m="1" x="411"/>
        <item m="1" x="400"/>
        <item m="1" x="354"/>
        <item m="1" x="441"/>
        <item m="1" x="372"/>
        <item m="1" x="419"/>
        <item x="31"/>
        <item x="187"/>
        <item m="1" x="422"/>
        <item m="1" x="364"/>
        <item x="11"/>
        <item x="68"/>
        <item x="126"/>
        <item x="8"/>
        <item x="14"/>
        <item x="20"/>
        <item m="1" x="368"/>
        <item m="1" x="424"/>
        <item x="255"/>
        <item x="334"/>
        <item x="245"/>
        <item x="254"/>
        <item m="1" x="399"/>
        <item x="253"/>
        <item x="133"/>
        <item m="1" x="412"/>
        <item x="259"/>
        <item x="82"/>
        <item x="112"/>
        <item x="278"/>
        <item m="1" x="408"/>
        <item x="263"/>
        <item x="102"/>
        <item x="34"/>
        <item x="94"/>
        <item x="12"/>
        <item x="80"/>
        <item x="28"/>
        <item x="145"/>
        <item x="248"/>
        <item x="267"/>
        <item x="123"/>
        <item m="1" x="407"/>
        <item x="88"/>
        <item x="1"/>
        <item x="73"/>
        <item x="164"/>
        <item m="1" x="360"/>
        <item x="338"/>
        <item x="292"/>
        <item x="274"/>
        <item x="272"/>
        <item x="277"/>
        <item x="100"/>
        <item m="1" x="404"/>
        <item x="275"/>
        <item m="1" x="397"/>
        <item x="273"/>
        <item x="136"/>
        <item x="43"/>
        <item x="113"/>
        <item x="78"/>
        <item x="195"/>
        <item x="119"/>
        <item x="138"/>
        <item x="281"/>
        <item x="120"/>
        <item x="301"/>
        <item x="10"/>
        <item x="212"/>
        <item m="1" x="389"/>
        <item x="21"/>
        <item x="161"/>
        <item x="22"/>
        <item x="322"/>
        <item x="131"/>
        <item x="270"/>
        <item x="300"/>
        <item x="295"/>
        <item x="271"/>
        <item m="1" x="415"/>
        <item x="298"/>
        <item x="24"/>
        <item x="293"/>
        <item x="297"/>
        <item x="25"/>
        <item m="1" x="365"/>
        <item m="1" x="438"/>
        <item x="27"/>
        <item x="76"/>
        <item x="81"/>
        <item x="55"/>
        <item x="83"/>
        <item x="84"/>
        <item x="90"/>
        <item x="92"/>
        <item x="98"/>
        <item x="103"/>
        <item x="106"/>
        <item x="109"/>
        <item x="4"/>
        <item x="117"/>
        <item x="124"/>
        <item x="127"/>
        <item x="130"/>
        <item x="132"/>
        <item x="134"/>
        <item x="45"/>
        <item x="135"/>
        <item x="137"/>
        <item x="139"/>
        <item x="140"/>
        <item x="142"/>
        <item x="143"/>
        <item x="148"/>
        <item x="150"/>
        <item x="153"/>
        <item x="154"/>
        <item x="158"/>
        <item x="159"/>
        <item x="160"/>
        <item x="162"/>
        <item x="166"/>
        <item x="172"/>
        <item x="175"/>
        <item x="180"/>
        <item x="46"/>
        <item x="185"/>
        <item x="192"/>
        <item x="194"/>
        <item x="199"/>
        <item x="200"/>
        <item x="204"/>
        <item x="208"/>
        <item x="211"/>
        <item x="64"/>
        <item x="218"/>
        <item x="219"/>
        <item x="220"/>
        <item x="224"/>
        <item x="226"/>
        <item x="67"/>
        <item x="228"/>
        <item x="229"/>
        <item x="231"/>
        <item x="51"/>
        <item x="234"/>
        <item x="237"/>
        <item x="241"/>
        <item x="242"/>
        <item x="244"/>
        <item x="246"/>
        <item x="249"/>
        <item x="251"/>
        <item x="256"/>
        <item x="56"/>
        <item x="257"/>
        <item x="258"/>
        <item x="260"/>
        <item x="261"/>
        <item x="262"/>
        <item x="265"/>
        <item x="268"/>
        <item x="276"/>
        <item x="280"/>
        <item x="282"/>
        <item x="283"/>
        <item x="284"/>
        <item x="287"/>
        <item x="290"/>
        <item x="296"/>
        <item x="302"/>
        <item x="304"/>
        <item x="53"/>
        <item x="307"/>
        <item x="308"/>
        <item x="309"/>
        <item x="311"/>
        <item x="314"/>
        <item x="315"/>
        <item x="318"/>
        <item x="320"/>
        <item x="321"/>
        <item x="326"/>
        <item x="327"/>
        <item x="337"/>
        <item x="340"/>
        <item x="341"/>
        <item m="1" x="440"/>
        <item m="1" x="453"/>
        <item m="1" x="401"/>
        <item m="1" x="451"/>
        <item m="1" x="374"/>
        <item m="1" x="394"/>
        <item m="1" x="388"/>
        <item m="1" x="367"/>
        <item m="1" x="431"/>
        <item m="1" x="423"/>
        <item m="1" x="430"/>
        <item m="1" x="395"/>
        <item x="332"/>
        <item m="1" x="403"/>
        <item m="1" x="436"/>
        <item m="1" x="437"/>
        <item m="1" x="385"/>
        <item m="1" x="380"/>
        <item m="1" x="356"/>
        <item m="1" x="426"/>
        <item m="1" x="378"/>
        <item m="1" x="396"/>
        <item m="1" x="393"/>
        <item m="1" x="409"/>
        <item m="1" x="375"/>
        <item m="1" x="350"/>
        <item m="1" x="414"/>
        <item m="1" x="353"/>
        <item m="1" x="445"/>
        <item m="1" x="379"/>
        <item m="1" x="358"/>
        <item m="1" x="370"/>
        <item m="1" x="382"/>
        <item m="1" x="428"/>
        <item m="1" x="386"/>
        <item m="1" x="398"/>
        <item m="1" x="439"/>
        <item m="1" x="357"/>
        <item m="1" x="450"/>
        <item m="1" x="352"/>
        <item m="1" x="355"/>
        <item m="1" x="351"/>
        <item m="1" x="381"/>
        <item x="344"/>
        <item x="346"/>
        <item x="343"/>
        <item x="2"/>
        <item x="3"/>
        <item x="5"/>
        <item x="35"/>
        <item x="36"/>
        <item x="37"/>
        <item x="39"/>
        <item x="40"/>
        <item x="42"/>
        <item x="47"/>
        <item x="48"/>
        <item x="52"/>
        <item x="54"/>
        <item x="72"/>
        <item x="87"/>
        <item x="128"/>
        <item x="141"/>
        <item x="196"/>
        <item x="197"/>
        <item x="198"/>
        <item x="243"/>
        <item x="247"/>
        <item x="266"/>
        <item x="279"/>
        <item x="285"/>
        <item x="286"/>
        <item x="310"/>
        <item x="312"/>
        <item x="313"/>
        <item x="316"/>
        <item x="317"/>
        <item x="335"/>
        <item x="339"/>
        <item x="342"/>
        <item x="347"/>
        <item x="348"/>
      </items>
    </pivotField>
    <pivotField compact="0" outline="0" showAll="0" defaultSubtotal="0"/>
    <pivotField axis="axisRow" compact="0" outline="0" showAll="0" defaultSubtotal="0">
      <items count="4">
        <item x="0"/>
        <item m="1" x="3"/>
        <item x="2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axis="axisPage" compact="0" outline="0" multipleItemSelectionAllowed="1" showAll="0" defaultSubtotal="0">
      <items count="3">
        <item x="0"/>
        <item h="1" x="1"/>
        <item h="1" x="2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Col" compact="0" outline="0" showAll="0" defaultSubtotal="0">
      <items count="9">
        <item x="0"/>
        <item x="7"/>
        <item x="1"/>
        <item x="6"/>
        <item x="5"/>
        <item x="3"/>
        <item x="2"/>
        <item x="4"/>
        <item m="1" x="8"/>
      </items>
    </pivotField>
  </pivotFields>
  <rowFields count="3">
    <field x="0"/>
    <field x="1"/>
    <field x="3"/>
  </rowFields>
  <rowItems count="346">
    <i>
      <x/>
      <x v="7"/>
      <x v="3"/>
    </i>
    <i r="1">
      <x v="416"/>
      <x v="3"/>
    </i>
    <i r="1">
      <x v="417"/>
      <x v="3"/>
    </i>
    <i>
      <x v="1"/>
      <x v="10"/>
      <x/>
    </i>
    <i r="1">
      <x v="13"/>
      <x/>
    </i>
    <i r="1">
      <x v="14"/>
      <x/>
    </i>
    <i r="1">
      <x v="16"/>
      <x/>
    </i>
    <i r="1">
      <x v="17"/>
      <x/>
    </i>
    <i r="1">
      <x v="18"/>
      <x/>
    </i>
    <i r="1">
      <x v="19"/>
      <x/>
    </i>
    <i r="1">
      <x v="20"/>
      <x/>
    </i>
    <i r="1">
      <x v="23"/>
      <x/>
    </i>
    <i r="1">
      <x v="24"/>
      <x/>
    </i>
    <i r="1">
      <x v="25"/>
      <x/>
    </i>
    <i r="1">
      <x v="26"/>
      <x/>
    </i>
    <i r="1">
      <x v="27"/>
      <x/>
    </i>
    <i r="1">
      <x v="28"/>
      <x/>
    </i>
    <i r="1">
      <x v="29"/>
      <x/>
    </i>
    <i r="1">
      <x v="31"/>
      <x/>
    </i>
    <i r="1">
      <x v="34"/>
      <x/>
    </i>
    <i r="1">
      <x v="35"/>
      <x/>
    </i>
    <i r="1">
      <x v="36"/>
      <x/>
    </i>
    <i r="1">
      <x v="37"/>
      <x/>
    </i>
    <i r="1">
      <x v="38"/>
      <x/>
    </i>
    <i r="1">
      <x v="39"/>
      <x/>
    </i>
    <i r="1">
      <x v="40"/>
      <x/>
    </i>
    <i r="1">
      <x v="41"/>
      <x/>
    </i>
    <i r="1">
      <x v="42"/>
      <x/>
    </i>
    <i r="1">
      <x v="43"/>
      <x/>
    </i>
    <i r="1">
      <x v="44"/>
      <x/>
    </i>
    <i r="1">
      <x v="45"/>
      <x/>
    </i>
    <i r="1">
      <x v="46"/>
      <x/>
    </i>
    <i r="1">
      <x v="47"/>
      <x/>
    </i>
    <i r="1">
      <x v="48"/>
      <x/>
    </i>
    <i r="1">
      <x v="49"/>
      <x/>
    </i>
    <i r="1">
      <x v="50"/>
      <x/>
    </i>
    <i r="1">
      <x v="51"/>
      <x/>
    </i>
    <i r="1">
      <x v="52"/>
      <x/>
    </i>
    <i r="1">
      <x v="53"/>
      <x/>
    </i>
    <i r="1">
      <x v="54"/>
      <x/>
    </i>
    <i r="1">
      <x v="55"/>
      <x/>
    </i>
    <i r="1">
      <x v="56"/>
      <x/>
    </i>
    <i r="1">
      <x v="57"/>
      <x/>
    </i>
    <i r="1">
      <x v="58"/>
      <x/>
    </i>
    <i r="1">
      <x v="59"/>
      <x/>
    </i>
    <i r="1">
      <x v="60"/>
      <x/>
    </i>
    <i r="1">
      <x v="61"/>
      <x/>
    </i>
    <i r="1">
      <x v="62"/>
      <x/>
    </i>
    <i r="1">
      <x v="63"/>
      <x/>
    </i>
    <i r="1">
      <x v="64"/>
      <x/>
    </i>
    <i r="1">
      <x v="65"/>
      <x/>
    </i>
    <i r="1">
      <x v="66"/>
      <x/>
    </i>
    <i r="1">
      <x v="67"/>
      <x/>
    </i>
    <i r="1">
      <x v="68"/>
      <x/>
    </i>
    <i r="1">
      <x v="69"/>
      <x/>
    </i>
    <i r="1">
      <x v="70"/>
      <x/>
    </i>
    <i r="1">
      <x v="71"/>
      <x/>
    </i>
    <i r="1">
      <x v="72"/>
      <x/>
    </i>
    <i r="1">
      <x v="73"/>
      <x/>
    </i>
    <i r="1">
      <x v="75"/>
      <x/>
    </i>
    <i r="1">
      <x v="76"/>
      <x/>
    </i>
    <i r="1">
      <x v="77"/>
      <x/>
    </i>
    <i r="1">
      <x v="78"/>
      <x/>
    </i>
    <i r="1">
      <x v="79"/>
      <x/>
    </i>
    <i r="1">
      <x v="80"/>
      <x/>
    </i>
    <i r="1">
      <x v="82"/>
      <x/>
    </i>
    <i r="1">
      <x v="83"/>
      <x/>
    </i>
    <i r="1">
      <x v="84"/>
      <x/>
    </i>
    <i r="1">
      <x v="85"/>
      <x/>
    </i>
    <i r="1">
      <x v="86"/>
      <x/>
    </i>
    <i r="1">
      <x v="87"/>
      <x/>
    </i>
    <i r="1">
      <x v="88"/>
      <x/>
    </i>
    <i r="1">
      <x v="89"/>
      <x/>
    </i>
    <i r="1">
      <x v="90"/>
      <x/>
    </i>
    <i r="1">
      <x v="94"/>
      <x/>
    </i>
    <i r="1">
      <x v="95"/>
      <x/>
    </i>
    <i r="1">
      <x v="97"/>
      <x/>
    </i>
    <i r="1">
      <x v="98"/>
      <x/>
    </i>
    <i r="1">
      <x v="99"/>
      <x/>
    </i>
    <i r="1">
      <x v="100"/>
      <x/>
    </i>
    <i r="1">
      <x v="101"/>
      <x/>
    </i>
    <i r="1">
      <x v="103"/>
      <x/>
    </i>
    <i r="1">
      <x v="104"/>
      <x/>
    </i>
    <i r="1">
      <x v="105"/>
      <x/>
    </i>
    <i r="1">
      <x v="106"/>
      <x/>
    </i>
    <i r="1">
      <x v="107"/>
      <x/>
    </i>
    <i r="1">
      <x v="109"/>
      <x/>
    </i>
    <i r="1">
      <x v="110"/>
      <x/>
    </i>
    <i r="1">
      <x v="111"/>
      <x/>
    </i>
    <i r="1">
      <x v="112"/>
      <x/>
    </i>
    <i r="1">
      <x v="113"/>
      <x/>
    </i>
    <i r="1">
      <x v="116"/>
      <x/>
    </i>
    <i r="1">
      <x v="117"/>
      <x/>
    </i>
    <i r="1">
      <x v="118"/>
      <x/>
    </i>
    <i r="1">
      <x v="119"/>
      <x/>
    </i>
    <i r="1">
      <x v="120"/>
      <x/>
    </i>
    <i r="1">
      <x v="121"/>
      <x/>
    </i>
    <i r="1">
      <x v="122"/>
      <x/>
    </i>
    <i r="1">
      <x v="123"/>
      <x/>
    </i>
    <i r="1">
      <x v="124"/>
      <x/>
    </i>
    <i r="1">
      <x v="125"/>
      <x/>
    </i>
    <i r="1">
      <x v="126"/>
      <x/>
    </i>
    <i r="1">
      <x v="127"/>
      <x/>
    </i>
    <i r="1">
      <x v="128"/>
      <x/>
    </i>
    <i r="1">
      <x v="129"/>
      <x/>
    </i>
    <i r="1">
      <x v="131"/>
      <x/>
    </i>
    <i r="1">
      <x v="133"/>
      <x/>
    </i>
    <i r="1">
      <x v="134"/>
      <x/>
    </i>
    <i r="1">
      <x v="135"/>
      <x/>
    </i>
    <i r="1">
      <x v="136"/>
      <x/>
    </i>
    <i r="1">
      <x v="139"/>
      <x/>
    </i>
    <i r="1">
      <x v="140"/>
      <x/>
    </i>
    <i r="1">
      <x v="141"/>
      <x/>
    </i>
    <i r="1">
      <x v="142"/>
      <x/>
    </i>
    <i r="1">
      <x v="143"/>
      <x/>
    </i>
    <i r="1">
      <x v="146"/>
      <x/>
    </i>
    <i r="1">
      <x v="147"/>
      <x/>
    </i>
    <i r="1">
      <x v="148"/>
      <x/>
    </i>
    <i r="1">
      <x v="149"/>
      <x/>
    </i>
    <i r="1">
      <x v="150"/>
      <x/>
    </i>
    <i r="1">
      <x v="151"/>
      <x/>
    </i>
    <i r="1">
      <x v="152"/>
      <x/>
    </i>
    <i r="1">
      <x v="153"/>
      <x/>
    </i>
    <i r="1">
      <x v="154"/>
      <x/>
    </i>
    <i r="1">
      <x v="155"/>
      <x/>
    </i>
    <i r="1">
      <x v="156"/>
      <x/>
    </i>
    <i r="1">
      <x v="157"/>
      <x/>
    </i>
    <i r="1">
      <x v="158"/>
      <x/>
    </i>
    <i r="1">
      <x v="160"/>
      <x/>
    </i>
    <i r="1">
      <x v="161"/>
      <x/>
    </i>
    <i r="1">
      <x v="162"/>
      <x/>
    </i>
    <i r="1">
      <x v="163"/>
      <x/>
    </i>
    <i r="1">
      <x v="164"/>
      <x/>
    </i>
    <i r="1">
      <x v="165"/>
      <x/>
    </i>
    <i r="1">
      <x v="166"/>
      <x/>
    </i>
    <i r="1">
      <x v="167"/>
      <x/>
    </i>
    <i r="1">
      <x v="169"/>
      <x/>
    </i>
    <i r="1">
      <x v="170"/>
      <x/>
    </i>
    <i r="1">
      <x v="171"/>
      <x/>
    </i>
    <i r="1">
      <x v="172"/>
      <x/>
    </i>
    <i r="1">
      <x v="173"/>
      <x/>
    </i>
    <i r="1">
      <x v="174"/>
      <x/>
    </i>
    <i r="1">
      <x v="175"/>
      <x/>
    </i>
    <i r="1">
      <x v="176"/>
      <x/>
    </i>
    <i r="1">
      <x v="191"/>
      <x/>
    </i>
    <i r="1">
      <x v="192"/>
      <x/>
    </i>
    <i r="1">
      <x v="195"/>
      <x/>
    </i>
    <i r="1">
      <x v="196"/>
      <x/>
    </i>
    <i r="1">
      <x v="197"/>
      <x/>
    </i>
    <i r="1">
      <x v="198"/>
      <x/>
    </i>
    <i r="1">
      <x v="199"/>
      <x/>
    </i>
    <i r="1">
      <x v="200"/>
      <x/>
    </i>
    <i r="1">
      <x v="203"/>
      <x/>
    </i>
    <i r="1">
      <x v="204"/>
      <x/>
    </i>
    <i r="1">
      <x v="205"/>
      <x/>
    </i>
    <i r="1">
      <x v="206"/>
      <x/>
    </i>
    <i r="1">
      <x v="208"/>
      <x/>
    </i>
    <i r="1">
      <x v="209"/>
      <x/>
    </i>
    <i r="1">
      <x v="211"/>
      <x/>
    </i>
    <i r="1">
      <x v="212"/>
      <x/>
    </i>
    <i r="1">
      <x v="213"/>
      <x/>
    </i>
    <i r="1">
      <x v="214"/>
      <x/>
    </i>
    <i r="1">
      <x v="216"/>
      <x/>
    </i>
    <i r="1">
      <x v="217"/>
      <x/>
    </i>
    <i r="1">
      <x v="218"/>
      <x/>
    </i>
    <i r="1">
      <x v="219"/>
      <x/>
    </i>
    <i r="1">
      <x v="220"/>
      <x/>
    </i>
    <i r="1">
      <x v="221"/>
      <x/>
    </i>
    <i r="1">
      <x v="222"/>
      <x/>
    </i>
    <i r="1">
      <x v="223"/>
      <x/>
    </i>
    <i r="1">
      <x v="224"/>
      <x/>
    </i>
    <i r="1">
      <x v="225"/>
      <x/>
    </i>
    <i r="1">
      <x v="226"/>
      <x/>
    </i>
    <i r="1">
      <x v="228"/>
      <x/>
    </i>
    <i r="1">
      <x v="229"/>
      <x/>
    </i>
    <i r="1">
      <x v="230"/>
      <x/>
    </i>
    <i r="1">
      <x v="231"/>
      <x/>
    </i>
    <i r="1">
      <x v="233"/>
      <x/>
    </i>
    <i r="1">
      <x v="234"/>
      <x/>
    </i>
    <i r="1">
      <x v="235"/>
      <x/>
    </i>
    <i r="1">
      <x v="236"/>
      <x/>
    </i>
    <i r="1">
      <x v="237"/>
      <x/>
    </i>
    <i r="1">
      <x v="238"/>
      <x/>
    </i>
    <i r="1">
      <x v="240"/>
      <x/>
    </i>
    <i r="1">
      <x v="242"/>
      <x/>
    </i>
    <i r="1">
      <x v="243"/>
      <x/>
    </i>
    <i r="1">
      <x v="244"/>
      <x/>
    </i>
    <i r="1">
      <x v="245"/>
      <x/>
    </i>
    <i r="1">
      <x v="246"/>
      <x/>
    </i>
    <i r="1">
      <x v="247"/>
      <x/>
    </i>
    <i r="1">
      <x v="248"/>
      <x/>
    </i>
    <i r="1">
      <x v="249"/>
      <x/>
    </i>
    <i r="1">
      <x v="250"/>
      <x/>
    </i>
    <i r="1">
      <x v="251"/>
      <x/>
    </i>
    <i r="1">
      <x v="252"/>
      <x/>
    </i>
    <i r="1">
      <x v="253"/>
      <x/>
    </i>
    <i r="1">
      <x v="254"/>
      <x/>
    </i>
    <i r="1">
      <x v="256"/>
      <x/>
    </i>
    <i r="1">
      <x v="257"/>
      <x/>
    </i>
    <i r="1">
      <x v="258"/>
      <x/>
    </i>
    <i r="1">
      <x v="259"/>
      <x/>
    </i>
    <i r="1">
      <x v="260"/>
      <x/>
    </i>
    <i r="1">
      <x v="261"/>
      <x/>
    </i>
    <i r="1">
      <x v="262"/>
      <x/>
    </i>
    <i r="1">
      <x v="263"/>
      <x/>
    </i>
    <i r="1">
      <x v="264"/>
      <x/>
    </i>
    <i r="1">
      <x v="266"/>
      <x/>
    </i>
    <i r="1">
      <x v="267"/>
      <x/>
    </i>
    <i r="1">
      <x v="268"/>
      <x/>
    </i>
    <i r="1">
      <x v="269"/>
      <x/>
    </i>
    <i r="1">
      <x v="270"/>
      <x/>
    </i>
    <i r="1">
      <x v="273"/>
      <x/>
    </i>
    <i r="1">
      <x v="274"/>
      <x/>
    </i>
    <i r="1">
      <x v="275"/>
      <x/>
    </i>
    <i r="1">
      <x v="276"/>
      <x/>
    </i>
    <i r="1">
      <x v="277"/>
      <x/>
    </i>
    <i r="1">
      <x v="278"/>
      <x/>
    </i>
    <i r="1">
      <x v="279"/>
      <x/>
    </i>
    <i r="1">
      <x v="280"/>
      <x/>
    </i>
    <i r="1">
      <x v="281"/>
      <x/>
    </i>
    <i r="1">
      <x v="282"/>
      <x/>
    </i>
    <i r="1">
      <x v="283"/>
      <x/>
    </i>
    <i r="1">
      <x v="284"/>
      <x/>
    </i>
    <i r="1">
      <x v="285"/>
      <x/>
    </i>
    <i r="1">
      <x v="286"/>
      <x/>
    </i>
    <i r="1">
      <x v="287"/>
      <x/>
    </i>
    <i r="1">
      <x v="288"/>
      <x/>
    </i>
    <i r="1">
      <x v="289"/>
      <x/>
    </i>
    <i r="1">
      <x v="290"/>
      <x/>
    </i>
    <i r="1">
      <x v="291"/>
      <x/>
    </i>
    <i r="1">
      <x v="292"/>
      <x/>
    </i>
    <i r="1">
      <x v="293"/>
      <x/>
    </i>
    <i r="1">
      <x v="294"/>
      <x/>
    </i>
    <i r="1">
      <x v="295"/>
      <x/>
    </i>
    <i r="1">
      <x v="296"/>
      <x/>
    </i>
    <i r="1">
      <x v="297"/>
      <x/>
    </i>
    <i r="1">
      <x v="298"/>
      <x/>
    </i>
    <i r="1">
      <x v="299"/>
      <x/>
    </i>
    <i r="1">
      <x v="300"/>
      <x/>
    </i>
    <i r="1">
      <x v="301"/>
      <x/>
    </i>
    <i r="1">
      <x v="302"/>
      <x/>
    </i>
    <i r="1">
      <x v="303"/>
      <x/>
    </i>
    <i r="1">
      <x v="304"/>
      <x/>
    </i>
    <i r="1">
      <x v="305"/>
      <x/>
    </i>
    <i r="1">
      <x v="306"/>
      <x/>
    </i>
    <i r="1">
      <x v="307"/>
      <x/>
    </i>
    <i r="1">
      <x v="308"/>
      <x/>
    </i>
    <i r="1">
      <x v="309"/>
      <x/>
    </i>
    <i r="1">
      <x v="310"/>
      <x/>
    </i>
    <i r="1">
      <x v="311"/>
      <x/>
    </i>
    <i r="1">
      <x v="312"/>
      <x/>
    </i>
    <i r="1">
      <x v="313"/>
      <x/>
    </i>
    <i r="1">
      <x v="314"/>
      <x/>
    </i>
    <i r="1">
      <x v="315"/>
      <x/>
    </i>
    <i r="1">
      <x v="316"/>
      <x/>
    </i>
    <i r="1">
      <x v="317"/>
      <x/>
    </i>
    <i r="1">
      <x v="318"/>
      <x/>
    </i>
    <i r="1">
      <x v="319"/>
      <x/>
    </i>
    <i r="1">
      <x v="320"/>
      <x/>
    </i>
    <i r="1">
      <x v="321"/>
      <x/>
    </i>
    <i r="1">
      <x v="322"/>
      <x/>
    </i>
    <i r="1">
      <x v="323"/>
      <x/>
    </i>
    <i r="1">
      <x v="324"/>
      <x/>
    </i>
    <i r="1">
      <x v="325"/>
      <x/>
    </i>
    <i r="1">
      <x v="326"/>
      <x/>
    </i>
    <i r="1">
      <x v="327"/>
      <x/>
    </i>
    <i r="1">
      <x v="328"/>
      <x/>
    </i>
    <i r="1">
      <x v="329"/>
      <x/>
    </i>
    <i r="1">
      <x v="330"/>
      <x/>
    </i>
    <i r="1">
      <x v="331"/>
      <x/>
    </i>
    <i r="1">
      <x v="332"/>
      <x/>
    </i>
    <i r="1">
      <x v="333"/>
      <x/>
    </i>
    <i r="1">
      <x v="334"/>
      <x/>
    </i>
    <i r="1">
      <x v="335"/>
      <x/>
    </i>
    <i r="1">
      <x v="336"/>
      <x/>
    </i>
    <i r="1">
      <x v="337"/>
      <x/>
    </i>
    <i r="1">
      <x v="338"/>
      <x/>
    </i>
    <i r="1">
      <x v="339"/>
      <x/>
    </i>
    <i r="1">
      <x v="340"/>
      <x/>
    </i>
    <i r="1">
      <x v="341"/>
      <x/>
    </i>
    <i r="1">
      <x v="342"/>
      <x/>
    </i>
    <i r="1">
      <x v="343"/>
      <x/>
    </i>
    <i r="1">
      <x v="344"/>
      <x/>
    </i>
    <i r="1">
      <x v="345"/>
      <x/>
    </i>
    <i r="1">
      <x v="346"/>
      <x/>
    </i>
    <i r="1">
      <x v="347"/>
      <x/>
    </i>
    <i r="1">
      <x v="348"/>
      <x/>
    </i>
    <i r="1">
      <x v="349"/>
      <x/>
    </i>
    <i r="1">
      <x v="350"/>
      <x/>
    </i>
    <i r="1">
      <x v="351"/>
      <x/>
    </i>
    <i r="1">
      <x v="352"/>
      <x/>
    </i>
    <i r="1">
      <x v="353"/>
      <x/>
    </i>
    <i r="1">
      <x v="354"/>
      <x/>
    </i>
    <i r="1">
      <x v="355"/>
      <x/>
    </i>
    <i r="1">
      <x v="356"/>
      <x/>
    </i>
    <i r="1">
      <x v="357"/>
      <x/>
    </i>
    <i r="1">
      <x v="358"/>
      <x/>
    </i>
    <i r="1">
      <x v="359"/>
      <x/>
    </i>
    <i r="1">
      <x v="360"/>
      <x/>
    </i>
    <i r="1">
      <x v="361"/>
      <x/>
    </i>
    <i r="1">
      <x v="362"/>
      <x/>
    </i>
    <i r="1">
      <x v="363"/>
      <x/>
    </i>
    <i r="1">
      <x v="364"/>
      <x/>
    </i>
    <i r="1">
      <x v="365"/>
      <x/>
    </i>
    <i r="1">
      <x v="366"/>
      <x/>
    </i>
    <i r="1">
      <x v="367"/>
      <x/>
    </i>
    <i r="1">
      <x v="368"/>
      <x/>
    </i>
    <i r="1">
      <x v="369"/>
      <x/>
    </i>
    <i r="1">
      <x v="370"/>
      <x/>
    </i>
    <i r="1">
      <x v="371"/>
      <x/>
    </i>
    <i r="1">
      <x v="372"/>
      <x/>
    </i>
    <i r="1">
      <x v="419"/>
      <x/>
    </i>
    <i r="1">
      <x v="420"/>
      <x/>
    </i>
    <i r="1">
      <x v="421"/>
      <x/>
    </i>
    <i r="1">
      <x v="422"/>
      <x/>
    </i>
    <i r="1">
      <x v="423"/>
      <x/>
    </i>
    <i r="1">
      <x v="424"/>
      <x/>
    </i>
    <i r="1">
      <x v="425"/>
      <x/>
    </i>
    <i r="1">
      <x v="426"/>
      <x/>
    </i>
    <i r="1">
      <x v="427"/>
      <x/>
    </i>
    <i r="1">
      <x v="428"/>
      <x/>
    </i>
    <i r="1">
      <x v="429"/>
      <x/>
    </i>
    <i r="1">
      <x v="430"/>
      <x/>
    </i>
    <i r="1">
      <x v="431"/>
      <x/>
    </i>
    <i r="1">
      <x v="432"/>
      <x/>
    </i>
    <i r="1">
      <x v="433"/>
      <x/>
    </i>
    <i r="1">
      <x v="434"/>
      <x/>
    </i>
    <i r="1">
      <x v="435"/>
      <x/>
    </i>
    <i r="1">
      <x v="436"/>
      <x/>
    </i>
    <i r="1">
      <x v="437"/>
      <x/>
    </i>
    <i r="1">
      <x v="438"/>
      <x/>
    </i>
    <i r="1">
      <x v="439"/>
      <x/>
    </i>
    <i r="1">
      <x v="440"/>
      <x/>
    </i>
    <i r="1">
      <x v="441"/>
      <x/>
    </i>
    <i r="1">
      <x v="442"/>
      <x/>
    </i>
    <i r="1">
      <x v="443"/>
      <x/>
    </i>
    <i r="1">
      <x v="444"/>
      <x/>
    </i>
    <i r="1">
      <x v="445"/>
      <x/>
    </i>
    <i r="1">
      <x v="446"/>
      <x/>
    </i>
    <i r="1">
      <x v="447"/>
      <x/>
    </i>
    <i r="1">
      <x v="448"/>
      <x/>
    </i>
    <i r="1">
      <x v="449"/>
      <x/>
    </i>
    <i r="1">
      <x v="450"/>
      <x/>
    </i>
    <i r="1">
      <x v="451"/>
      <x/>
    </i>
    <i r="1">
      <x v="452"/>
      <x/>
    </i>
    <i t="grand">
      <x/>
    </i>
  </rowItems>
  <colFields count="1">
    <field x="19"/>
  </colFields>
  <colItems count="8">
    <i>
      <x/>
    </i>
    <i>
      <x v="1"/>
    </i>
    <i>
      <x v="3"/>
    </i>
    <i>
      <x v="4"/>
    </i>
    <i>
      <x v="5"/>
    </i>
    <i>
      <x v="6"/>
    </i>
    <i>
      <x v="7"/>
    </i>
    <i t="grand">
      <x/>
    </i>
  </colItems>
  <pageFields count="1">
    <pageField fld="13" hier="-1"/>
  </pageFields>
  <dataFields count="1">
    <dataField name="Sum of TND Amount" fld="12" baseField="0" baseItem="0" numFmtId="168"/>
  </dataFields>
  <formats count="6">
    <format dxfId="8">
      <pivotArea outline="0" collapsedLevelsAreSubtotals="1" fieldPosition="0"/>
    </format>
    <format dxfId="7">
      <pivotArea dataOnly="0" labelOnly="1" outline="0" fieldPosition="0">
        <references count="1">
          <reference field="13" count="0"/>
        </references>
      </pivotArea>
    </format>
    <format dxfId="6">
      <pivotArea field="19" type="button" dataOnly="0" labelOnly="1" outline="0" axis="axisCol" fieldPosition="0"/>
    </format>
    <format dxfId="5">
      <pivotArea type="topRight" dataOnly="0" labelOnly="1" outline="0" fieldPosition="0"/>
    </format>
    <format dxfId="4">
      <pivotArea dataOnly="0" labelOnly="1" fieldPosition="0">
        <references count="1">
          <reference field="19" count="1">
            <x v="1"/>
          </reference>
        </references>
      </pivotArea>
    </format>
    <format dxfId="3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V29"/>
  <sheetViews>
    <sheetView topLeftCell="B1" zoomScale="80" zoomScaleNormal="80" workbookViewId="0">
      <pane xSplit="1" topLeftCell="C1" activePane="topRight" state="frozen"/>
      <selection activeCell="B1" sqref="B1"/>
      <selection pane="topRight" activeCell="BO27" sqref="BO27"/>
    </sheetView>
  </sheetViews>
  <sheetFormatPr baseColWidth="10" defaultColWidth="8.7109375" defaultRowHeight="12.75" outlineLevelCol="1" x14ac:dyDescent="0.2"/>
  <cols>
    <col min="1" max="1" width="9.42578125" bestFit="1" customWidth="1"/>
    <col min="2" max="2" width="43.7109375" customWidth="1"/>
    <col min="3" max="3" width="13.140625" hidden="1" customWidth="1" outlineLevel="1"/>
    <col min="4" max="4" width="7.7109375" hidden="1" customWidth="1" outlineLevel="1"/>
    <col min="5" max="5" width="11.42578125" hidden="1" customWidth="1" outlineLevel="1"/>
    <col min="6" max="6" width="17.140625" hidden="1" customWidth="1" outlineLevel="1"/>
    <col min="7" max="7" width="13.140625" hidden="1" customWidth="1" outlineLevel="1" collapsed="1"/>
    <col min="8" max="8" width="7.7109375" hidden="1" customWidth="1" outlineLevel="1"/>
    <col min="9" max="9" width="11.42578125" hidden="1" customWidth="1" outlineLevel="1"/>
    <col min="10" max="10" width="19" hidden="1" customWidth="1" outlineLevel="1"/>
    <col min="11" max="11" width="13.140625" hidden="1" customWidth="1" outlineLevel="1" collapsed="1"/>
    <col min="12" max="13" width="11.42578125" hidden="1" customWidth="1" outlineLevel="1"/>
    <col min="14" max="14" width="19.28515625" hidden="1" customWidth="1" outlineLevel="1"/>
    <col min="15" max="15" width="13.140625" hidden="1" customWidth="1" outlineLevel="1" collapsed="1"/>
    <col min="16" max="17" width="11.42578125" hidden="1" customWidth="1" outlineLevel="1"/>
    <col min="18" max="18" width="19.28515625" hidden="1" customWidth="1" outlineLevel="1"/>
    <col min="19" max="19" width="13.140625" hidden="1" customWidth="1" outlineLevel="1" collapsed="1"/>
    <col min="20" max="20" width="10.42578125" hidden="1" customWidth="1" outlineLevel="1"/>
    <col min="21" max="21" width="11.42578125" hidden="1" customWidth="1" outlineLevel="1"/>
    <col min="22" max="22" width="19.28515625" hidden="1" customWidth="1" outlineLevel="1"/>
    <col min="23" max="23" width="13.140625" hidden="1" customWidth="1" outlineLevel="1" collapsed="1"/>
    <col min="24" max="24" width="7.7109375" hidden="1" customWidth="1" outlineLevel="1"/>
    <col min="25" max="25" width="11.42578125" hidden="1" customWidth="1" outlineLevel="1"/>
    <col min="26" max="26" width="19.28515625" hidden="1" customWidth="1" outlineLevel="1"/>
    <col min="27" max="27" width="13.140625" hidden="1" customWidth="1" outlineLevel="1" collapsed="1"/>
    <col min="28" max="29" width="11.42578125" hidden="1" customWidth="1" outlineLevel="1"/>
    <col min="30" max="30" width="19.28515625" hidden="1" customWidth="1" outlineLevel="1"/>
    <col min="31" max="31" width="13.140625" hidden="1" customWidth="1" outlineLevel="1" collapsed="1"/>
    <col min="32" max="33" width="11.42578125" hidden="1" customWidth="1" outlineLevel="1"/>
    <col min="34" max="34" width="19.28515625" hidden="1" customWidth="1" outlineLevel="1"/>
    <col min="35" max="35" width="13.140625" hidden="1" customWidth="1" outlineLevel="1" collapsed="1"/>
    <col min="36" max="37" width="11.42578125" hidden="1" customWidth="1" outlineLevel="1"/>
    <col min="38" max="38" width="19.28515625" hidden="1" customWidth="1" outlineLevel="1"/>
    <col min="39" max="39" width="13.140625" hidden="1" customWidth="1" outlineLevel="1" collapsed="1"/>
    <col min="40" max="41" width="11.42578125" hidden="1" customWidth="1" outlineLevel="1"/>
    <col min="42" max="42" width="19.28515625" hidden="1" customWidth="1" outlineLevel="1"/>
    <col min="43" max="43" width="13.140625" hidden="1" customWidth="1" outlineLevel="1" collapsed="1"/>
    <col min="44" max="45" width="11.42578125" hidden="1" customWidth="1" outlineLevel="1"/>
    <col min="46" max="46" width="19.28515625" hidden="1" customWidth="1" outlineLevel="1"/>
    <col min="47" max="47" width="13.140625" hidden="1" customWidth="1" outlineLevel="1" collapsed="1"/>
    <col min="48" max="49" width="11.42578125" hidden="1" customWidth="1" outlineLevel="1"/>
    <col min="50" max="50" width="19.28515625" hidden="1" customWidth="1" outlineLevel="1"/>
    <col min="51" max="51" width="13.140625" hidden="1" customWidth="1" outlineLevel="1" collapsed="1"/>
    <col min="52" max="53" width="11.42578125" hidden="1" customWidth="1" outlineLevel="1"/>
    <col min="54" max="54" width="19.28515625" hidden="1" customWidth="1" outlineLevel="1"/>
    <col min="55" max="55" width="13.140625" hidden="1" customWidth="1" outlineLevel="1" collapsed="1"/>
    <col min="56" max="57" width="11.42578125" hidden="1" customWidth="1" outlineLevel="1"/>
    <col min="58" max="58" width="19.28515625" hidden="1" customWidth="1" outlineLevel="1"/>
    <col min="59" max="59" width="13.140625" hidden="1" customWidth="1" outlineLevel="1" collapsed="1"/>
    <col min="60" max="61" width="11.42578125" hidden="1" customWidth="1" outlineLevel="1"/>
    <col min="62" max="62" width="19.28515625" hidden="1" customWidth="1" outlineLevel="1"/>
    <col min="63" max="63" width="13.140625" hidden="1" customWidth="1" outlineLevel="1" collapsed="1"/>
    <col min="64" max="64" width="0" hidden="1" customWidth="1" outlineLevel="1"/>
    <col min="65" max="65" width="11.42578125" hidden="1" customWidth="1" outlineLevel="1"/>
    <col min="66" max="66" width="19.28515625" hidden="1" customWidth="1" outlineLevel="1"/>
    <col min="67" max="67" width="13.140625" bestFit="1" customWidth="1" collapsed="1"/>
    <col min="69" max="69" width="11.42578125" bestFit="1" customWidth="1"/>
    <col min="70" max="70" width="19.28515625" bestFit="1" customWidth="1"/>
    <col min="71" max="71" width="13.140625" bestFit="1" customWidth="1"/>
    <col min="72" max="72" width="7.7109375" bestFit="1" customWidth="1"/>
    <col min="73" max="73" width="10.42578125" bestFit="1" customWidth="1"/>
    <col min="74" max="74" width="19.28515625" bestFit="1" customWidth="1"/>
    <col min="75" max="75" width="13.140625" bestFit="1" customWidth="1"/>
    <col min="76" max="77" width="7.7109375" bestFit="1" customWidth="1"/>
    <col min="78" max="78" width="19.28515625" bestFit="1" customWidth="1"/>
    <col min="79" max="79" width="13.140625" bestFit="1" customWidth="1"/>
    <col min="80" max="80" width="7.7109375" bestFit="1" customWidth="1"/>
    <col min="81" max="81" width="10.42578125" bestFit="1" customWidth="1"/>
    <col min="82" max="82" width="19.28515625" bestFit="1" customWidth="1"/>
    <col min="83" max="83" width="13.140625" bestFit="1" customWidth="1"/>
    <col min="84" max="84" width="7.7109375" bestFit="1" customWidth="1"/>
    <col min="85" max="85" width="9.42578125" bestFit="1" customWidth="1"/>
    <col min="86" max="86" width="19.28515625" bestFit="1" customWidth="1"/>
  </cols>
  <sheetData>
    <row r="1" spans="1:126" x14ac:dyDescent="0.2">
      <c r="B1" s="3"/>
      <c r="C1" s="639" t="s">
        <v>14</v>
      </c>
      <c r="D1" s="640"/>
      <c r="E1" s="640"/>
      <c r="F1" s="641"/>
      <c r="G1" s="639" t="s">
        <v>14</v>
      </c>
      <c r="H1" s="640"/>
      <c r="I1" s="640"/>
      <c r="J1" s="641"/>
      <c r="K1" s="639" t="s">
        <v>14</v>
      </c>
      <c r="L1" s="640"/>
      <c r="M1" s="640"/>
      <c r="N1" s="641"/>
      <c r="O1" s="639" t="s">
        <v>14</v>
      </c>
      <c r="P1" s="640"/>
      <c r="Q1" s="640"/>
      <c r="R1" s="641"/>
      <c r="S1" s="639" t="s">
        <v>14</v>
      </c>
      <c r="T1" s="640"/>
      <c r="U1" s="640"/>
      <c r="V1" s="641"/>
      <c r="W1" s="639" t="s">
        <v>14</v>
      </c>
      <c r="X1" s="640"/>
      <c r="Y1" s="640"/>
      <c r="Z1" s="641"/>
      <c r="AA1" s="639" t="s">
        <v>14</v>
      </c>
      <c r="AB1" s="640"/>
      <c r="AC1" s="640"/>
      <c r="AD1" s="641"/>
      <c r="AE1" s="639" t="s">
        <v>14</v>
      </c>
      <c r="AF1" s="640"/>
      <c r="AG1" s="640"/>
      <c r="AH1" s="641"/>
      <c r="AI1" s="639" t="s">
        <v>14</v>
      </c>
      <c r="AJ1" s="640"/>
      <c r="AK1" s="640"/>
      <c r="AL1" s="641"/>
      <c r="AM1" s="639" t="s">
        <v>14</v>
      </c>
      <c r="AN1" s="640"/>
      <c r="AO1" s="640"/>
      <c r="AP1" s="641"/>
      <c r="AQ1" s="639" t="s">
        <v>14</v>
      </c>
      <c r="AR1" s="640"/>
      <c r="AS1" s="640"/>
      <c r="AT1" s="641"/>
      <c r="AU1" s="639" t="s">
        <v>14</v>
      </c>
      <c r="AV1" s="640"/>
      <c r="AW1" s="640"/>
      <c r="AX1" s="641"/>
      <c r="AY1" s="639" t="s">
        <v>14</v>
      </c>
      <c r="AZ1" s="640"/>
      <c r="BA1" s="640"/>
      <c r="BB1" s="641"/>
      <c r="BC1" s="639" t="s">
        <v>14</v>
      </c>
      <c r="BD1" s="640"/>
      <c r="BE1" s="640"/>
      <c r="BF1" s="641"/>
      <c r="BG1" s="639" t="s">
        <v>14</v>
      </c>
      <c r="BH1" s="640"/>
      <c r="BI1" s="640"/>
      <c r="BJ1" s="641"/>
      <c r="BK1" s="639" t="s">
        <v>14</v>
      </c>
      <c r="BL1" s="640"/>
      <c r="BM1" s="640"/>
      <c r="BN1" s="641"/>
      <c r="BO1" s="639" t="s">
        <v>14</v>
      </c>
      <c r="BP1" s="640"/>
      <c r="BQ1" s="640"/>
      <c r="BR1" s="641"/>
      <c r="BS1" s="639" t="s">
        <v>14</v>
      </c>
      <c r="BT1" s="640"/>
      <c r="BU1" s="640"/>
      <c r="BV1" s="641"/>
      <c r="BW1" s="639" t="s">
        <v>14</v>
      </c>
      <c r="BX1" s="640"/>
      <c r="BY1" s="640"/>
      <c r="BZ1" s="641"/>
      <c r="CA1" s="639" t="s">
        <v>14</v>
      </c>
      <c r="CB1" s="640"/>
      <c r="CC1" s="640"/>
      <c r="CD1" s="641"/>
      <c r="CE1" s="639" t="s">
        <v>14</v>
      </c>
      <c r="CF1" s="640"/>
      <c r="CG1" s="640"/>
      <c r="CH1" s="641"/>
      <c r="CI1" s="639" t="s">
        <v>14</v>
      </c>
      <c r="CJ1" s="640"/>
      <c r="CK1" s="640"/>
      <c r="CL1" s="641"/>
      <c r="CM1" s="639" t="s">
        <v>14</v>
      </c>
      <c r="CN1" s="640"/>
      <c r="CO1" s="640"/>
      <c r="CP1" s="641"/>
      <c r="CQ1" s="639" t="s">
        <v>14</v>
      </c>
      <c r="CR1" s="640"/>
      <c r="CS1" s="640"/>
      <c r="CT1" s="641"/>
      <c r="CU1" s="639" t="s">
        <v>14</v>
      </c>
      <c r="CV1" s="640"/>
      <c r="CW1" s="640"/>
      <c r="CX1" s="641"/>
      <c r="CY1" s="639" t="s">
        <v>14</v>
      </c>
      <c r="CZ1" s="640"/>
      <c r="DA1" s="640"/>
      <c r="DB1" s="641"/>
      <c r="DC1" s="639" t="s">
        <v>14</v>
      </c>
      <c r="DD1" s="640"/>
      <c r="DE1" s="640"/>
      <c r="DF1" s="641"/>
      <c r="DG1" s="639" t="s">
        <v>14</v>
      </c>
      <c r="DH1" s="640"/>
      <c r="DI1" s="640"/>
      <c r="DJ1" s="641"/>
      <c r="DK1" s="639" t="s">
        <v>14</v>
      </c>
      <c r="DL1" s="640"/>
      <c r="DM1" s="640"/>
      <c r="DN1" s="641"/>
      <c r="DO1" s="639" t="s">
        <v>14</v>
      </c>
      <c r="DP1" s="640"/>
      <c r="DQ1" s="640"/>
      <c r="DR1" s="641"/>
      <c r="DS1" s="639" t="s">
        <v>14</v>
      </c>
      <c r="DT1" s="640"/>
      <c r="DU1" s="640"/>
      <c r="DV1" s="641"/>
    </row>
    <row r="2" spans="1:126" x14ac:dyDescent="0.2">
      <c r="C2" s="639" t="s">
        <v>32</v>
      </c>
      <c r="D2" s="640"/>
      <c r="E2" s="640"/>
      <c r="F2" s="641"/>
      <c r="G2" s="639" t="s">
        <v>33</v>
      </c>
      <c r="H2" s="640"/>
      <c r="I2" s="640"/>
      <c r="J2" s="641"/>
      <c r="K2" s="639" t="s">
        <v>34</v>
      </c>
      <c r="L2" s="640"/>
      <c r="M2" s="640"/>
      <c r="N2" s="641"/>
      <c r="O2" s="639" t="e">
        <f>VLOOKUP(O3,#REF!,3,0)</f>
        <v>#REF!</v>
      </c>
      <c r="P2" s="640"/>
      <c r="Q2" s="640"/>
      <c r="R2" s="641"/>
      <c r="S2" s="639" t="e">
        <f>VLOOKUP(S3,#REF!,3,0)</f>
        <v>#REF!</v>
      </c>
      <c r="T2" s="640"/>
      <c r="U2" s="640"/>
      <c r="V2" s="641"/>
      <c r="W2" s="639" t="e">
        <f>VLOOKUP(W3,#REF!,3,0)</f>
        <v>#REF!</v>
      </c>
      <c r="X2" s="640"/>
      <c r="Y2" s="640"/>
      <c r="Z2" s="641"/>
      <c r="AA2" s="639" t="e">
        <f>VLOOKUP(AA3,#REF!,3,0)</f>
        <v>#REF!</v>
      </c>
      <c r="AB2" s="640"/>
      <c r="AC2" s="640"/>
      <c r="AD2" s="641"/>
      <c r="AE2" s="639" t="e">
        <f>VLOOKUP(AE3,#REF!,3,0)</f>
        <v>#REF!</v>
      </c>
      <c r="AF2" s="640"/>
      <c r="AG2" s="640"/>
      <c r="AH2" s="641"/>
      <c r="AI2" s="639" t="e">
        <f>VLOOKUP(AI3,#REF!,3,0)</f>
        <v>#REF!</v>
      </c>
      <c r="AJ2" s="640"/>
      <c r="AK2" s="640"/>
      <c r="AL2" s="641"/>
      <c r="AM2" s="639" t="e">
        <f>VLOOKUP(AM3,#REF!,3,0)</f>
        <v>#REF!</v>
      </c>
      <c r="AN2" s="640"/>
      <c r="AO2" s="640"/>
      <c r="AP2" s="641"/>
      <c r="AQ2" s="639" t="e">
        <f>VLOOKUP(AQ3,#REF!,3,0)</f>
        <v>#REF!</v>
      </c>
      <c r="AR2" s="640"/>
      <c r="AS2" s="640"/>
      <c r="AT2" s="641"/>
      <c r="AU2" s="639" t="e">
        <f>VLOOKUP(AU3,#REF!,3,0)</f>
        <v>#REF!</v>
      </c>
      <c r="AV2" s="640"/>
      <c r="AW2" s="640"/>
      <c r="AX2" s="641"/>
      <c r="AY2" s="639" t="e">
        <f>VLOOKUP(AY3,#REF!,3,0)</f>
        <v>#REF!</v>
      </c>
      <c r="AZ2" s="640"/>
      <c r="BA2" s="640"/>
      <c r="BB2" s="641"/>
      <c r="BC2" s="639" t="e">
        <f>VLOOKUP(BC3,#REF!,3,0)</f>
        <v>#REF!</v>
      </c>
      <c r="BD2" s="640"/>
      <c r="BE2" s="640"/>
      <c r="BF2" s="641"/>
      <c r="BG2" s="639" t="e">
        <f>VLOOKUP(BG3,#REF!,3,0)</f>
        <v>#REF!</v>
      </c>
      <c r="BH2" s="640"/>
      <c r="BI2" s="640"/>
      <c r="BJ2" s="641"/>
      <c r="BK2" s="639" t="e">
        <f>VLOOKUP(BK3,#REF!,3,0)</f>
        <v>#REF!</v>
      </c>
      <c r="BL2" s="640"/>
      <c r="BM2" s="640"/>
      <c r="BN2" s="641"/>
      <c r="BO2" s="639" t="e">
        <f>VLOOKUP(BO3,#REF!,3,0)</f>
        <v>#REF!</v>
      </c>
      <c r="BP2" s="640"/>
      <c r="BQ2" s="640"/>
      <c r="BR2" s="641"/>
      <c r="BS2" s="639" t="e">
        <f>VLOOKUP(BS3,#REF!,3,0)</f>
        <v>#REF!</v>
      </c>
      <c r="BT2" s="640"/>
      <c r="BU2" s="640"/>
      <c r="BV2" s="641"/>
      <c r="BW2" s="639" t="e">
        <f>VLOOKUP(BW3,#REF!,3,0)</f>
        <v>#REF!</v>
      </c>
      <c r="BX2" s="640"/>
      <c r="BY2" s="640"/>
      <c r="BZ2" s="641"/>
      <c r="CA2" s="639" t="e">
        <f>VLOOKUP(CA3,#REF!,3,0)</f>
        <v>#REF!</v>
      </c>
      <c r="CB2" s="640"/>
      <c r="CC2" s="640"/>
      <c r="CD2" s="641"/>
      <c r="CE2" s="639" t="e">
        <f>VLOOKUP(CE3,#REF!,3,0)</f>
        <v>#REF!</v>
      </c>
      <c r="CF2" s="640"/>
      <c r="CG2" s="640"/>
      <c r="CH2" s="641"/>
      <c r="CI2" s="639" t="e">
        <f>VLOOKUP(CI3,#REF!,3,0)</f>
        <v>#REF!</v>
      </c>
      <c r="CJ2" s="640"/>
      <c r="CK2" s="640"/>
      <c r="CL2" s="641"/>
      <c r="CM2" s="639" t="e">
        <f>VLOOKUP(CM3,#REF!,3,0)</f>
        <v>#REF!</v>
      </c>
      <c r="CN2" s="640"/>
      <c r="CO2" s="640"/>
      <c r="CP2" s="641"/>
      <c r="CQ2" s="639" t="e">
        <f>VLOOKUP(CQ3,#REF!,3,0)</f>
        <v>#REF!</v>
      </c>
      <c r="CR2" s="640"/>
      <c r="CS2" s="640"/>
      <c r="CT2" s="641"/>
      <c r="CU2" s="639" t="e">
        <f>VLOOKUP(CU3,#REF!,3,0)</f>
        <v>#REF!</v>
      </c>
      <c r="CV2" s="640"/>
      <c r="CW2" s="640"/>
      <c r="CX2" s="641"/>
      <c r="CY2" s="639" t="e">
        <f>VLOOKUP(CY3,#REF!,3,0)</f>
        <v>#REF!</v>
      </c>
      <c r="CZ2" s="640"/>
      <c r="DA2" s="640"/>
      <c r="DB2" s="641"/>
      <c r="DC2" s="639" t="e">
        <f>VLOOKUP(DC3,#REF!,3,0)</f>
        <v>#REF!</v>
      </c>
      <c r="DD2" s="640"/>
      <c r="DE2" s="640"/>
      <c r="DF2" s="641"/>
      <c r="DG2" s="639" t="e">
        <f>VLOOKUP(DG3,#REF!,3,0)</f>
        <v>#REF!</v>
      </c>
      <c r="DH2" s="640"/>
      <c r="DI2" s="640"/>
      <c r="DJ2" s="641"/>
      <c r="DK2" s="639" t="e">
        <f>VLOOKUP(DK3,#REF!,3,0)</f>
        <v>#REF!</v>
      </c>
      <c r="DL2" s="640"/>
      <c r="DM2" s="640"/>
      <c r="DN2" s="641"/>
      <c r="DO2" s="639" t="e">
        <f>VLOOKUP(DO3,#REF!,3,0)</f>
        <v>#REF!</v>
      </c>
      <c r="DP2" s="640"/>
      <c r="DQ2" s="640"/>
      <c r="DR2" s="641"/>
      <c r="DS2" s="639" t="e">
        <f>VLOOKUP(DS3,#REF!,3,0)</f>
        <v>#REF!</v>
      </c>
      <c r="DT2" s="640"/>
      <c r="DU2" s="640"/>
      <c r="DV2" s="641"/>
    </row>
    <row r="3" spans="1:126" x14ac:dyDescent="0.2">
      <c r="B3" s="33"/>
      <c r="C3" s="642">
        <v>44562</v>
      </c>
      <c r="D3" s="643"/>
      <c r="E3" s="643"/>
      <c r="F3" s="644"/>
      <c r="G3" s="642">
        <f>C4+1</f>
        <v>44569</v>
      </c>
      <c r="H3" s="643"/>
      <c r="I3" s="643"/>
      <c r="J3" s="644"/>
      <c r="K3" s="642">
        <f>G4+1</f>
        <v>44576</v>
      </c>
      <c r="L3" s="643"/>
      <c r="M3" s="643"/>
      <c r="N3" s="644"/>
      <c r="O3" s="642">
        <f>K4+1</f>
        <v>44583</v>
      </c>
      <c r="P3" s="643"/>
      <c r="Q3" s="643"/>
      <c r="R3" s="644"/>
      <c r="S3" s="642">
        <f t="shared" ref="S3" si="0">O4+1</f>
        <v>44590</v>
      </c>
      <c r="T3" s="643"/>
      <c r="U3" s="643"/>
      <c r="V3" s="644"/>
      <c r="W3" s="642">
        <f t="shared" ref="W3" si="1">S4+1</f>
        <v>44597</v>
      </c>
      <c r="X3" s="643"/>
      <c r="Y3" s="643"/>
      <c r="Z3" s="644"/>
      <c r="AA3" s="642">
        <f t="shared" ref="AA3" si="2">W4+1</f>
        <v>44604</v>
      </c>
      <c r="AB3" s="643"/>
      <c r="AC3" s="643"/>
      <c r="AD3" s="644"/>
      <c r="AE3" s="642">
        <f t="shared" ref="AE3" si="3">AA4+1</f>
        <v>44611</v>
      </c>
      <c r="AF3" s="643"/>
      <c r="AG3" s="643"/>
      <c r="AH3" s="644"/>
      <c r="AI3" s="642">
        <f t="shared" ref="AI3" si="4">AE4+1</f>
        <v>44618</v>
      </c>
      <c r="AJ3" s="643"/>
      <c r="AK3" s="643"/>
      <c r="AL3" s="644"/>
      <c r="AM3" s="642">
        <f t="shared" ref="AM3" si="5">AI4+1</f>
        <v>44625</v>
      </c>
      <c r="AN3" s="643"/>
      <c r="AO3" s="643"/>
      <c r="AP3" s="644"/>
      <c r="AQ3" s="642">
        <f t="shared" ref="AQ3" si="6">AM4+1</f>
        <v>44632</v>
      </c>
      <c r="AR3" s="643"/>
      <c r="AS3" s="643"/>
      <c r="AT3" s="644"/>
      <c r="AU3" s="642">
        <f t="shared" ref="AU3" si="7">AQ4+1</f>
        <v>44639</v>
      </c>
      <c r="AV3" s="643"/>
      <c r="AW3" s="643"/>
      <c r="AX3" s="644"/>
      <c r="AY3" s="642">
        <f t="shared" ref="AY3" si="8">AU4+1</f>
        <v>44646</v>
      </c>
      <c r="AZ3" s="643"/>
      <c r="BA3" s="643"/>
      <c r="BB3" s="644"/>
      <c r="BC3" s="642">
        <f t="shared" ref="BC3" si="9">AY4+1</f>
        <v>44653</v>
      </c>
      <c r="BD3" s="643"/>
      <c r="BE3" s="643"/>
      <c r="BF3" s="644"/>
      <c r="BG3" s="642">
        <f t="shared" ref="BG3" si="10">BC4+1</f>
        <v>44660</v>
      </c>
      <c r="BH3" s="643"/>
      <c r="BI3" s="643"/>
      <c r="BJ3" s="644"/>
      <c r="BK3" s="642">
        <f t="shared" ref="BK3" si="11">BG4+1</f>
        <v>44667</v>
      </c>
      <c r="BL3" s="643"/>
      <c r="BM3" s="643"/>
      <c r="BN3" s="644"/>
      <c r="BO3" s="642">
        <f t="shared" ref="BO3" si="12">BK4+1</f>
        <v>44674</v>
      </c>
      <c r="BP3" s="643"/>
      <c r="BQ3" s="643"/>
      <c r="BR3" s="644"/>
      <c r="BS3" s="642">
        <f t="shared" ref="BS3" si="13">BO4+1</f>
        <v>44681</v>
      </c>
      <c r="BT3" s="643"/>
      <c r="BU3" s="643"/>
      <c r="BV3" s="644"/>
      <c r="BW3" s="642">
        <f t="shared" ref="BW3" si="14">BS4+1</f>
        <v>44688</v>
      </c>
      <c r="BX3" s="643"/>
      <c r="BY3" s="643"/>
      <c r="BZ3" s="644"/>
      <c r="CA3" s="642">
        <f t="shared" ref="CA3" si="15">BW4+1</f>
        <v>44695</v>
      </c>
      <c r="CB3" s="643"/>
      <c r="CC3" s="643"/>
      <c r="CD3" s="644"/>
      <c r="CE3" s="642">
        <f t="shared" ref="CE3" si="16">CA4+1</f>
        <v>44702</v>
      </c>
      <c r="CF3" s="643"/>
      <c r="CG3" s="643"/>
      <c r="CH3" s="644"/>
      <c r="CI3" s="642">
        <f t="shared" ref="CI3" si="17">CE4+1</f>
        <v>44709</v>
      </c>
      <c r="CJ3" s="643"/>
      <c r="CK3" s="643"/>
      <c r="CL3" s="644"/>
      <c r="CM3" s="642">
        <f t="shared" ref="CM3" si="18">CI4+1</f>
        <v>44716</v>
      </c>
      <c r="CN3" s="643"/>
      <c r="CO3" s="643"/>
      <c r="CP3" s="644"/>
      <c r="CQ3" s="642">
        <f t="shared" ref="CQ3" si="19">CM4+1</f>
        <v>44723</v>
      </c>
      <c r="CR3" s="643"/>
      <c r="CS3" s="643"/>
      <c r="CT3" s="644"/>
      <c r="CU3" s="642">
        <f t="shared" ref="CU3" si="20">CQ4+1</f>
        <v>44730</v>
      </c>
      <c r="CV3" s="643"/>
      <c r="CW3" s="643"/>
      <c r="CX3" s="644"/>
      <c r="CY3" s="642">
        <f t="shared" ref="CY3" si="21">CU4+1</f>
        <v>44737</v>
      </c>
      <c r="CZ3" s="643"/>
      <c r="DA3" s="643"/>
      <c r="DB3" s="644"/>
      <c r="DC3" s="642">
        <f t="shared" ref="DC3" si="22">CY4+1</f>
        <v>44744</v>
      </c>
      <c r="DD3" s="643"/>
      <c r="DE3" s="643"/>
      <c r="DF3" s="644"/>
      <c r="DG3" s="642">
        <f t="shared" ref="DG3" si="23">DC4+1</f>
        <v>44751</v>
      </c>
      <c r="DH3" s="643"/>
      <c r="DI3" s="643"/>
      <c r="DJ3" s="644"/>
      <c r="DK3" s="642">
        <f t="shared" ref="DK3" si="24">DG4+1</f>
        <v>44758</v>
      </c>
      <c r="DL3" s="643"/>
      <c r="DM3" s="643"/>
      <c r="DN3" s="644"/>
      <c r="DO3" s="642">
        <f t="shared" ref="DO3" si="25">DK4+1</f>
        <v>44765</v>
      </c>
      <c r="DP3" s="643"/>
      <c r="DQ3" s="643"/>
      <c r="DR3" s="644"/>
      <c r="DS3" s="642">
        <f t="shared" ref="DS3" si="26">DO4+1</f>
        <v>44772</v>
      </c>
      <c r="DT3" s="643"/>
      <c r="DU3" s="643"/>
      <c r="DV3" s="644"/>
    </row>
    <row r="4" spans="1:126" ht="13.5" thickBot="1" x14ac:dyDescent="0.25">
      <c r="C4" s="645">
        <v>44568</v>
      </c>
      <c r="D4" s="646"/>
      <c r="E4" s="646"/>
      <c r="F4" s="647"/>
      <c r="G4" s="645">
        <f>G3+6</f>
        <v>44575</v>
      </c>
      <c r="H4" s="646"/>
      <c r="I4" s="646"/>
      <c r="J4" s="647"/>
      <c r="K4" s="645">
        <f>K3+6</f>
        <v>44582</v>
      </c>
      <c r="L4" s="646"/>
      <c r="M4" s="646"/>
      <c r="N4" s="647"/>
      <c r="O4" s="645">
        <f>O3+6</f>
        <v>44589</v>
      </c>
      <c r="P4" s="646"/>
      <c r="Q4" s="646"/>
      <c r="R4" s="647"/>
      <c r="S4" s="645">
        <f t="shared" ref="S4" si="27">S3+6</f>
        <v>44596</v>
      </c>
      <c r="T4" s="646"/>
      <c r="U4" s="646"/>
      <c r="V4" s="647"/>
      <c r="W4" s="645">
        <f t="shared" ref="W4" si="28">W3+6</f>
        <v>44603</v>
      </c>
      <c r="X4" s="646"/>
      <c r="Y4" s="646"/>
      <c r="Z4" s="647"/>
      <c r="AA4" s="645">
        <f t="shared" ref="AA4" si="29">AA3+6</f>
        <v>44610</v>
      </c>
      <c r="AB4" s="646"/>
      <c r="AC4" s="646"/>
      <c r="AD4" s="647"/>
      <c r="AE4" s="645">
        <f t="shared" ref="AE4" si="30">AE3+6</f>
        <v>44617</v>
      </c>
      <c r="AF4" s="646"/>
      <c r="AG4" s="646"/>
      <c r="AH4" s="647"/>
      <c r="AI4" s="645">
        <f t="shared" ref="AI4" si="31">AI3+6</f>
        <v>44624</v>
      </c>
      <c r="AJ4" s="646"/>
      <c r="AK4" s="646"/>
      <c r="AL4" s="647"/>
      <c r="AM4" s="645">
        <f t="shared" ref="AM4" si="32">AM3+6</f>
        <v>44631</v>
      </c>
      <c r="AN4" s="646"/>
      <c r="AO4" s="646"/>
      <c r="AP4" s="647"/>
      <c r="AQ4" s="645">
        <f t="shared" ref="AQ4" si="33">AQ3+6</f>
        <v>44638</v>
      </c>
      <c r="AR4" s="646"/>
      <c r="AS4" s="646"/>
      <c r="AT4" s="647"/>
      <c r="AU4" s="645">
        <f t="shared" ref="AU4" si="34">AU3+6</f>
        <v>44645</v>
      </c>
      <c r="AV4" s="646"/>
      <c r="AW4" s="646"/>
      <c r="AX4" s="647"/>
      <c r="AY4" s="645">
        <f t="shared" ref="AY4" si="35">AY3+6</f>
        <v>44652</v>
      </c>
      <c r="AZ4" s="646"/>
      <c r="BA4" s="646"/>
      <c r="BB4" s="647"/>
      <c r="BC4" s="645">
        <f t="shared" ref="BC4" si="36">BC3+6</f>
        <v>44659</v>
      </c>
      <c r="BD4" s="646"/>
      <c r="BE4" s="646"/>
      <c r="BF4" s="647"/>
      <c r="BG4" s="645">
        <f t="shared" ref="BG4" si="37">BG3+6</f>
        <v>44666</v>
      </c>
      <c r="BH4" s="646"/>
      <c r="BI4" s="646"/>
      <c r="BJ4" s="647"/>
      <c r="BK4" s="645">
        <f t="shared" ref="BK4" si="38">BK3+6</f>
        <v>44673</v>
      </c>
      <c r="BL4" s="646"/>
      <c r="BM4" s="646"/>
      <c r="BN4" s="647"/>
      <c r="BO4" s="645">
        <f t="shared" ref="BO4" si="39">BO3+6</f>
        <v>44680</v>
      </c>
      <c r="BP4" s="646"/>
      <c r="BQ4" s="646"/>
      <c r="BR4" s="647"/>
      <c r="BS4" s="645">
        <f t="shared" ref="BS4" si="40">BS3+6</f>
        <v>44687</v>
      </c>
      <c r="BT4" s="646"/>
      <c r="BU4" s="646"/>
      <c r="BV4" s="647"/>
      <c r="BW4" s="645">
        <f t="shared" ref="BW4" si="41">BW3+6</f>
        <v>44694</v>
      </c>
      <c r="BX4" s="646"/>
      <c r="BY4" s="646"/>
      <c r="BZ4" s="647"/>
      <c r="CA4" s="645">
        <f t="shared" ref="CA4" si="42">CA3+6</f>
        <v>44701</v>
      </c>
      <c r="CB4" s="646"/>
      <c r="CC4" s="646"/>
      <c r="CD4" s="647"/>
      <c r="CE4" s="645">
        <f t="shared" ref="CE4" si="43">CE3+6</f>
        <v>44708</v>
      </c>
      <c r="CF4" s="646"/>
      <c r="CG4" s="646"/>
      <c r="CH4" s="647"/>
      <c r="CI4" s="645">
        <f t="shared" ref="CI4" si="44">CI3+6</f>
        <v>44715</v>
      </c>
      <c r="CJ4" s="646"/>
      <c r="CK4" s="646"/>
      <c r="CL4" s="647"/>
      <c r="CM4" s="645">
        <f t="shared" ref="CM4" si="45">CM3+6</f>
        <v>44722</v>
      </c>
      <c r="CN4" s="646"/>
      <c r="CO4" s="646"/>
      <c r="CP4" s="647"/>
      <c r="CQ4" s="645">
        <f t="shared" ref="CQ4" si="46">CQ3+6</f>
        <v>44729</v>
      </c>
      <c r="CR4" s="646"/>
      <c r="CS4" s="646"/>
      <c r="CT4" s="647"/>
      <c r="CU4" s="645">
        <f t="shared" ref="CU4" si="47">CU3+6</f>
        <v>44736</v>
      </c>
      <c r="CV4" s="646"/>
      <c r="CW4" s="646"/>
      <c r="CX4" s="647"/>
      <c r="CY4" s="645">
        <f t="shared" ref="CY4" si="48">CY3+6</f>
        <v>44743</v>
      </c>
      <c r="CZ4" s="646"/>
      <c r="DA4" s="646"/>
      <c r="DB4" s="647"/>
      <c r="DC4" s="645">
        <f t="shared" ref="DC4" si="49">DC3+6</f>
        <v>44750</v>
      </c>
      <c r="DD4" s="646"/>
      <c r="DE4" s="646"/>
      <c r="DF4" s="647"/>
      <c r="DG4" s="645">
        <f t="shared" ref="DG4" si="50">DG3+6</f>
        <v>44757</v>
      </c>
      <c r="DH4" s="646"/>
      <c r="DI4" s="646"/>
      <c r="DJ4" s="647"/>
      <c r="DK4" s="645">
        <f t="shared" ref="DK4" si="51">DK3+6</f>
        <v>44764</v>
      </c>
      <c r="DL4" s="646"/>
      <c r="DM4" s="646"/>
      <c r="DN4" s="647"/>
      <c r="DO4" s="645">
        <f t="shared" ref="DO4" si="52">DO3+6</f>
        <v>44771</v>
      </c>
      <c r="DP4" s="646"/>
      <c r="DQ4" s="646"/>
      <c r="DR4" s="647"/>
      <c r="DS4" s="645">
        <f t="shared" ref="DS4" si="53">DS3+6</f>
        <v>44778</v>
      </c>
      <c r="DT4" s="646"/>
      <c r="DU4" s="646"/>
      <c r="DV4" s="647"/>
    </row>
    <row r="5" spans="1:126" ht="13.5" thickBot="1" x14ac:dyDescent="0.25">
      <c r="C5" s="8" t="s">
        <v>13</v>
      </c>
      <c r="D5" s="9" t="s">
        <v>0</v>
      </c>
      <c r="E5" s="9" t="s">
        <v>1</v>
      </c>
      <c r="F5" s="10" t="s">
        <v>12</v>
      </c>
      <c r="G5" s="8" t="s">
        <v>13</v>
      </c>
      <c r="H5" s="9" t="s">
        <v>0</v>
      </c>
      <c r="I5" s="9" t="s">
        <v>1</v>
      </c>
      <c r="J5" s="10" t="s">
        <v>12</v>
      </c>
      <c r="K5" s="8" t="s">
        <v>13</v>
      </c>
      <c r="L5" s="9" t="s">
        <v>0</v>
      </c>
      <c r="M5" s="9" t="s">
        <v>1</v>
      </c>
      <c r="N5" s="10" t="s">
        <v>12</v>
      </c>
      <c r="O5" s="8" t="s">
        <v>13</v>
      </c>
      <c r="P5" s="9" t="s">
        <v>0</v>
      </c>
      <c r="Q5" s="9" t="s">
        <v>1</v>
      </c>
      <c r="R5" s="10" t="s">
        <v>12</v>
      </c>
      <c r="S5" s="8" t="s">
        <v>13</v>
      </c>
      <c r="T5" s="9" t="s">
        <v>0</v>
      </c>
      <c r="U5" s="9" t="s">
        <v>1</v>
      </c>
      <c r="V5" s="10" t="s">
        <v>12</v>
      </c>
      <c r="W5" s="8" t="s">
        <v>13</v>
      </c>
      <c r="X5" s="9" t="s">
        <v>0</v>
      </c>
      <c r="Y5" s="9" t="s">
        <v>1</v>
      </c>
      <c r="Z5" s="10" t="s">
        <v>12</v>
      </c>
      <c r="AA5" s="8" t="s">
        <v>13</v>
      </c>
      <c r="AB5" s="9" t="s">
        <v>0</v>
      </c>
      <c r="AC5" s="9" t="s">
        <v>1</v>
      </c>
      <c r="AD5" s="10" t="s">
        <v>12</v>
      </c>
      <c r="AE5" s="8" t="s">
        <v>13</v>
      </c>
      <c r="AF5" s="9" t="s">
        <v>0</v>
      </c>
      <c r="AG5" s="9" t="s">
        <v>1</v>
      </c>
      <c r="AH5" s="10" t="s">
        <v>12</v>
      </c>
      <c r="AI5" s="8" t="s">
        <v>13</v>
      </c>
      <c r="AJ5" s="9" t="s">
        <v>0</v>
      </c>
      <c r="AK5" s="9" t="s">
        <v>1</v>
      </c>
      <c r="AL5" s="10" t="s">
        <v>12</v>
      </c>
      <c r="AM5" s="8" t="s">
        <v>13</v>
      </c>
      <c r="AN5" s="9" t="s">
        <v>0</v>
      </c>
      <c r="AO5" s="9" t="s">
        <v>1</v>
      </c>
      <c r="AP5" s="10" t="s">
        <v>12</v>
      </c>
      <c r="AQ5" s="8" t="s">
        <v>13</v>
      </c>
      <c r="AR5" s="9" t="s">
        <v>0</v>
      </c>
      <c r="AS5" s="9" t="s">
        <v>1</v>
      </c>
      <c r="AT5" s="10" t="s">
        <v>12</v>
      </c>
      <c r="AU5" s="8" t="s">
        <v>13</v>
      </c>
      <c r="AV5" s="9" t="s">
        <v>0</v>
      </c>
      <c r="AW5" s="9" t="s">
        <v>1</v>
      </c>
      <c r="AX5" s="10" t="s">
        <v>12</v>
      </c>
      <c r="AY5" s="8" t="s">
        <v>13</v>
      </c>
      <c r="AZ5" s="9" t="s">
        <v>0</v>
      </c>
      <c r="BA5" s="9" t="s">
        <v>1</v>
      </c>
      <c r="BB5" s="10" t="s">
        <v>12</v>
      </c>
      <c r="BC5" s="8" t="s">
        <v>13</v>
      </c>
      <c r="BD5" s="9" t="s">
        <v>0</v>
      </c>
      <c r="BE5" s="9" t="s">
        <v>1</v>
      </c>
      <c r="BF5" s="10" t="s">
        <v>12</v>
      </c>
      <c r="BG5" s="8" t="s">
        <v>13</v>
      </c>
      <c r="BH5" s="9" t="s">
        <v>0</v>
      </c>
      <c r="BI5" s="9" t="s">
        <v>1</v>
      </c>
      <c r="BJ5" s="10" t="s">
        <v>12</v>
      </c>
      <c r="BK5" s="8" t="s">
        <v>13</v>
      </c>
      <c r="BL5" s="9" t="s">
        <v>0</v>
      </c>
      <c r="BM5" s="9" t="s">
        <v>1</v>
      </c>
      <c r="BN5" s="10" t="s">
        <v>12</v>
      </c>
      <c r="BO5" s="8" t="s">
        <v>13</v>
      </c>
      <c r="BP5" s="9" t="s">
        <v>0</v>
      </c>
      <c r="BQ5" s="9" t="s">
        <v>1</v>
      </c>
      <c r="BR5" s="10" t="s">
        <v>12</v>
      </c>
      <c r="BS5" s="8" t="s">
        <v>13</v>
      </c>
      <c r="BT5" s="9" t="s">
        <v>0</v>
      </c>
      <c r="BU5" s="9" t="s">
        <v>1</v>
      </c>
      <c r="BV5" s="10" t="s">
        <v>12</v>
      </c>
      <c r="BW5" s="8" t="s">
        <v>13</v>
      </c>
      <c r="BX5" s="9" t="s">
        <v>0</v>
      </c>
      <c r="BY5" s="9" t="s">
        <v>1</v>
      </c>
      <c r="BZ5" s="10" t="s">
        <v>12</v>
      </c>
      <c r="CA5" s="8" t="s">
        <v>13</v>
      </c>
      <c r="CB5" s="9" t="s">
        <v>0</v>
      </c>
      <c r="CC5" s="9" t="s">
        <v>1</v>
      </c>
      <c r="CD5" s="10" t="s">
        <v>12</v>
      </c>
      <c r="CE5" s="8" t="s">
        <v>13</v>
      </c>
      <c r="CF5" s="9" t="s">
        <v>0</v>
      </c>
      <c r="CG5" s="9" t="s">
        <v>1</v>
      </c>
      <c r="CH5" s="10" t="s">
        <v>12</v>
      </c>
      <c r="CI5" s="8" t="s">
        <v>13</v>
      </c>
      <c r="CJ5" s="9" t="s">
        <v>0</v>
      </c>
      <c r="CK5" s="9" t="s">
        <v>1</v>
      </c>
      <c r="CL5" s="10" t="s">
        <v>12</v>
      </c>
      <c r="CM5" s="8" t="s">
        <v>13</v>
      </c>
      <c r="CN5" s="9" t="s">
        <v>0</v>
      </c>
      <c r="CO5" s="9" t="s">
        <v>1</v>
      </c>
      <c r="CP5" s="10" t="s">
        <v>12</v>
      </c>
      <c r="CQ5" s="8" t="s">
        <v>13</v>
      </c>
      <c r="CR5" s="9" t="s">
        <v>0</v>
      </c>
      <c r="CS5" s="9" t="s">
        <v>1</v>
      </c>
      <c r="CT5" s="10" t="s">
        <v>12</v>
      </c>
      <c r="CU5" s="8" t="s">
        <v>13</v>
      </c>
      <c r="CV5" s="9" t="s">
        <v>0</v>
      </c>
      <c r="CW5" s="9" t="s">
        <v>1</v>
      </c>
      <c r="CX5" s="10" t="s">
        <v>12</v>
      </c>
      <c r="CY5" s="8" t="s">
        <v>13</v>
      </c>
      <c r="CZ5" s="9" t="s">
        <v>0</v>
      </c>
      <c r="DA5" s="9" t="s">
        <v>1</v>
      </c>
      <c r="DB5" s="10" t="s">
        <v>12</v>
      </c>
      <c r="DC5" s="8" t="s">
        <v>13</v>
      </c>
      <c r="DD5" s="9" t="s">
        <v>0</v>
      </c>
      <c r="DE5" s="9" t="s">
        <v>1</v>
      </c>
      <c r="DF5" s="10" t="s">
        <v>12</v>
      </c>
      <c r="DG5" s="8" t="s">
        <v>13</v>
      </c>
      <c r="DH5" s="9" t="s">
        <v>0</v>
      </c>
      <c r="DI5" s="9" t="s">
        <v>1</v>
      </c>
      <c r="DJ5" s="10" t="s">
        <v>12</v>
      </c>
      <c r="DK5" s="8" t="s">
        <v>13</v>
      </c>
      <c r="DL5" s="9" t="s">
        <v>0</v>
      </c>
      <c r="DM5" s="9" t="s">
        <v>1</v>
      </c>
      <c r="DN5" s="10" t="s">
        <v>12</v>
      </c>
      <c r="DO5" s="8" t="s">
        <v>13</v>
      </c>
      <c r="DP5" s="9" t="s">
        <v>0</v>
      </c>
      <c r="DQ5" s="9" t="s">
        <v>1</v>
      </c>
      <c r="DR5" s="10" t="s">
        <v>12</v>
      </c>
      <c r="DS5" s="8" t="s">
        <v>13</v>
      </c>
      <c r="DT5" s="9" t="s">
        <v>0</v>
      </c>
      <c r="DU5" s="9" t="s">
        <v>1</v>
      </c>
      <c r="DV5" s="10" t="s">
        <v>12</v>
      </c>
    </row>
    <row r="6" spans="1:126" ht="13.5" thickBot="1" x14ac:dyDescent="0.25"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</row>
    <row r="7" spans="1:126" s="24" customFormat="1" ht="13.5" thickBot="1" x14ac:dyDescent="0.25">
      <c r="A7"/>
      <c r="B7" s="2" t="s">
        <v>18</v>
      </c>
      <c r="C7" s="12">
        <v>0</v>
      </c>
      <c r="D7" s="13">
        <v>0</v>
      </c>
      <c r="E7" s="13"/>
      <c r="F7" s="14"/>
      <c r="G7" s="12" t="e">
        <f>+Vertical_Cash_flow!#REF!</f>
        <v>#REF!</v>
      </c>
      <c r="H7" s="13" t="e">
        <f>+Vertical_Cash_flow!#REF!</f>
        <v>#REF!</v>
      </c>
      <c r="I7" s="13" t="e">
        <f>+Vertical_Cash_flow!#REF!</f>
        <v>#REF!</v>
      </c>
      <c r="J7" s="14" t="e">
        <f>+Vertical_Cash_flow!#REF!</f>
        <v>#REF!</v>
      </c>
      <c r="K7" s="12" t="e">
        <f>+Vertical_Cash_flow!#REF!</f>
        <v>#REF!</v>
      </c>
      <c r="L7" s="13" t="e">
        <f>+Vertical_Cash_flow!#REF!</f>
        <v>#REF!</v>
      </c>
      <c r="M7" s="13" t="e">
        <f>+Vertical_Cash_flow!#REF!</f>
        <v>#REF!</v>
      </c>
      <c r="N7" s="14" t="e">
        <f>+Vertical_Cash_flow!#REF!</f>
        <v>#REF!</v>
      </c>
      <c r="O7" s="12" t="e">
        <f>+Vertical_Cash_flow!#REF!</f>
        <v>#REF!</v>
      </c>
      <c r="P7" s="13" t="e">
        <f>+Vertical_Cash_flow!#REF!</f>
        <v>#REF!</v>
      </c>
      <c r="Q7" s="13" t="e">
        <f>+Vertical_Cash_flow!#REF!</f>
        <v>#REF!</v>
      </c>
      <c r="R7" s="14" t="e">
        <f>+Vertical_Cash_flow!#REF!</f>
        <v>#REF!</v>
      </c>
      <c r="S7" s="12" t="e">
        <f>+Vertical_Cash_flow!#REF!</f>
        <v>#REF!</v>
      </c>
      <c r="T7" s="13" t="e">
        <f>+Vertical_Cash_flow!#REF!</f>
        <v>#REF!</v>
      </c>
      <c r="U7" s="13" t="e">
        <f>+Vertical_Cash_flow!#REF!</f>
        <v>#REF!</v>
      </c>
      <c r="V7" s="14" t="e">
        <f>+Vertical_Cash_flow!#REF!</f>
        <v>#REF!</v>
      </c>
      <c r="W7" s="12" t="e">
        <f>+Vertical_Cash_flow!#REF!</f>
        <v>#REF!</v>
      </c>
      <c r="X7" s="13" t="e">
        <f>+Vertical_Cash_flow!#REF!</f>
        <v>#REF!</v>
      </c>
      <c r="Y7" s="13" t="e">
        <f>+Vertical_Cash_flow!#REF!</f>
        <v>#REF!</v>
      </c>
      <c r="Z7" s="14" t="e">
        <f>+Vertical_Cash_flow!#REF!</f>
        <v>#REF!</v>
      </c>
      <c r="AA7" s="12" t="e">
        <f>+Vertical_Cash_flow!#REF!</f>
        <v>#REF!</v>
      </c>
      <c r="AB7" s="13" t="e">
        <f>+Vertical_Cash_flow!#REF!</f>
        <v>#REF!</v>
      </c>
      <c r="AC7" s="13" t="e">
        <f>+Vertical_Cash_flow!#REF!</f>
        <v>#REF!</v>
      </c>
      <c r="AD7" s="14" t="e">
        <f>+Vertical_Cash_flow!#REF!</f>
        <v>#REF!</v>
      </c>
      <c r="AE7" s="12" t="e">
        <f>+Vertical_Cash_flow!#REF!</f>
        <v>#REF!</v>
      </c>
      <c r="AF7" s="13" t="e">
        <f>+Vertical_Cash_flow!#REF!</f>
        <v>#REF!</v>
      </c>
      <c r="AG7" s="13" t="e">
        <f>+Vertical_Cash_flow!#REF!</f>
        <v>#REF!</v>
      </c>
      <c r="AH7" s="14" t="e">
        <f>+Vertical_Cash_flow!#REF!</f>
        <v>#REF!</v>
      </c>
      <c r="AI7" s="12" t="e">
        <f>+Vertical_Cash_flow!#REF!</f>
        <v>#REF!</v>
      </c>
      <c r="AJ7" s="13" t="e">
        <f>+Vertical_Cash_flow!#REF!</f>
        <v>#REF!</v>
      </c>
      <c r="AK7" s="13" t="e">
        <f>+Vertical_Cash_flow!#REF!</f>
        <v>#REF!</v>
      </c>
      <c r="AL7" s="14" t="e">
        <f>+Vertical_Cash_flow!#REF!</f>
        <v>#REF!</v>
      </c>
      <c r="AM7" s="12" t="e">
        <f>+Vertical_Cash_flow!#REF!</f>
        <v>#REF!</v>
      </c>
      <c r="AN7" s="13" t="e">
        <f>+Vertical_Cash_flow!#REF!</f>
        <v>#REF!</v>
      </c>
      <c r="AO7" s="13" t="e">
        <f>+Vertical_Cash_flow!#REF!</f>
        <v>#REF!</v>
      </c>
      <c r="AP7" s="14" t="e">
        <f>+Vertical_Cash_flow!#REF!</f>
        <v>#REF!</v>
      </c>
      <c r="AQ7" s="12" t="e">
        <f>+Vertical_Cash_flow!#REF!</f>
        <v>#REF!</v>
      </c>
      <c r="AR7" s="13" t="e">
        <f>+Vertical_Cash_flow!#REF!</f>
        <v>#REF!</v>
      </c>
      <c r="AS7" s="13" t="e">
        <f>+Vertical_Cash_flow!#REF!</f>
        <v>#REF!</v>
      </c>
      <c r="AT7" s="14" t="e">
        <f>+Vertical_Cash_flow!#REF!</f>
        <v>#REF!</v>
      </c>
      <c r="AU7" s="12" t="e">
        <f>+Vertical_Cash_flow!#REF!</f>
        <v>#REF!</v>
      </c>
      <c r="AV7" s="13" t="e">
        <f>+Vertical_Cash_flow!#REF!</f>
        <v>#REF!</v>
      </c>
      <c r="AW7" s="13" t="e">
        <f>+Vertical_Cash_flow!#REF!</f>
        <v>#REF!</v>
      </c>
      <c r="AX7" s="14" t="e">
        <f>+Vertical_Cash_flow!#REF!</f>
        <v>#REF!</v>
      </c>
      <c r="AY7" s="12" t="e">
        <f>+Vertical_Cash_flow!#REF!</f>
        <v>#REF!</v>
      </c>
      <c r="AZ7" s="13" t="e">
        <f>+Vertical_Cash_flow!#REF!</f>
        <v>#REF!</v>
      </c>
      <c r="BA7" s="13" t="e">
        <f>+Vertical_Cash_flow!#REF!</f>
        <v>#REF!</v>
      </c>
      <c r="BB7" s="14" t="e">
        <f>+Vertical_Cash_flow!#REF!</f>
        <v>#REF!</v>
      </c>
      <c r="BC7" s="12" t="e">
        <f>+Vertical_Cash_flow!#REF!</f>
        <v>#REF!</v>
      </c>
      <c r="BD7" s="13" t="e">
        <f>+Vertical_Cash_flow!#REF!</f>
        <v>#REF!</v>
      </c>
      <c r="BE7" s="13" t="e">
        <f>+Vertical_Cash_flow!#REF!</f>
        <v>#REF!</v>
      </c>
      <c r="BF7" s="14" t="e">
        <f>+Vertical_Cash_flow!#REF!</f>
        <v>#REF!</v>
      </c>
      <c r="BG7" s="12" t="e">
        <f>+Vertical_Cash_flow!#REF!</f>
        <v>#REF!</v>
      </c>
      <c r="BH7" s="13" t="e">
        <f>+Vertical_Cash_flow!#REF!</f>
        <v>#REF!</v>
      </c>
      <c r="BI7" s="13" t="e">
        <f>+Vertical_Cash_flow!#REF!</f>
        <v>#REF!</v>
      </c>
      <c r="BJ7" s="14" t="e">
        <f>+Vertical_Cash_flow!#REF!</f>
        <v>#REF!</v>
      </c>
      <c r="BK7" s="12" t="e">
        <f>+Vertical_Cash_flow!#REF!</f>
        <v>#REF!</v>
      </c>
      <c r="BL7" s="13" t="e">
        <f>+Vertical_Cash_flow!#REF!</f>
        <v>#REF!</v>
      </c>
      <c r="BM7" s="13" t="e">
        <f>+Vertical_Cash_flow!#REF!</f>
        <v>#REF!</v>
      </c>
      <c r="BN7" s="14" t="e">
        <f>+Vertical_Cash_flow!#REF!</f>
        <v>#REF!</v>
      </c>
      <c r="BO7" s="12">
        <f>+Vertical_Cash_flow!C17</f>
        <v>602723.44299999997</v>
      </c>
      <c r="BP7" s="13">
        <f>+Vertical_Cash_flow!D17</f>
        <v>-297580.16399999987</v>
      </c>
      <c r="BQ7" s="13">
        <f>+Vertical_Cash_flow!G17</f>
        <v>2682661.8911212119</v>
      </c>
      <c r="BR7" s="14">
        <f>+Vertical_Cash_flow!H17</f>
        <v>804798.5673363636</v>
      </c>
      <c r="BS7" s="12" t="e">
        <f>+Vertical_Cash_flow!#REF!</f>
        <v>#REF!</v>
      </c>
      <c r="BT7" s="13" t="e">
        <f>+Vertical_Cash_flow!#REF!</f>
        <v>#REF!</v>
      </c>
      <c r="BU7" s="13" t="e">
        <f>+Vertical_Cash_flow!#REF!</f>
        <v>#REF!</v>
      </c>
      <c r="BV7" s="14" t="e">
        <f>+Vertical_Cash_flow!#REF!</f>
        <v>#REF!</v>
      </c>
      <c r="BW7" s="12" t="e">
        <f>+Vertical_Cash_flow!#REF!</f>
        <v>#REF!</v>
      </c>
      <c r="BX7" s="13" t="e">
        <f>+Vertical_Cash_flow!#REF!</f>
        <v>#REF!</v>
      </c>
      <c r="BY7" s="13" t="e">
        <f>+Vertical_Cash_flow!#REF!</f>
        <v>#REF!</v>
      </c>
      <c r="BZ7" s="14" t="e">
        <f>+Vertical_Cash_flow!#REF!</f>
        <v>#REF!</v>
      </c>
      <c r="CA7" s="12" t="e">
        <f>+Vertical_Cash_flow!#REF!</f>
        <v>#REF!</v>
      </c>
      <c r="CB7" s="13" t="e">
        <f>+Vertical_Cash_flow!#REF!</f>
        <v>#REF!</v>
      </c>
      <c r="CC7" s="13" t="e">
        <f>+Vertical_Cash_flow!#REF!</f>
        <v>#REF!</v>
      </c>
      <c r="CD7" s="14" t="e">
        <f>+Vertical_Cash_flow!#REF!</f>
        <v>#REF!</v>
      </c>
      <c r="CE7" s="12" t="e">
        <f>+Vertical_Cash_flow!#REF!</f>
        <v>#REF!</v>
      </c>
      <c r="CF7" s="13" t="e">
        <f>+Vertical_Cash_flow!#REF!</f>
        <v>#REF!</v>
      </c>
      <c r="CG7" s="13" t="e">
        <f>+Vertical_Cash_flow!#REF!</f>
        <v>#REF!</v>
      </c>
      <c r="CH7" s="14" t="e">
        <f>+Vertical_Cash_flow!#REF!</f>
        <v>#REF!</v>
      </c>
      <c r="CI7" s="12" t="e">
        <f>+Vertical_Cash_flow!#REF!</f>
        <v>#REF!</v>
      </c>
      <c r="CJ7" s="13" t="e">
        <f>+Vertical_Cash_flow!#REF!</f>
        <v>#REF!</v>
      </c>
      <c r="CK7" s="13" t="e">
        <f>+Vertical_Cash_flow!#REF!</f>
        <v>#REF!</v>
      </c>
      <c r="CL7" s="14" t="e">
        <f>+Vertical_Cash_flow!#REF!</f>
        <v>#REF!</v>
      </c>
      <c r="CM7" s="12" t="e">
        <f>+Vertical_Cash_flow!#REF!</f>
        <v>#REF!</v>
      </c>
      <c r="CN7" s="13" t="e">
        <f>+Vertical_Cash_flow!#REF!</f>
        <v>#REF!</v>
      </c>
      <c r="CO7" s="13" t="e">
        <f>+Vertical_Cash_flow!#REF!</f>
        <v>#REF!</v>
      </c>
      <c r="CP7" s="14" t="e">
        <f>+Vertical_Cash_flow!#REF!</f>
        <v>#REF!</v>
      </c>
      <c r="CQ7" s="12" t="e">
        <f>+Vertical_Cash_flow!#REF!</f>
        <v>#REF!</v>
      </c>
      <c r="CR7" s="13" t="e">
        <f>+Vertical_Cash_flow!#REF!</f>
        <v>#REF!</v>
      </c>
      <c r="CS7" s="13" t="e">
        <f>+Vertical_Cash_flow!#REF!</f>
        <v>#REF!</v>
      </c>
      <c r="CT7" s="14" t="e">
        <f>+Vertical_Cash_flow!#REF!</f>
        <v>#REF!</v>
      </c>
      <c r="CU7" s="12" t="e">
        <f>+Vertical_Cash_flow!#REF!</f>
        <v>#REF!</v>
      </c>
      <c r="CV7" s="13" t="e">
        <f>+Vertical_Cash_flow!#REF!</f>
        <v>#REF!</v>
      </c>
      <c r="CW7" s="13" t="e">
        <f>+Vertical_Cash_flow!#REF!</f>
        <v>#REF!</v>
      </c>
      <c r="CX7" s="14" t="e">
        <f>+Vertical_Cash_flow!#REF!</f>
        <v>#REF!</v>
      </c>
      <c r="CY7" s="12" t="e">
        <f>+Vertical_Cash_flow!#REF!</f>
        <v>#REF!</v>
      </c>
      <c r="CZ7" s="13" t="e">
        <f>+Vertical_Cash_flow!#REF!</f>
        <v>#REF!</v>
      </c>
      <c r="DA7" s="13" t="e">
        <f>+Vertical_Cash_flow!#REF!</f>
        <v>#REF!</v>
      </c>
      <c r="DB7" s="14" t="e">
        <f>+Vertical_Cash_flow!#REF!</f>
        <v>#REF!</v>
      </c>
      <c r="DC7" s="12" t="e">
        <f>+Vertical_Cash_flow!#REF!</f>
        <v>#REF!</v>
      </c>
      <c r="DD7" s="13" t="e">
        <f>+Vertical_Cash_flow!#REF!</f>
        <v>#REF!</v>
      </c>
      <c r="DE7" s="13" t="e">
        <f>+Vertical_Cash_flow!#REF!</f>
        <v>#REF!</v>
      </c>
      <c r="DF7" s="14" t="e">
        <f>+Vertical_Cash_flow!#REF!</f>
        <v>#REF!</v>
      </c>
      <c r="DG7" s="12" t="e">
        <f>+Vertical_Cash_flow!#REF!</f>
        <v>#REF!</v>
      </c>
      <c r="DH7" s="13" t="e">
        <f>+Vertical_Cash_flow!#REF!</f>
        <v>#REF!</v>
      </c>
      <c r="DI7" s="13" t="e">
        <f>+Vertical_Cash_flow!#REF!</f>
        <v>#REF!</v>
      </c>
      <c r="DJ7" s="14" t="e">
        <f>+Vertical_Cash_flow!#REF!</f>
        <v>#REF!</v>
      </c>
      <c r="DK7" s="12" t="e">
        <f>+Vertical_Cash_flow!#REF!</f>
        <v>#REF!</v>
      </c>
      <c r="DL7" s="13" t="e">
        <f>+Vertical_Cash_flow!#REF!</f>
        <v>#REF!</v>
      </c>
      <c r="DM7" s="13" t="e">
        <f>+Vertical_Cash_flow!#REF!</f>
        <v>#REF!</v>
      </c>
      <c r="DN7" s="14" t="e">
        <f>+Vertical_Cash_flow!#REF!</f>
        <v>#REF!</v>
      </c>
      <c r="DO7" s="12" t="e">
        <f>+Vertical_Cash_flow!#REF!</f>
        <v>#REF!</v>
      </c>
      <c r="DP7" s="13" t="e">
        <f>+Vertical_Cash_flow!#REF!</f>
        <v>#REF!</v>
      </c>
      <c r="DQ7" s="13" t="e">
        <f>+Vertical_Cash_flow!#REF!</f>
        <v>#REF!</v>
      </c>
      <c r="DR7" s="14" t="e">
        <f>+Vertical_Cash_flow!#REF!</f>
        <v>#REF!</v>
      </c>
      <c r="DS7" s="12" t="e">
        <f>+Vertical_Cash_flow!#REF!</f>
        <v>#REF!</v>
      </c>
      <c r="DT7" s="13" t="e">
        <f>+Vertical_Cash_flow!#REF!</f>
        <v>#REF!</v>
      </c>
      <c r="DU7" s="13" t="e">
        <f>+Vertical_Cash_flow!#REF!</f>
        <v>#REF!</v>
      </c>
      <c r="DV7" s="14" t="e">
        <f>+Vertical_Cash_flow!#REF!</f>
        <v>#REF!</v>
      </c>
    </row>
    <row r="8" spans="1:126" s="24" customFormat="1" x14ac:dyDescent="0.2">
      <c r="A8"/>
      <c r="B8"/>
      <c r="C8" s="15"/>
      <c r="D8" s="16"/>
      <c r="E8" s="16"/>
      <c r="F8" s="17"/>
      <c r="G8" s="15"/>
      <c r="H8" s="16"/>
      <c r="I8" s="16"/>
      <c r="J8" s="17"/>
      <c r="K8" s="15"/>
      <c r="L8" s="16"/>
      <c r="M8" s="16"/>
      <c r="N8" s="17"/>
      <c r="O8" s="15"/>
      <c r="P8" s="16"/>
      <c r="Q8" s="16"/>
      <c r="R8" s="17"/>
      <c r="S8" s="15"/>
      <c r="T8" s="16"/>
      <c r="U8" s="16"/>
      <c r="V8" s="17"/>
      <c r="W8" s="15"/>
      <c r="X8" s="16"/>
      <c r="Y8" s="16"/>
      <c r="Z8" s="17"/>
      <c r="AA8" s="15"/>
      <c r="AB8" s="16"/>
      <c r="AC8" s="16"/>
      <c r="AD8" s="17"/>
      <c r="AE8" s="15"/>
      <c r="AF8" s="16"/>
      <c r="AG8" s="16"/>
      <c r="AH8" s="17"/>
      <c r="AI8" s="15"/>
      <c r="AJ8" s="16"/>
      <c r="AK8" s="16"/>
      <c r="AL8" s="17"/>
      <c r="AM8" s="15"/>
      <c r="AN8" s="16"/>
      <c r="AO8" s="16"/>
      <c r="AP8" s="17"/>
      <c r="AQ8" s="15"/>
      <c r="AR8" s="16"/>
      <c r="AS8" s="16"/>
      <c r="AT8" s="17"/>
      <c r="AU8" s="15"/>
      <c r="AV8" s="16"/>
      <c r="AW8" s="16"/>
      <c r="AX8" s="17"/>
      <c r="AY8" s="15"/>
      <c r="AZ8" s="16"/>
      <c r="BA8" s="16"/>
      <c r="BB8" s="17"/>
      <c r="BC8" s="15"/>
      <c r="BD8" s="16"/>
      <c r="BE8" s="16"/>
      <c r="BF8" s="17"/>
      <c r="BG8" s="15"/>
      <c r="BH8" s="16"/>
      <c r="BI8" s="16"/>
      <c r="BJ8" s="17"/>
      <c r="BK8" s="15"/>
      <c r="BL8" s="16"/>
      <c r="BM8" s="16"/>
      <c r="BN8" s="17"/>
      <c r="BO8" s="15"/>
      <c r="BP8" s="16"/>
      <c r="BQ8" s="16"/>
      <c r="BR8" s="17"/>
      <c r="BS8" s="15"/>
      <c r="BT8" s="16"/>
      <c r="BU8" s="16"/>
      <c r="BV8" s="17"/>
      <c r="BW8" s="15"/>
      <c r="BX8" s="16"/>
      <c r="BY8" s="16"/>
      <c r="BZ8" s="17"/>
      <c r="CA8" s="15"/>
      <c r="CB8" s="16"/>
      <c r="CC8" s="16"/>
      <c r="CD8" s="17"/>
      <c r="CE8" s="15"/>
      <c r="CF8" s="16"/>
      <c r="CG8" s="16"/>
      <c r="CH8" s="17"/>
      <c r="CI8" s="15"/>
      <c r="CJ8" s="16"/>
      <c r="CK8" s="16"/>
      <c r="CL8" s="17"/>
      <c r="CM8" s="15"/>
      <c r="CN8" s="16"/>
      <c r="CO8" s="16"/>
      <c r="CP8" s="17"/>
      <c r="CQ8" s="15"/>
      <c r="CR8" s="16"/>
      <c r="CS8" s="16"/>
      <c r="CT8" s="17"/>
      <c r="CU8" s="15"/>
      <c r="CV8" s="16"/>
      <c r="CW8" s="16"/>
      <c r="CX8" s="17"/>
      <c r="CY8" s="15"/>
      <c r="CZ8" s="16"/>
      <c r="DA8" s="16"/>
      <c r="DB8" s="17"/>
      <c r="DC8" s="15"/>
      <c r="DD8" s="16"/>
      <c r="DE8" s="16"/>
      <c r="DF8" s="17"/>
      <c r="DG8" s="15"/>
      <c r="DH8" s="16"/>
      <c r="DI8" s="16"/>
      <c r="DJ8" s="17"/>
      <c r="DK8" s="15"/>
      <c r="DL8" s="16"/>
      <c r="DM8" s="16"/>
      <c r="DN8" s="17"/>
      <c r="DO8" s="15"/>
      <c r="DP8" s="16"/>
      <c r="DQ8" s="16"/>
      <c r="DR8" s="17"/>
      <c r="DS8" s="15"/>
      <c r="DT8" s="16"/>
      <c r="DU8" s="16"/>
      <c r="DV8" s="17"/>
    </row>
    <row r="9" spans="1:126" s="24" customFormat="1" ht="15.75" customHeight="1" x14ac:dyDescent="0.2">
      <c r="A9" t="s">
        <v>3</v>
      </c>
      <c r="B9" t="s">
        <v>19</v>
      </c>
      <c r="C9" s="15"/>
      <c r="D9" s="16"/>
      <c r="E9" s="16"/>
      <c r="F9" s="17"/>
      <c r="G9" s="15" t="e">
        <f>Vertical_Cash_flow!#REF!</f>
        <v>#REF!</v>
      </c>
      <c r="H9" s="16" t="e">
        <f>Vertical_Cash_flow!#REF!</f>
        <v>#REF!</v>
      </c>
      <c r="I9" s="16" t="e">
        <f>Vertical_Cash_flow!#REF!</f>
        <v>#REF!</v>
      </c>
      <c r="J9" s="17" t="e">
        <f>Vertical_Cash_flow!#REF!</f>
        <v>#REF!</v>
      </c>
      <c r="K9" s="15" t="e">
        <f>Vertical_Cash_flow!#REF!</f>
        <v>#REF!</v>
      </c>
      <c r="L9" s="16" t="e">
        <f>Vertical_Cash_flow!#REF!</f>
        <v>#REF!</v>
      </c>
      <c r="M9" s="16" t="e">
        <f>Vertical_Cash_flow!#REF!</f>
        <v>#REF!</v>
      </c>
      <c r="N9" s="17" t="e">
        <f>Vertical_Cash_flow!#REF!</f>
        <v>#REF!</v>
      </c>
      <c r="O9" s="15" t="e">
        <f>Vertical_Cash_flow!#REF!</f>
        <v>#REF!</v>
      </c>
      <c r="P9" s="16" t="e">
        <f>Vertical_Cash_flow!#REF!</f>
        <v>#REF!</v>
      </c>
      <c r="Q9" s="16" t="e">
        <f>Vertical_Cash_flow!#REF!</f>
        <v>#REF!</v>
      </c>
      <c r="R9" s="17" t="e">
        <f>Vertical_Cash_flow!#REF!</f>
        <v>#REF!</v>
      </c>
      <c r="S9" s="15" t="e">
        <f>Vertical_Cash_flow!#REF!</f>
        <v>#REF!</v>
      </c>
      <c r="T9" s="16" t="e">
        <f>Vertical_Cash_flow!#REF!</f>
        <v>#REF!</v>
      </c>
      <c r="U9" s="16" t="e">
        <f>Vertical_Cash_flow!#REF!</f>
        <v>#REF!</v>
      </c>
      <c r="V9" s="17" t="e">
        <f>Vertical_Cash_flow!#REF!</f>
        <v>#REF!</v>
      </c>
      <c r="W9" s="15" t="e">
        <f>Vertical_Cash_flow!#REF!</f>
        <v>#REF!</v>
      </c>
      <c r="X9" s="16" t="e">
        <f>Vertical_Cash_flow!#REF!</f>
        <v>#REF!</v>
      </c>
      <c r="Y9" s="16" t="e">
        <f>Vertical_Cash_flow!#REF!</f>
        <v>#REF!</v>
      </c>
      <c r="Z9" s="17" t="e">
        <f>Vertical_Cash_flow!#REF!</f>
        <v>#REF!</v>
      </c>
      <c r="AA9" s="15" t="e">
        <f>Vertical_Cash_flow!#REF!</f>
        <v>#REF!</v>
      </c>
      <c r="AB9" s="16" t="e">
        <f>Vertical_Cash_flow!#REF!</f>
        <v>#REF!</v>
      </c>
      <c r="AC9" s="16" t="e">
        <f>Vertical_Cash_flow!#REF!</f>
        <v>#REF!</v>
      </c>
      <c r="AD9" s="17" t="e">
        <f>Vertical_Cash_flow!#REF!</f>
        <v>#REF!</v>
      </c>
      <c r="AE9" s="15" t="e">
        <f>Vertical_Cash_flow!#REF!</f>
        <v>#REF!</v>
      </c>
      <c r="AF9" s="16" t="e">
        <f>Vertical_Cash_flow!#REF!</f>
        <v>#REF!</v>
      </c>
      <c r="AG9" s="16" t="e">
        <f>Vertical_Cash_flow!#REF!</f>
        <v>#REF!</v>
      </c>
      <c r="AH9" s="17" t="e">
        <f>Vertical_Cash_flow!#REF!</f>
        <v>#REF!</v>
      </c>
      <c r="AI9" s="15" t="e">
        <f>Vertical_Cash_flow!#REF!</f>
        <v>#REF!</v>
      </c>
      <c r="AJ9" s="16" t="e">
        <f>Vertical_Cash_flow!#REF!</f>
        <v>#REF!</v>
      </c>
      <c r="AK9" s="16" t="e">
        <f>Vertical_Cash_flow!#REF!</f>
        <v>#REF!</v>
      </c>
      <c r="AL9" s="17" t="e">
        <f>Vertical_Cash_flow!#REF!</f>
        <v>#REF!</v>
      </c>
      <c r="AM9" s="15" t="e">
        <f>Vertical_Cash_flow!#REF!</f>
        <v>#REF!</v>
      </c>
      <c r="AN9" s="16" t="e">
        <f>Vertical_Cash_flow!#REF!</f>
        <v>#REF!</v>
      </c>
      <c r="AO9" s="16" t="e">
        <f>Vertical_Cash_flow!#REF!</f>
        <v>#REF!</v>
      </c>
      <c r="AP9" s="17" t="e">
        <f>Vertical_Cash_flow!#REF!</f>
        <v>#REF!</v>
      </c>
      <c r="AQ9" s="15" t="e">
        <f>Vertical_Cash_flow!#REF!</f>
        <v>#REF!</v>
      </c>
      <c r="AR9" s="16" t="e">
        <f>Vertical_Cash_flow!#REF!</f>
        <v>#REF!</v>
      </c>
      <c r="AS9" s="16" t="e">
        <f>Vertical_Cash_flow!#REF!</f>
        <v>#REF!</v>
      </c>
      <c r="AT9" s="17" t="e">
        <f>Vertical_Cash_flow!#REF!</f>
        <v>#REF!</v>
      </c>
      <c r="AU9" s="15" t="e">
        <f>Vertical_Cash_flow!#REF!</f>
        <v>#REF!</v>
      </c>
      <c r="AV9" s="16" t="e">
        <f>Vertical_Cash_flow!#REF!</f>
        <v>#REF!</v>
      </c>
      <c r="AW9" s="16" t="e">
        <f>Vertical_Cash_flow!#REF!</f>
        <v>#REF!</v>
      </c>
      <c r="AX9" s="17" t="e">
        <f>Vertical_Cash_flow!#REF!</f>
        <v>#REF!</v>
      </c>
      <c r="AY9" s="15" t="e">
        <f>Vertical_Cash_flow!#REF!</f>
        <v>#REF!</v>
      </c>
      <c r="AZ9" s="16" t="e">
        <f>Vertical_Cash_flow!#REF!</f>
        <v>#REF!</v>
      </c>
      <c r="BA9" s="16" t="e">
        <f>Vertical_Cash_flow!#REF!</f>
        <v>#REF!</v>
      </c>
      <c r="BB9" s="17" t="e">
        <f>Vertical_Cash_flow!#REF!</f>
        <v>#REF!</v>
      </c>
      <c r="BC9" s="15" t="e">
        <f>Vertical_Cash_flow!#REF!</f>
        <v>#REF!</v>
      </c>
      <c r="BD9" s="16" t="e">
        <f>Vertical_Cash_flow!#REF!</f>
        <v>#REF!</v>
      </c>
      <c r="BE9" s="16" t="e">
        <f>Vertical_Cash_flow!#REF!</f>
        <v>#REF!</v>
      </c>
      <c r="BF9" s="17" t="e">
        <f>Vertical_Cash_flow!#REF!</f>
        <v>#REF!</v>
      </c>
      <c r="BG9" s="15" t="e">
        <f>Vertical_Cash_flow!#REF!</f>
        <v>#REF!</v>
      </c>
      <c r="BH9" s="16" t="e">
        <f>Vertical_Cash_flow!#REF!</f>
        <v>#REF!</v>
      </c>
      <c r="BI9" s="16" t="e">
        <f>Vertical_Cash_flow!#REF!</f>
        <v>#REF!</v>
      </c>
      <c r="BJ9" s="17" t="e">
        <f>Vertical_Cash_flow!#REF!</f>
        <v>#REF!</v>
      </c>
      <c r="BK9" s="15" t="e">
        <f>Vertical_Cash_flow!#REF!</f>
        <v>#REF!</v>
      </c>
      <c r="BL9" s="16" t="e">
        <f>Vertical_Cash_flow!#REF!</f>
        <v>#REF!</v>
      </c>
      <c r="BM9" s="16" t="e">
        <f>Vertical_Cash_flow!#REF!</f>
        <v>#REF!</v>
      </c>
      <c r="BN9" s="17" t="e">
        <f>Vertical_Cash_flow!#REF!</f>
        <v>#REF!</v>
      </c>
      <c r="BO9" s="15">
        <f>Vertical_Cash_flow!C76</f>
        <v>745788.58299999987</v>
      </c>
      <c r="BP9" s="16">
        <f>Vertical_Cash_flow!D76</f>
        <v>1270000</v>
      </c>
      <c r="BQ9" s="16">
        <f>Vertical_Cash_flow!G76</f>
        <v>3159059.1496666665</v>
      </c>
      <c r="BR9" s="17">
        <f>Vertical_Cash_flow!H76</f>
        <v>947717.74490000005</v>
      </c>
      <c r="BS9" s="15" t="e">
        <f>Vertical_Cash_flow!#REF!</f>
        <v>#REF!</v>
      </c>
      <c r="BT9" s="16" t="e">
        <f>Vertical_Cash_flow!#REF!</f>
        <v>#REF!</v>
      </c>
      <c r="BU9" s="16" t="e">
        <f>Vertical_Cash_flow!#REF!</f>
        <v>#REF!</v>
      </c>
      <c r="BV9" s="17" t="e">
        <f>Vertical_Cash_flow!#REF!</f>
        <v>#REF!</v>
      </c>
      <c r="BW9" s="15" t="e">
        <f>Vertical_Cash_flow!#REF!</f>
        <v>#REF!</v>
      </c>
      <c r="BX9" s="16" t="e">
        <f>Vertical_Cash_flow!#REF!</f>
        <v>#REF!</v>
      </c>
      <c r="BY9" s="16" t="e">
        <f>Vertical_Cash_flow!#REF!</f>
        <v>#REF!</v>
      </c>
      <c r="BZ9" s="17" t="e">
        <f>Vertical_Cash_flow!#REF!</f>
        <v>#REF!</v>
      </c>
      <c r="CA9" s="15" t="e">
        <f>Vertical_Cash_flow!#REF!</f>
        <v>#REF!</v>
      </c>
      <c r="CB9" s="16" t="e">
        <f>Vertical_Cash_flow!#REF!</f>
        <v>#REF!</v>
      </c>
      <c r="CC9" s="16" t="e">
        <f>Vertical_Cash_flow!#REF!</f>
        <v>#REF!</v>
      </c>
      <c r="CD9" s="17" t="e">
        <f>Vertical_Cash_flow!#REF!</f>
        <v>#REF!</v>
      </c>
      <c r="CE9" s="15" t="e">
        <f>Vertical_Cash_flow!#REF!</f>
        <v>#REF!</v>
      </c>
      <c r="CF9" s="16" t="e">
        <f>Vertical_Cash_flow!#REF!</f>
        <v>#REF!</v>
      </c>
      <c r="CG9" s="16" t="e">
        <f>Vertical_Cash_flow!#REF!</f>
        <v>#REF!</v>
      </c>
      <c r="CH9" s="17" t="e">
        <f>Vertical_Cash_flow!#REF!</f>
        <v>#REF!</v>
      </c>
      <c r="CI9" s="15" t="e">
        <f>Vertical_Cash_flow!#REF!</f>
        <v>#REF!</v>
      </c>
      <c r="CJ9" s="16" t="e">
        <f>Vertical_Cash_flow!#REF!</f>
        <v>#REF!</v>
      </c>
      <c r="CK9" s="16" t="e">
        <f>Vertical_Cash_flow!#REF!</f>
        <v>#REF!</v>
      </c>
      <c r="CL9" s="17" t="e">
        <f>Vertical_Cash_flow!#REF!</f>
        <v>#REF!</v>
      </c>
      <c r="CM9" s="15" t="e">
        <f>Vertical_Cash_flow!#REF!</f>
        <v>#REF!</v>
      </c>
      <c r="CN9" s="16" t="e">
        <f>Vertical_Cash_flow!#REF!</f>
        <v>#REF!</v>
      </c>
      <c r="CO9" s="16" t="e">
        <f>Vertical_Cash_flow!#REF!</f>
        <v>#REF!</v>
      </c>
      <c r="CP9" s="17" t="e">
        <f>Vertical_Cash_flow!#REF!</f>
        <v>#REF!</v>
      </c>
      <c r="CQ9" s="15" t="e">
        <f>Vertical_Cash_flow!#REF!</f>
        <v>#REF!</v>
      </c>
      <c r="CR9" s="16" t="e">
        <f>Vertical_Cash_flow!#REF!</f>
        <v>#REF!</v>
      </c>
      <c r="CS9" s="16" t="e">
        <f>Vertical_Cash_flow!#REF!</f>
        <v>#REF!</v>
      </c>
      <c r="CT9" s="17" t="e">
        <f>Vertical_Cash_flow!#REF!</f>
        <v>#REF!</v>
      </c>
      <c r="CU9" s="15" t="e">
        <f>Vertical_Cash_flow!#REF!</f>
        <v>#REF!</v>
      </c>
      <c r="CV9" s="16" t="e">
        <f>Vertical_Cash_flow!#REF!</f>
        <v>#REF!</v>
      </c>
      <c r="CW9" s="16" t="e">
        <f>Vertical_Cash_flow!#REF!</f>
        <v>#REF!</v>
      </c>
      <c r="CX9" s="17" t="e">
        <f>Vertical_Cash_flow!#REF!</f>
        <v>#REF!</v>
      </c>
      <c r="CY9" s="15" t="e">
        <f>Vertical_Cash_flow!#REF!</f>
        <v>#REF!</v>
      </c>
      <c r="CZ9" s="16" t="e">
        <f>Vertical_Cash_flow!#REF!</f>
        <v>#REF!</v>
      </c>
      <c r="DA9" s="16" t="e">
        <f>Vertical_Cash_flow!#REF!</f>
        <v>#REF!</v>
      </c>
      <c r="DB9" s="17" t="e">
        <f>Vertical_Cash_flow!#REF!</f>
        <v>#REF!</v>
      </c>
      <c r="DC9" s="15" t="e">
        <f>Vertical_Cash_flow!#REF!</f>
        <v>#REF!</v>
      </c>
      <c r="DD9" s="16" t="e">
        <f>Vertical_Cash_flow!#REF!</f>
        <v>#REF!</v>
      </c>
      <c r="DE9" s="16" t="e">
        <f>Vertical_Cash_flow!#REF!</f>
        <v>#REF!</v>
      </c>
      <c r="DF9" s="17" t="e">
        <f>Vertical_Cash_flow!#REF!</f>
        <v>#REF!</v>
      </c>
      <c r="DG9" s="15" t="e">
        <f>Vertical_Cash_flow!#REF!</f>
        <v>#REF!</v>
      </c>
      <c r="DH9" s="16" t="e">
        <f>Vertical_Cash_flow!#REF!</f>
        <v>#REF!</v>
      </c>
      <c r="DI9" s="16" t="e">
        <f>Vertical_Cash_flow!#REF!</f>
        <v>#REF!</v>
      </c>
      <c r="DJ9" s="17" t="e">
        <f>Vertical_Cash_flow!#REF!</f>
        <v>#REF!</v>
      </c>
      <c r="DK9" s="15" t="e">
        <f>Vertical_Cash_flow!#REF!</f>
        <v>#REF!</v>
      </c>
      <c r="DL9" s="16" t="e">
        <f>Vertical_Cash_flow!#REF!</f>
        <v>#REF!</v>
      </c>
      <c r="DM9" s="16" t="e">
        <f>Vertical_Cash_flow!#REF!</f>
        <v>#REF!</v>
      </c>
      <c r="DN9" s="17" t="e">
        <f>Vertical_Cash_flow!#REF!</f>
        <v>#REF!</v>
      </c>
      <c r="DO9" s="15" t="e">
        <f>Vertical_Cash_flow!#REF!</f>
        <v>#REF!</v>
      </c>
      <c r="DP9" s="16" t="e">
        <f>Vertical_Cash_flow!#REF!</f>
        <v>#REF!</v>
      </c>
      <c r="DQ9" s="16" t="e">
        <f>Vertical_Cash_flow!#REF!</f>
        <v>#REF!</v>
      </c>
      <c r="DR9" s="17" t="e">
        <f>Vertical_Cash_flow!#REF!</f>
        <v>#REF!</v>
      </c>
      <c r="DS9" s="15" t="e">
        <f>Vertical_Cash_flow!#REF!</f>
        <v>#REF!</v>
      </c>
      <c r="DT9" s="16" t="e">
        <f>Vertical_Cash_flow!#REF!</f>
        <v>#REF!</v>
      </c>
      <c r="DU9" s="16" t="e">
        <f>Vertical_Cash_flow!#REF!</f>
        <v>#REF!</v>
      </c>
      <c r="DV9" s="17" t="e">
        <f>Vertical_Cash_flow!#REF!</f>
        <v>#REF!</v>
      </c>
    </row>
    <row r="10" spans="1:126" s="24" customFormat="1" x14ac:dyDescent="0.2">
      <c r="A10" t="s">
        <v>3</v>
      </c>
      <c r="B10" t="s">
        <v>20</v>
      </c>
      <c r="C10" s="15"/>
      <c r="D10" s="16"/>
      <c r="E10" s="16"/>
      <c r="F10" s="17"/>
      <c r="G10" s="15" t="e">
        <f>-Vertical_Cash_flow!#REF!</f>
        <v>#REF!</v>
      </c>
      <c r="H10" s="16" t="e">
        <f>-Vertical_Cash_flow!#REF!</f>
        <v>#REF!</v>
      </c>
      <c r="I10" s="16" t="e">
        <f>-Vertical_Cash_flow!#REF!</f>
        <v>#REF!</v>
      </c>
      <c r="J10" s="17" t="e">
        <f>-Vertical_Cash_flow!#REF!</f>
        <v>#REF!</v>
      </c>
      <c r="K10" s="15" t="e">
        <f>-Vertical_Cash_flow!#REF!</f>
        <v>#REF!</v>
      </c>
      <c r="L10" s="16" t="e">
        <f>-Vertical_Cash_flow!#REF!</f>
        <v>#REF!</v>
      </c>
      <c r="M10" s="16" t="e">
        <f>-Vertical_Cash_flow!#REF!</f>
        <v>#REF!</v>
      </c>
      <c r="N10" s="17" t="e">
        <f>-Vertical_Cash_flow!#REF!</f>
        <v>#REF!</v>
      </c>
      <c r="O10" s="15" t="e">
        <f>-Vertical_Cash_flow!#REF!</f>
        <v>#REF!</v>
      </c>
      <c r="P10" s="16" t="e">
        <f>-Vertical_Cash_flow!#REF!</f>
        <v>#REF!</v>
      </c>
      <c r="Q10" s="16" t="e">
        <f>-Vertical_Cash_flow!#REF!</f>
        <v>#REF!</v>
      </c>
      <c r="R10" s="17" t="e">
        <f>-Vertical_Cash_flow!#REF!</f>
        <v>#REF!</v>
      </c>
      <c r="S10" s="15" t="e">
        <f>-Vertical_Cash_flow!#REF!</f>
        <v>#REF!</v>
      </c>
      <c r="T10" s="16" t="e">
        <f>-Vertical_Cash_flow!#REF!</f>
        <v>#REF!</v>
      </c>
      <c r="U10" s="16" t="e">
        <f>-Vertical_Cash_flow!#REF!</f>
        <v>#REF!</v>
      </c>
      <c r="V10" s="17" t="e">
        <f>-Vertical_Cash_flow!#REF!</f>
        <v>#REF!</v>
      </c>
      <c r="W10" s="15" t="e">
        <f>-Vertical_Cash_flow!#REF!</f>
        <v>#REF!</v>
      </c>
      <c r="X10" s="16" t="e">
        <f>-Vertical_Cash_flow!#REF!</f>
        <v>#REF!</v>
      </c>
      <c r="Y10" s="16" t="e">
        <f>-Vertical_Cash_flow!#REF!</f>
        <v>#REF!</v>
      </c>
      <c r="Z10" s="17" t="e">
        <f>-Vertical_Cash_flow!#REF!</f>
        <v>#REF!</v>
      </c>
      <c r="AA10" s="15" t="e">
        <f>-Vertical_Cash_flow!#REF!</f>
        <v>#REF!</v>
      </c>
      <c r="AB10" s="16" t="e">
        <f>-Vertical_Cash_flow!#REF!</f>
        <v>#REF!</v>
      </c>
      <c r="AC10" s="16" t="e">
        <f>-Vertical_Cash_flow!#REF!</f>
        <v>#REF!</v>
      </c>
      <c r="AD10" s="17" t="e">
        <f>-Vertical_Cash_flow!#REF!</f>
        <v>#REF!</v>
      </c>
      <c r="AE10" s="15" t="e">
        <f>-Vertical_Cash_flow!#REF!</f>
        <v>#REF!</v>
      </c>
      <c r="AF10" s="16" t="e">
        <f>-Vertical_Cash_flow!#REF!</f>
        <v>#REF!</v>
      </c>
      <c r="AG10" s="16" t="e">
        <f>-Vertical_Cash_flow!#REF!</f>
        <v>#REF!</v>
      </c>
      <c r="AH10" s="17" t="e">
        <f>-Vertical_Cash_flow!#REF!</f>
        <v>#REF!</v>
      </c>
      <c r="AI10" s="15" t="e">
        <f>-Vertical_Cash_flow!#REF!</f>
        <v>#REF!</v>
      </c>
      <c r="AJ10" s="16" t="e">
        <f>-Vertical_Cash_flow!#REF!</f>
        <v>#REF!</v>
      </c>
      <c r="AK10" s="16" t="e">
        <f>-Vertical_Cash_flow!#REF!</f>
        <v>#REF!</v>
      </c>
      <c r="AL10" s="17" t="e">
        <f>-Vertical_Cash_flow!#REF!</f>
        <v>#REF!</v>
      </c>
      <c r="AM10" s="15" t="e">
        <f>-Vertical_Cash_flow!#REF!</f>
        <v>#REF!</v>
      </c>
      <c r="AN10" s="16" t="e">
        <f>-Vertical_Cash_flow!#REF!</f>
        <v>#REF!</v>
      </c>
      <c r="AO10" s="16" t="e">
        <f>-Vertical_Cash_flow!#REF!</f>
        <v>#REF!</v>
      </c>
      <c r="AP10" s="17" t="e">
        <f>-Vertical_Cash_flow!#REF!</f>
        <v>#REF!</v>
      </c>
      <c r="AQ10" s="15" t="e">
        <f>-Vertical_Cash_flow!#REF!</f>
        <v>#REF!</v>
      </c>
      <c r="AR10" s="16" t="e">
        <f>-Vertical_Cash_flow!#REF!</f>
        <v>#REF!</v>
      </c>
      <c r="AS10" s="16" t="e">
        <f>-Vertical_Cash_flow!#REF!</f>
        <v>#REF!</v>
      </c>
      <c r="AT10" s="17" t="e">
        <f>-Vertical_Cash_flow!#REF!</f>
        <v>#REF!</v>
      </c>
      <c r="AU10" s="15" t="e">
        <f>-Vertical_Cash_flow!#REF!</f>
        <v>#REF!</v>
      </c>
      <c r="AV10" s="16" t="e">
        <f>-Vertical_Cash_flow!#REF!</f>
        <v>#REF!</v>
      </c>
      <c r="AW10" s="16" t="e">
        <f>-Vertical_Cash_flow!#REF!</f>
        <v>#REF!</v>
      </c>
      <c r="AX10" s="17" t="e">
        <f>-Vertical_Cash_flow!#REF!</f>
        <v>#REF!</v>
      </c>
      <c r="AY10" s="15" t="e">
        <f>-Vertical_Cash_flow!#REF!</f>
        <v>#REF!</v>
      </c>
      <c r="AZ10" s="16" t="e">
        <f>-Vertical_Cash_flow!#REF!</f>
        <v>#REF!</v>
      </c>
      <c r="BA10" s="16" t="e">
        <f>-Vertical_Cash_flow!#REF!</f>
        <v>#REF!</v>
      </c>
      <c r="BB10" s="17" t="e">
        <f>-Vertical_Cash_flow!#REF!</f>
        <v>#REF!</v>
      </c>
      <c r="BC10" s="15" t="e">
        <f>-Vertical_Cash_flow!#REF!</f>
        <v>#REF!</v>
      </c>
      <c r="BD10" s="16" t="e">
        <f>-Vertical_Cash_flow!#REF!</f>
        <v>#REF!</v>
      </c>
      <c r="BE10" s="16" t="e">
        <f>-Vertical_Cash_flow!#REF!</f>
        <v>#REF!</v>
      </c>
      <c r="BF10" s="17" t="e">
        <f>-Vertical_Cash_flow!#REF!</f>
        <v>#REF!</v>
      </c>
      <c r="BG10" s="15" t="e">
        <f>-Vertical_Cash_flow!#REF!</f>
        <v>#REF!</v>
      </c>
      <c r="BH10" s="16" t="e">
        <f>-Vertical_Cash_flow!#REF!</f>
        <v>#REF!</v>
      </c>
      <c r="BI10" s="16" t="e">
        <f>-Vertical_Cash_flow!#REF!</f>
        <v>#REF!</v>
      </c>
      <c r="BJ10" s="17" t="e">
        <f>-Vertical_Cash_flow!#REF!</f>
        <v>#REF!</v>
      </c>
      <c r="BK10" s="15" t="e">
        <f>-Vertical_Cash_flow!#REF!</f>
        <v>#REF!</v>
      </c>
      <c r="BL10" s="16" t="e">
        <f>-Vertical_Cash_flow!#REF!</f>
        <v>#REF!</v>
      </c>
      <c r="BM10" s="16" t="e">
        <f>-Vertical_Cash_flow!#REF!</f>
        <v>#REF!</v>
      </c>
      <c r="BN10" s="17" t="e">
        <f>-Vertical_Cash_flow!#REF!</f>
        <v>#REF!</v>
      </c>
      <c r="BO10" s="15">
        <f>-Vertical_Cash_flow!C122</f>
        <v>-1345890.6</v>
      </c>
      <c r="BP10" s="16">
        <f>-Vertical_Cash_flow!D122</f>
        <v>-1420728.9950000001</v>
      </c>
      <c r="BQ10" s="16">
        <f>-Vertical_Cash_flow!G122</f>
        <v>-4434609.0949999997</v>
      </c>
      <c r="BR10" s="17">
        <f>-Vertical_Cash_flow!H122</f>
        <v>-1330382.7285000002</v>
      </c>
      <c r="BS10" s="15" t="e">
        <f>-Vertical_Cash_flow!#REF!</f>
        <v>#REF!</v>
      </c>
      <c r="BT10" s="16" t="e">
        <f>-Vertical_Cash_flow!#REF!</f>
        <v>#REF!</v>
      </c>
      <c r="BU10" s="16" t="e">
        <f>-Vertical_Cash_flow!#REF!</f>
        <v>#REF!</v>
      </c>
      <c r="BV10" s="17" t="e">
        <f>-Vertical_Cash_flow!#REF!</f>
        <v>#REF!</v>
      </c>
      <c r="BW10" s="15" t="e">
        <f>-Vertical_Cash_flow!#REF!</f>
        <v>#REF!</v>
      </c>
      <c r="BX10" s="16" t="e">
        <f>-Vertical_Cash_flow!#REF!</f>
        <v>#REF!</v>
      </c>
      <c r="BY10" s="16" t="e">
        <f>-Vertical_Cash_flow!#REF!</f>
        <v>#REF!</v>
      </c>
      <c r="BZ10" s="17" t="e">
        <f>-Vertical_Cash_flow!#REF!</f>
        <v>#REF!</v>
      </c>
      <c r="CA10" s="15" t="e">
        <f>-Vertical_Cash_flow!#REF!</f>
        <v>#REF!</v>
      </c>
      <c r="CB10" s="16" t="e">
        <f>-Vertical_Cash_flow!#REF!</f>
        <v>#REF!</v>
      </c>
      <c r="CC10" s="16" t="e">
        <f>-Vertical_Cash_flow!#REF!</f>
        <v>#REF!</v>
      </c>
      <c r="CD10" s="17" t="e">
        <f>-Vertical_Cash_flow!#REF!</f>
        <v>#REF!</v>
      </c>
      <c r="CE10" s="15" t="e">
        <f>-Vertical_Cash_flow!#REF!</f>
        <v>#REF!</v>
      </c>
      <c r="CF10" s="16" t="e">
        <f>-Vertical_Cash_flow!#REF!</f>
        <v>#REF!</v>
      </c>
      <c r="CG10" s="16" t="e">
        <f>-Vertical_Cash_flow!#REF!</f>
        <v>#REF!</v>
      </c>
      <c r="CH10" s="17" t="e">
        <f>-Vertical_Cash_flow!#REF!</f>
        <v>#REF!</v>
      </c>
      <c r="CI10" s="15" t="e">
        <f>-Vertical_Cash_flow!#REF!</f>
        <v>#REF!</v>
      </c>
      <c r="CJ10" s="16" t="e">
        <f>-Vertical_Cash_flow!#REF!</f>
        <v>#REF!</v>
      </c>
      <c r="CK10" s="16" t="e">
        <f>-Vertical_Cash_flow!#REF!</f>
        <v>#REF!</v>
      </c>
      <c r="CL10" s="17" t="e">
        <f>-Vertical_Cash_flow!#REF!</f>
        <v>#REF!</v>
      </c>
      <c r="CM10" s="15" t="e">
        <f>-Vertical_Cash_flow!#REF!</f>
        <v>#REF!</v>
      </c>
      <c r="CN10" s="16" t="e">
        <f>-Vertical_Cash_flow!#REF!</f>
        <v>#REF!</v>
      </c>
      <c r="CO10" s="16" t="e">
        <f>-Vertical_Cash_flow!#REF!</f>
        <v>#REF!</v>
      </c>
      <c r="CP10" s="17" t="e">
        <f>-Vertical_Cash_flow!#REF!</f>
        <v>#REF!</v>
      </c>
      <c r="CQ10" s="15" t="e">
        <f>-Vertical_Cash_flow!#REF!</f>
        <v>#REF!</v>
      </c>
      <c r="CR10" s="16" t="e">
        <f>-Vertical_Cash_flow!#REF!</f>
        <v>#REF!</v>
      </c>
      <c r="CS10" s="16" t="e">
        <f>-Vertical_Cash_flow!#REF!</f>
        <v>#REF!</v>
      </c>
      <c r="CT10" s="17" t="e">
        <f>-Vertical_Cash_flow!#REF!</f>
        <v>#REF!</v>
      </c>
      <c r="CU10" s="15" t="e">
        <f>-Vertical_Cash_flow!#REF!</f>
        <v>#REF!</v>
      </c>
      <c r="CV10" s="16" t="e">
        <f>-Vertical_Cash_flow!#REF!</f>
        <v>#REF!</v>
      </c>
      <c r="CW10" s="16" t="e">
        <f>-Vertical_Cash_flow!#REF!</f>
        <v>#REF!</v>
      </c>
      <c r="CX10" s="17" t="e">
        <f>-Vertical_Cash_flow!#REF!</f>
        <v>#REF!</v>
      </c>
      <c r="CY10" s="15" t="e">
        <f>-Vertical_Cash_flow!#REF!</f>
        <v>#REF!</v>
      </c>
      <c r="CZ10" s="16" t="e">
        <f>-Vertical_Cash_flow!#REF!</f>
        <v>#REF!</v>
      </c>
      <c r="DA10" s="16" t="e">
        <f>-Vertical_Cash_flow!#REF!</f>
        <v>#REF!</v>
      </c>
      <c r="DB10" s="17" t="e">
        <f>-Vertical_Cash_flow!#REF!</f>
        <v>#REF!</v>
      </c>
      <c r="DC10" s="15" t="e">
        <f>-Vertical_Cash_flow!#REF!</f>
        <v>#REF!</v>
      </c>
      <c r="DD10" s="16" t="e">
        <f>-Vertical_Cash_flow!#REF!</f>
        <v>#REF!</v>
      </c>
      <c r="DE10" s="16" t="e">
        <f>-Vertical_Cash_flow!#REF!</f>
        <v>#REF!</v>
      </c>
      <c r="DF10" s="17" t="e">
        <f>-Vertical_Cash_flow!#REF!</f>
        <v>#REF!</v>
      </c>
      <c r="DG10" s="15" t="e">
        <f>-Vertical_Cash_flow!#REF!</f>
        <v>#REF!</v>
      </c>
      <c r="DH10" s="16" t="e">
        <f>-Vertical_Cash_flow!#REF!</f>
        <v>#REF!</v>
      </c>
      <c r="DI10" s="16" t="e">
        <f>-Vertical_Cash_flow!#REF!</f>
        <v>#REF!</v>
      </c>
      <c r="DJ10" s="17" t="e">
        <f>-Vertical_Cash_flow!#REF!</f>
        <v>#REF!</v>
      </c>
      <c r="DK10" s="15" t="e">
        <f>-Vertical_Cash_flow!#REF!</f>
        <v>#REF!</v>
      </c>
      <c r="DL10" s="16" t="e">
        <f>-Vertical_Cash_flow!#REF!</f>
        <v>#REF!</v>
      </c>
      <c r="DM10" s="16" t="e">
        <f>-Vertical_Cash_flow!#REF!</f>
        <v>#REF!</v>
      </c>
      <c r="DN10" s="17" t="e">
        <f>-Vertical_Cash_flow!#REF!</f>
        <v>#REF!</v>
      </c>
      <c r="DO10" s="15" t="e">
        <f>-Vertical_Cash_flow!#REF!</f>
        <v>#REF!</v>
      </c>
      <c r="DP10" s="16" t="e">
        <f>-Vertical_Cash_flow!#REF!</f>
        <v>#REF!</v>
      </c>
      <c r="DQ10" s="16" t="e">
        <f>-Vertical_Cash_flow!#REF!</f>
        <v>#REF!</v>
      </c>
      <c r="DR10" s="17" t="e">
        <f>-Vertical_Cash_flow!#REF!</f>
        <v>#REF!</v>
      </c>
      <c r="DS10" s="15" t="e">
        <f>-Vertical_Cash_flow!#REF!</f>
        <v>#REF!</v>
      </c>
      <c r="DT10" s="16" t="e">
        <f>-Vertical_Cash_flow!#REF!</f>
        <v>#REF!</v>
      </c>
      <c r="DU10" s="16" t="e">
        <f>-Vertical_Cash_flow!#REF!</f>
        <v>#REF!</v>
      </c>
      <c r="DV10" s="17" t="e">
        <f>-Vertical_Cash_flow!#REF!</f>
        <v>#REF!</v>
      </c>
    </row>
    <row r="11" spans="1:126" s="24" customFormat="1" x14ac:dyDescent="0.2">
      <c r="A11" t="s">
        <v>3</v>
      </c>
      <c r="B11" t="s">
        <v>21</v>
      </c>
      <c r="C11" s="15">
        <v>0</v>
      </c>
      <c r="D11" s="16">
        <v>0</v>
      </c>
      <c r="E11" s="16">
        <v>0</v>
      </c>
      <c r="F11" s="17">
        <v>0</v>
      </c>
      <c r="G11" s="15" t="e">
        <f>-Vertical_Cash_flow!#REF!</f>
        <v>#REF!</v>
      </c>
      <c r="H11" s="16" t="e">
        <f>-Vertical_Cash_flow!#REF!</f>
        <v>#REF!</v>
      </c>
      <c r="I11" s="16" t="e">
        <f>-Vertical_Cash_flow!#REF!</f>
        <v>#REF!</v>
      </c>
      <c r="J11" s="17" t="e">
        <f>-Vertical_Cash_flow!#REF!</f>
        <v>#REF!</v>
      </c>
      <c r="K11" s="15" t="e">
        <f>-Vertical_Cash_flow!#REF!</f>
        <v>#REF!</v>
      </c>
      <c r="L11" s="16" t="e">
        <f>-Vertical_Cash_flow!#REF!</f>
        <v>#REF!</v>
      </c>
      <c r="M11" s="16" t="e">
        <f>-Vertical_Cash_flow!#REF!</f>
        <v>#REF!</v>
      </c>
      <c r="N11" s="17" t="e">
        <f>-Vertical_Cash_flow!#REF!</f>
        <v>#REF!</v>
      </c>
      <c r="O11" s="15" t="e">
        <f>-Vertical_Cash_flow!#REF!</f>
        <v>#REF!</v>
      </c>
      <c r="P11" s="16" t="e">
        <f>-Vertical_Cash_flow!#REF!</f>
        <v>#REF!</v>
      </c>
      <c r="Q11" s="16" t="e">
        <f>-Vertical_Cash_flow!#REF!</f>
        <v>#REF!</v>
      </c>
      <c r="R11" s="17" t="e">
        <f>-Vertical_Cash_flow!#REF!</f>
        <v>#REF!</v>
      </c>
      <c r="S11" s="15" t="e">
        <f>-Vertical_Cash_flow!#REF!</f>
        <v>#REF!</v>
      </c>
      <c r="T11" s="16" t="e">
        <f>-Vertical_Cash_flow!#REF!</f>
        <v>#REF!</v>
      </c>
      <c r="U11" s="16" t="e">
        <f>-Vertical_Cash_flow!#REF!</f>
        <v>#REF!</v>
      </c>
      <c r="V11" s="17" t="e">
        <f>-Vertical_Cash_flow!#REF!</f>
        <v>#REF!</v>
      </c>
      <c r="W11" s="15" t="e">
        <f>-Vertical_Cash_flow!#REF!</f>
        <v>#REF!</v>
      </c>
      <c r="X11" s="16" t="e">
        <f>-Vertical_Cash_flow!#REF!</f>
        <v>#REF!</v>
      </c>
      <c r="Y11" s="16" t="e">
        <f>-Vertical_Cash_flow!#REF!</f>
        <v>#REF!</v>
      </c>
      <c r="Z11" s="17" t="e">
        <f>-Vertical_Cash_flow!#REF!</f>
        <v>#REF!</v>
      </c>
      <c r="AA11" s="15" t="e">
        <f>-Vertical_Cash_flow!#REF!</f>
        <v>#REF!</v>
      </c>
      <c r="AB11" s="16" t="e">
        <f>-Vertical_Cash_flow!#REF!</f>
        <v>#REF!</v>
      </c>
      <c r="AC11" s="16" t="e">
        <f>-Vertical_Cash_flow!#REF!</f>
        <v>#REF!</v>
      </c>
      <c r="AD11" s="17" t="e">
        <f>-Vertical_Cash_flow!#REF!</f>
        <v>#REF!</v>
      </c>
      <c r="AE11" s="15" t="e">
        <f>-Vertical_Cash_flow!#REF!</f>
        <v>#REF!</v>
      </c>
      <c r="AF11" s="16" t="e">
        <f>-Vertical_Cash_flow!#REF!</f>
        <v>#REF!</v>
      </c>
      <c r="AG11" s="16" t="e">
        <f>-Vertical_Cash_flow!#REF!</f>
        <v>#REF!</v>
      </c>
      <c r="AH11" s="17" t="e">
        <f>-Vertical_Cash_flow!#REF!</f>
        <v>#REF!</v>
      </c>
      <c r="AI11" s="15" t="e">
        <f>-Vertical_Cash_flow!#REF!</f>
        <v>#REF!</v>
      </c>
      <c r="AJ11" s="16" t="e">
        <f>-Vertical_Cash_flow!#REF!</f>
        <v>#REF!</v>
      </c>
      <c r="AK11" s="16" t="e">
        <f>-Vertical_Cash_flow!#REF!</f>
        <v>#REF!</v>
      </c>
      <c r="AL11" s="17" t="e">
        <f>-Vertical_Cash_flow!#REF!</f>
        <v>#REF!</v>
      </c>
      <c r="AM11" s="15" t="e">
        <f>-Vertical_Cash_flow!#REF!</f>
        <v>#REF!</v>
      </c>
      <c r="AN11" s="16" t="e">
        <f>-Vertical_Cash_flow!#REF!</f>
        <v>#REF!</v>
      </c>
      <c r="AO11" s="16" t="e">
        <f>-Vertical_Cash_flow!#REF!</f>
        <v>#REF!</v>
      </c>
      <c r="AP11" s="17" t="e">
        <f>-Vertical_Cash_flow!#REF!</f>
        <v>#REF!</v>
      </c>
      <c r="AQ11" s="15" t="e">
        <f>-Vertical_Cash_flow!#REF!</f>
        <v>#REF!</v>
      </c>
      <c r="AR11" s="16" t="e">
        <f>-Vertical_Cash_flow!#REF!</f>
        <v>#REF!</v>
      </c>
      <c r="AS11" s="16" t="e">
        <f>-Vertical_Cash_flow!#REF!</f>
        <v>#REF!</v>
      </c>
      <c r="AT11" s="17" t="e">
        <f>-Vertical_Cash_flow!#REF!</f>
        <v>#REF!</v>
      </c>
      <c r="AU11" s="15" t="e">
        <f>-Vertical_Cash_flow!#REF!</f>
        <v>#REF!</v>
      </c>
      <c r="AV11" s="16" t="e">
        <f>-Vertical_Cash_flow!#REF!</f>
        <v>#REF!</v>
      </c>
      <c r="AW11" s="16" t="e">
        <f>-Vertical_Cash_flow!#REF!</f>
        <v>#REF!</v>
      </c>
      <c r="AX11" s="17" t="e">
        <f>-Vertical_Cash_flow!#REF!</f>
        <v>#REF!</v>
      </c>
      <c r="AY11" s="15" t="e">
        <f>-Vertical_Cash_flow!#REF!</f>
        <v>#REF!</v>
      </c>
      <c r="AZ11" s="16" t="e">
        <f>-Vertical_Cash_flow!#REF!</f>
        <v>#REF!</v>
      </c>
      <c r="BA11" s="16" t="e">
        <f>-Vertical_Cash_flow!#REF!</f>
        <v>#REF!</v>
      </c>
      <c r="BB11" s="17" t="e">
        <f>-Vertical_Cash_flow!#REF!</f>
        <v>#REF!</v>
      </c>
      <c r="BC11" s="15" t="e">
        <f>-Vertical_Cash_flow!#REF!</f>
        <v>#REF!</v>
      </c>
      <c r="BD11" s="16" t="e">
        <f>-Vertical_Cash_flow!#REF!</f>
        <v>#REF!</v>
      </c>
      <c r="BE11" s="16" t="e">
        <f>-Vertical_Cash_flow!#REF!</f>
        <v>#REF!</v>
      </c>
      <c r="BF11" s="17" t="e">
        <f>-Vertical_Cash_flow!#REF!</f>
        <v>#REF!</v>
      </c>
      <c r="BG11" s="15" t="e">
        <f>-Vertical_Cash_flow!#REF!</f>
        <v>#REF!</v>
      </c>
      <c r="BH11" s="16" t="e">
        <f>-Vertical_Cash_flow!#REF!</f>
        <v>#REF!</v>
      </c>
      <c r="BI11" s="16" t="e">
        <f>-Vertical_Cash_flow!#REF!</f>
        <v>#REF!</v>
      </c>
      <c r="BJ11" s="17" t="e">
        <f>-Vertical_Cash_flow!#REF!</f>
        <v>#REF!</v>
      </c>
      <c r="BK11" s="15" t="e">
        <f>-Vertical_Cash_flow!#REF!</f>
        <v>#REF!</v>
      </c>
      <c r="BL11" s="16" t="e">
        <f>-Vertical_Cash_flow!#REF!</f>
        <v>#REF!</v>
      </c>
      <c r="BM11" s="16" t="e">
        <f>-Vertical_Cash_flow!#REF!</f>
        <v>#REF!</v>
      </c>
      <c r="BN11" s="17" t="e">
        <f>-Vertical_Cash_flow!#REF!</f>
        <v>#REF!</v>
      </c>
      <c r="BO11" s="15">
        <f>-Vertical_Cash_flow!C132</f>
        <v>0</v>
      </c>
      <c r="BP11" s="16">
        <f>-Vertical_Cash_flow!D132</f>
        <v>0</v>
      </c>
      <c r="BQ11" s="16">
        <f>-Vertical_Cash_flow!G132</f>
        <v>0</v>
      </c>
      <c r="BR11" s="17">
        <f>-Vertical_Cash_flow!H132</f>
        <v>0</v>
      </c>
      <c r="BS11" s="15" t="e">
        <f>-Vertical_Cash_flow!#REF!</f>
        <v>#REF!</v>
      </c>
      <c r="BT11" s="16" t="e">
        <f>-Vertical_Cash_flow!#REF!</f>
        <v>#REF!</v>
      </c>
      <c r="BU11" s="16" t="e">
        <f>-Vertical_Cash_flow!#REF!</f>
        <v>#REF!</v>
      </c>
      <c r="BV11" s="17" t="e">
        <f>-Vertical_Cash_flow!#REF!</f>
        <v>#REF!</v>
      </c>
      <c r="BW11" s="15" t="e">
        <f>-Vertical_Cash_flow!#REF!</f>
        <v>#REF!</v>
      </c>
      <c r="BX11" s="16" t="e">
        <f>-Vertical_Cash_flow!#REF!</f>
        <v>#REF!</v>
      </c>
      <c r="BY11" s="16" t="e">
        <f>-Vertical_Cash_flow!#REF!</f>
        <v>#REF!</v>
      </c>
      <c r="BZ11" s="17" t="e">
        <f>-Vertical_Cash_flow!#REF!</f>
        <v>#REF!</v>
      </c>
      <c r="CA11" s="15" t="e">
        <f>-Vertical_Cash_flow!#REF!</f>
        <v>#REF!</v>
      </c>
      <c r="CB11" s="16" t="e">
        <f>-Vertical_Cash_flow!#REF!</f>
        <v>#REF!</v>
      </c>
      <c r="CC11" s="16" t="e">
        <f>-Vertical_Cash_flow!#REF!</f>
        <v>#REF!</v>
      </c>
      <c r="CD11" s="17" t="e">
        <f>-Vertical_Cash_flow!#REF!</f>
        <v>#REF!</v>
      </c>
      <c r="CE11" s="15" t="e">
        <f>-Vertical_Cash_flow!#REF!</f>
        <v>#REF!</v>
      </c>
      <c r="CF11" s="16" t="e">
        <f>-Vertical_Cash_flow!#REF!</f>
        <v>#REF!</v>
      </c>
      <c r="CG11" s="16" t="e">
        <f>-Vertical_Cash_flow!#REF!</f>
        <v>#REF!</v>
      </c>
      <c r="CH11" s="17" t="e">
        <f>-Vertical_Cash_flow!#REF!</f>
        <v>#REF!</v>
      </c>
      <c r="CI11" s="15" t="e">
        <f>-Vertical_Cash_flow!#REF!</f>
        <v>#REF!</v>
      </c>
      <c r="CJ11" s="16" t="e">
        <f>-Vertical_Cash_flow!#REF!</f>
        <v>#REF!</v>
      </c>
      <c r="CK11" s="16" t="e">
        <f>-Vertical_Cash_flow!#REF!</f>
        <v>#REF!</v>
      </c>
      <c r="CL11" s="17" t="e">
        <f>-Vertical_Cash_flow!#REF!</f>
        <v>#REF!</v>
      </c>
      <c r="CM11" s="15" t="e">
        <f>-Vertical_Cash_flow!#REF!</f>
        <v>#REF!</v>
      </c>
      <c r="CN11" s="16" t="e">
        <f>-Vertical_Cash_flow!#REF!</f>
        <v>#REF!</v>
      </c>
      <c r="CO11" s="16" t="e">
        <f>-Vertical_Cash_flow!#REF!</f>
        <v>#REF!</v>
      </c>
      <c r="CP11" s="17" t="e">
        <f>-Vertical_Cash_flow!#REF!</f>
        <v>#REF!</v>
      </c>
      <c r="CQ11" s="15" t="e">
        <f>-Vertical_Cash_flow!#REF!</f>
        <v>#REF!</v>
      </c>
      <c r="CR11" s="16" t="e">
        <f>-Vertical_Cash_flow!#REF!</f>
        <v>#REF!</v>
      </c>
      <c r="CS11" s="16" t="e">
        <f>-Vertical_Cash_flow!#REF!</f>
        <v>#REF!</v>
      </c>
      <c r="CT11" s="17" t="e">
        <f>-Vertical_Cash_flow!#REF!</f>
        <v>#REF!</v>
      </c>
      <c r="CU11" s="15" t="e">
        <f>-Vertical_Cash_flow!#REF!</f>
        <v>#REF!</v>
      </c>
      <c r="CV11" s="16" t="e">
        <f>-Vertical_Cash_flow!#REF!</f>
        <v>#REF!</v>
      </c>
      <c r="CW11" s="16" t="e">
        <f>-Vertical_Cash_flow!#REF!</f>
        <v>#REF!</v>
      </c>
      <c r="CX11" s="17" t="e">
        <f>-Vertical_Cash_flow!#REF!</f>
        <v>#REF!</v>
      </c>
      <c r="CY11" s="15" t="e">
        <f>-Vertical_Cash_flow!#REF!</f>
        <v>#REF!</v>
      </c>
      <c r="CZ11" s="16" t="e">
        <f>-Vertical_Cash_flow!#REF!</f>
        <v>#REF!</v>
      </c>
      <c r="DA11" s="16" t="e">
        <f>-Vertical_Cash_flow!#REF!</f>
        <v>#REF!</v>
      </c>
      <c r="DB11" s="17" t="e">
        <f>-Vertical_Cash_flow!#REF!</f>
        <v>#REF!</v>
      </c>
      <c r="DC11" s="15" t="e">
        <f>-Vertical_Cash_flow!#REF!</f>
        <v>#REF!</v>
      </c>
      <c r="DD11" s="16" t="e">
        <f>-Vertical_Cash_flow!#REF!</f>
        <v>#REF!</v>
      </c>
      <c r="DE11" s="16" t="e">
        <f>-Vertical_Cash_flow!#REF!</f>
        <v>#REF!</v>
      </c>
      <c r="DF11" s="17" t="e">
        <f>-Vertical_Cash_flow!#REF!</f>
        <v>#REF!</v>
      </c>
      <c r="DG11" s="15" t="e">
        <f>-Vertical_Cash_flow!#REF!</f>
        <v>#REF!</v>
      </c>
      <c r="DH11" s="16" t="e">
        <f>-Vertical_Cash_flow!#REF!</f>
        <v>#REF!</v>
      </c>
      <c r="DI11" s="16" t="e">
        <f>-Vertical_Cash_flow!#REF!</f>
        <v>#REF!</v>
      </c>
      <c r="DJ11" s="17" t="e">
        <f>-Vertical_Cash_flow!#REF!</f>
        <v>#REF!</v>
      </c>
      <c r="DK11" s="15" t="e">
        <f>-Vertical_Cash_flow!#REF!</f>
        <v>#REF!</v>
      </c>
      <c r="DL11" s="16" t="e">
        <f>-Vertical_Cash_flow!#REF!</f>
        <v>#REF!</v>
      </c>
      <c r="DM11" s="16" t="e">
        <f>-Vertical_Cash_flow!#REF!</f>
        <v>#REF!</v>
      </c>
      <c r="DN11" s="17" t="e">
        <f>-Vertical_Cash_flow!#REF!</f>
        <v>#REF!</v>
      </c>
      <c r="DO11" s="15" t="e">
        <f>-Vertical_Cash_flow!#REF!</f>
        <v>#REF!</v>
      </c>
      <c r="DP11" s="16" t="e">
        <f>-Vertical_Cash_flow!#REF!</f>
        <v>#REF!</v>
      </c>
      <c r="DQ11" s="16" t="e">
        <f>-Vertical_Cash_flow!#REF!</f>
        <v>#REF!</v>
      </c>
      <c r="DR11" s="17" t="e">
        <f>-Vertical_Cash_flow!#REF!</f>
        <v>#REF!</v>
      </c>
      <c r="DS11" s="15" t="e">
        <f>-Vertical_Cash_flow!#REF!</f>
        <v>#REF!</v>
      </c>
      <c r="DT11" s="16" t="e">
        <f>-Vertical_Cash_flow!#REF!</f>
        <v>#REF!</v>
      </c>
      <c r="DU11" s="16" t="e">
        <f>-Vertical_Cash_flow!#REF!</f>
        <v>#REF!</v>
      </c>
      <c r="DV11" s="17" t="e">
        <f>-Vertical_Cash_flow!#REF!</f>
        <v>#REF!</v>
      </c>
    </row>
    <row r="12" spans="1:126" s="24" customFormat="1" x14ac:dyDescent="0.2">
      <c r="A12" t="s">
        <v>3</v>
      </c>
      <c r="B12" t="s">
        <v>22</v>
      </c>
      <c r="C12" s="15">
        <v>0</v>
      </c>
      <c r="D12" s="16">
        <v>0</v>
      </c>
      <c r="E12" s="16">
        <v>0</v>
      </c>
      <c r="F12" s="17">
        <v>0</v>
      </c>
      <c r="G12" s="15" t="e">
        <f>Vertical_Cash_flow!#REF!</f>
        <v>#REF!</v>
      </c>
      <c r="H12" s="16" t="e">
        <f>Vertical_Cash_flow!#REF!</f>
        <v>#REF!</v>
      </c>
      <c r="I12" s="16" t="e">
        <f>Vertical_Cash_flow!#REF!</f>
        <v>#REF!</v>
      </c>
      <c r="J12" s="17" t="e">
        <f>Vertical_Cash_flow!#REF!</f>
        <v>#REF!</v>
      </c>
      <c r="K12" s="15" t="e">
        <f>Vertical_Cash_flow!#REF!</f>
        <v>#REF!</v>
      </c>
      <c r="L12" s="16" t="e">
        <f>Vertical_Cash_flow!#REF!</f>
        <v>#REF!</v>
      </c>
      <c r="M12" s="16" t="e">
        <f>Vertical_Cash_flow!#REF!</f>
        <v>#REF!</v>
      </c>
      <c r="N12" s="17" t="e">
        <f>Vertical_Cash_flow!#REF!</f>
        <v>#REF!</v>
      </c>
      <c r="O12" s="15" t="e">
        <f>Vertical_Cash_flow!#REF!</f>
        <v>#REF!</v>
      </c>
      <c r="P12" s="16" t="e">
        <f>Vertical_Cash_flow!#REF!</f>
        <v>#REF!</v>
      </c>
      <c r="Q12" s="16" t="e">
        <f>Vertical_Cash_flow!#REF!</f>
        <v>#REF!</v>
      </c>
      <c r="R12" s="17" t="e">
        <f>Vertical_Cash_flow!#REF!</f>
        <v>#REF!</v>
      </c>
      <c r="S12" s="15" t="e">
        <f>Vertical_Cash_flow!#REF!</f>
        <v>#REF!</v>
      </c>
      <c r="T12" s="16" t="e">
        <f>Vertical_Cash_flow!#REF!</f>
        <v>#REF!</v>
      </c>
      <c r="U12" s="16" t="e">
        <f>Vertical_Cash_flow!#REF!</f>
        <v>#REF!</v>
      </c>
      <c r="V12" s="17" t="e">
        <f>Vertical_Cash_flow!#REF!</f>
        <v>#REF!</v>
      </c>
      <c r="W12" s="15" t="e">
        <f>Vertical_Cash_flow!#REF!</f>
        <v>#REF!</v>
      </c>
      <c r="X12" s="16" t="e">
        <f>Vertical_Cash_flow!#REF!</f>
        <v>#REF!</v>
      </c>
      <c r="Y12" s="16" t="e">
        <f>Vertical_Cash_flow!#REF!</f>
        <v>#REF!</v>
      </c>
      <c r="Z12" s="17" t="e">
        <f>Vertical_Cash_flow!#REF!</f>
        <v>#REF!</v>
      </c>
      <c r="AA12" s="15" t="e">
        <f>Vertical_Cash_flow!#REF!</f>
        <v>#REF!</v>
      </c>
      <c r="AB12" s="16" t="e">
        <f>Vertical_Cash_flow!#REF!</f>
        <v>#REF!</v>
      </c>
      <c r="AC12" s="16" t="e">
        <f>Vertical_Cash_flow!#REF!</f>
        <v>#REF!</v>
      </c>
      <c r="AD12" s="17" t="e">
        <f>Vertical_Cash_flow!#REF!</f>
        <v>#REF!</v>
      </c>
      <c r="AE12" s="15" t="e">
        <f>Vertical_Cash_flow!#REF!</f>
        <v>#REF!</v>
      </c>
      <c r="AF12" s="16" t="e">
        <f>Vertical_Cash_flow!#REF!</f>
        <v>#REF!</v>
      </c>
      <c r="AG12" s="16" t="e">
        <f>Vertical_Cash_flow!#REF!</f>
        <v>#REF!</v>
      </c>
      <c r="AH12" s="17" t="e">
        <f>Vertical_Cash_flow!#REF!</f>
        <v>#REF!</v>
      </c>
      <c r="AI12" s="15" t="e">
        <f>Vertical_Cash_flow!#REF!</f>
        <v>#REF!</v>
      </c>
      <c r="AJ12" s="16" t="e">
        <f>Vertical_Cash_flow!#REF!</f>
        <v>#REF!</v>
      </c>
      <c r="AK12" s="16" t="e">
        <f>Vertical_Cash_flow!#REF!</f>
        <v>#REF!</v>
      </c>
      <c r="AL12" s="17" t="e">
        <f>Vertical_Cash_flow!#REF!</f>
        <v>#REF!</v>
      </c>
      <c r="AM12" s="15" t="e">
        <f>Vertical_Cash_flow!#REF!</f>
        <v>#REF!</v>
      </c>
      <c r="AN12" s="16" t="e">
        <f>Vertical_Cash_flow!#REF!</f>
        <v>#REF!</v>
      </c>
      <c r="AO12" s="16" t="e">
        <f>Vertical_Cash_flow!#REF!</f>
        <v>#REF!</v>
      </c>
      <c r="AP12" s="17" t="e">
        <f>Vertical_Cash_flow!#REF!</f>
        <v>#REF!</v>
      </c>
      <c r="AQ12" s="15" t="e">
        <f>Vertical_Cash_flow!#REF!</f>
        <v>#REF!</v>
      </c>
      <c r="AR12" s="16" t="e">
        <f>Vertical_Cash_flow!#REF!</f>
        <v>#REF!</v>
      </c>
      <c r="AS12" s="16" t="e">
        <f>Vertical_Cash_flow!#REF!</f>
        <v>#REF!</v>
      </c>
      <c r="AT12" s="17" t="e">
        <f>Vertical_Cash_flow!#REF!</f>
        <v>#REF!</v>
      </c>
      <c r="AU12" s="15" t="e">
        <f>Vertical_Cash_flow!#REF!</f>
        <v>#REF!</v>
      </c>
      <c r="AV12" s="16" t="e">
        <f>Vertical_Cash_flow!#REF!</f>
        <v>#REF!</v>
      </c>
      <c r="AW12" s="16" t="e">
        <f>Vertical_Cash_flow!#REF!</f>
        <v>#REF!</v>
      </c>
      <c r="AX12" s="17" t="e">
        <f>Vertical_Cash_flow!#REF!</f>
        <v>#REF!</v>
      </c>
      <c r="AY12" s="15" t="e">
        <f>Vertical_Cash_flow!#REF!</f>
        <v>#REF!</v>
      </c>
      <c r="AZ12" s="16" t="e">
        <f>Vertical_Cash_flow!#REF!</f>
        <v>#REF!</v>
      </c>
      <c r="BA12" s="16" t="e">
        <f>Vertical_Cash_flow!#REF!</f>
        <v>#REF!</v>
      </c>
      <c r="BB12" s="17" t="e">
        <f>Vertical_Cash_flow!#REF!</f>
        <v>#REF!</v>
      </c>
      <c r="BC12" s="15" t="e">
        <f>Vertical_Cash_flow!#REF!</f>
        <v>#REF!</v>
      </c>
      <c r="BD12" s="16" t="e">
        <f>Vertical_Cash_flow!#REF!</f>
        <v>#REF!</v>
      </c>
      <c r="BE12" s="16" t="e">
        <f>Vertical_Cash_flow!#REF!</f>
        <v>#REF!</v>
      </c>
      <c r="BF12" s="17" t="e">
        <f>Vertical_Cash_flow!#REF!</f>
        <v>#REF!</v>
      </c>
      <c r="BG12" s="15" t="e">
        <f>Vertical_Cash_flow!#REF!</f>
        <v>#REF!</v>
      </c>
      <c r="BH12" s="16" t="e">
        <f>Vertical_Cash_flow!#REF!</f>
        <v>#REF!</v>
      </c>
      <c r="BI12" s="16" t="e">
        <f>Vertical_Cash_flow!#REF!</f>
        <v>#REF!</v>
      </c>
      <c r="BJ12" s="17" t="e">
        <f>Vertical_Cash_flow!#REF!</f>
        <v>#REF!</v>
      </c>
      <c r="BK12" s="15" t="e">
        <f>Vertical_Cash_flow!#REF!</f>
        <v>#REF!</v>
      </c>
      <c r="BL12" s="16" t="e">
        <f>Vertical_Cash_flow!#REF!</f>
        <v>#REF!</v>
      </c>
      <c r="BM12" s="16" t="e">
        <f>Vertical_Cash_flow!#REF!</f>
        <v>#REF!</v>
      </c>
      <c r="BN12" s="17" t="e">
        <f>Vertical_Cash_flow!#REF!</f>
        <v>#REF!</v>
      </c>
      <c r="BO12" s="15">
        <f>Vertical_Cash_flow!C139</f>
        <v>0</v>
      </c>
      <c r="BP12" s="16">
        <f>Vertical_Cash_flow!D139</f>
        <v>8283.7625500000013</v>
      </c>
      <c r="BQ12" s="16">
        <f>Vertical_Cash_flow!G139</f>
        <v>8283.7625500000013</v>
      </c>
      <c r="BR12" s="17">
        <f>Vertical_Cash_flow!H139</f>
        <v>2485.1287650000004</v>
      </c>
      <c r="BS12" s="15" t="e">
        <f>Vertical_Cash_flow!#REF!</f>
        <v>#REF!</v>
      </c>
      <c r="BT12" s="16" t="e">
        <f>Vertical_Cash_flow!#REF!</f>
        <v>#REF!</v>
      </c>
      <c r="BU12" s="16" t="e">
        <f>Vertical_Cash_flow!#REF!</f>
        <v>#REF!</v>
      </c>
      <c r="BV12" s="17" t="e">
        <f>Vertical_Cash_flow!#REF!</f>
        <v>#REF!</v>
      </c>
      <c r="BW12" s="15" t="e">
        <f>Vertical_Cash_flow!#REF!</f>
        <v>#REF!</v>
      </c>
      <c r="BX12" s="16" t="e">
        <f>Vertical_Cash_flow!#REF!</f>
        <v>#REF!</v>
      </c>
      <c r="BY12" s="16" t="e">
        <f>Vertical_Cash_flow!#REF!</f>
        <v>#REF!</v>
      </c>
      <c r="BZ12" s="17" t="e">
        <f>Vertical_Cash_flow!#REF!</f>
        <v>#REF!</v>
      </c>
      <c r="CA12" s="15" t="e">
        <f>Vertical_Cash_flow!#REF!</f>
        <v>#REF!</v>
      </c>
      <c r="CB12" s="16" t="e">
        <f>Vertical_Cash_flow!#REF!</f>
        <v>#REF!</v>
      </c>
      <c r="CC12" s="16" t="e">
        <f>Vertical_Cash_flow!#REF!</f>
        <v>#REF!</v>
      </c>
      <c r="CD12" s="17" t="e">
        <f>Vertical_Cash_flow!#REF!</f>
        <v>#REF!</v>
      </c>
      <c r="CE12" s="15" t="e">
        <f>Vertical_Cash_flow!#REF!</f>
        <v>#REF!</v>
      </c>
      <c r="CF12" s="16" t="e">
        <f>Vertical_Cash_flow!#REF!</f>
        <v>#REF!</v>
      </c>
      <c r="CG12" s="16" t="e">
        <f>Vertical_Cash_flow!#REF!</f>
        <v>#REF!</v>
      </c>
      <c r="CH12" s="17" t="e">
        <f>Vertical_Cash_flow!#REF!</f>
        <v>#REF!</v>
      </c>
      <c r="CI12" s="15" t="e">
        <f>Vertical_Cash_flow!#REF!</f>
        <v>#REF!</v>
      </c>
      <c r="CJ12" s="16" t="e">
        <f>Vertical_Cash_flow!#REF!</f>
        <v>#REF!</v>
      </c>
      <c r="CK12" s="16" t="e">
        <f>Vertical_Cash_flow!#REF!</f>
        <v>#REF!</v>
      </c>
      <c r="CL12" s="17" t="e">
        <f>Vertical_Cash_flow!#REF!</f>
        <v>#REF!</v>
      </c>
      <c r="CM12" s="15" t="e">
        <f>Vertical_Cash_flow!#REF!</f>
        <v>#REF!</v>
      </c>
      <c r="CN12" s="16" t="e">
        <f>Vertical_Cash_flow!#REF!</f>
        <v>#REF!</v>
      </c>
      <c r="CO12" s="16" t="e">
        <f>Vertical_Cash_flow!#REF!</f>
        <v>#REF!</v>
      </c>
      <c r="CP12" s="17" t="e">
        <f>Vertical_Cash_flow!#REF!</f>
        <v>#REF!</v>
      </c>
      <c r="CQ12" s="15" t="e">
        <f>Vertical_Cash_flow!#REF!</f>
        <v>#REF!</v>
      </c>
      <c r="CR12" s="16" t="e">
        <f>Vertical_Cash_flow!#REF!</f>
        <v>#REF!</v>
      </c>
      <c r="CS12" s="16" t="e">
        <f>Vertical_Cash_flow!#REF!</f>
        <v>#REF!</v>
      </c>
      <c r="CT12" s="17" t="e">
        <f>Vertical_Cash_flow!#REF!</f>
        <v>#REF!</v>
      </c>
      <c r="CU12" s="15" t="e">
        <f>Vertical_Cash_flow!#REF!</f>
        <v>#REF!</v>
      </c>
      <c r="CV12" s="16" t="e">
        <f>Vertical_Cash_flow!#REF!</f>
        <v>#REF!</v>
      </c>
      <c r="CW12" s="16" t="e">
        <f>Vertical_Cash_flow!#REF!</f>
        <v>#REF!</v>
      </c>
      <c r="CX12" s="17" t="e">
        <f>Vertical_Cash_flow!#REF!</f>
        <v>#REF!</v>
      </c>
      <c r="CY12" s="15" t="e">
        <f>Vertical_Cash_flow!#REF!</f>
        <v>#REF!</v>
      </c>
      <c r="CZ12" s="16" t="e">
        <f>Vertical_Cash_flow!#REF!</f>
        <v>#REF!</v>
      </c>
      <c r="DA12" s="16" t="e">
        <f>Vertical_Cash_flow!#REF!</f>
        <v>#REF!</v>
      </c>
      <c r="DB12" s="17" t="e">
        <f>Vertical_Cash_flow!#REF!</f>
        <v>#REF!</v>
      </c>
      <c r="DC12" s="15" t="e">
        <f>Vertical_Cash_flow!#REF!</f>
        <v>#REF!</v>
      </c>
      <c r="DD12" s="16" t="e">
        <f>Vertical_Cash_flow!#REF!</f>
        <v>#REF!</v>
      </c>
      <c r="DE12" s="16" t="e">
        <f>Vertical_Cash_flow!#REF!</f>
        <v>#REF!</v>
      </c>
      <c r="DF12" s="17" t="e">
        <f>Vertical_Cash_flow!#REF!</f>
        <v>#REF!</v>
      </c>
      <c r="DG12" s="15" t="e">
        <f>Vertical_Cash_flow!#REF!</f>
        <v>#REF!</v>
      </c>
      <c r="DH12" s="16" t="e">
        <f>Vertical_Cash_flow!#REF!</f>
        <v>#REF!</v>
      </c>
      <c r="DI12" s="16" t="e">
        <f>Vertical_Cash_flow!#REF!</f>
        <v>#REF!</v>
      </c>
      <c r="DJ12" s="17" t="e">
        <f>Vertical_Cash_flow!#REF!</f>
        <v>#REF!</v>
      </c>
      <c r="DK12" s="15" t="e">
        <f>Vertical_Cash_flow!#REF!</f>
        <v>#REF!</v>
      </c>
      <c r="DL12" s="16" t="e">
        <f>Vertical_Cash_flow!#REF!</f>
        <v>#REF!</v>
      </c>
      <c r="DM12" s="16" t="e">
        <f>Vertical_Cash_flow!#REF!</f>
        <v>#REF!</v>
      </c>
      <c r="DN12" s="17" t="e">
        <f>Vertical_Cash_flow!#REF!</f>
        <v>#REF!</v>
      </c>
      <c r="DO12" s="15" t="e">
        <f>Vertical_Cash_flow!#REF!</f>
        <v>#REF!</v>
      </c>
      <c r="DP12" s="16" t="e">
        <f>Vertical_Cash_flow!#REF!</f>
        <v>#REF!</v>
      </c>
      <c r="DQ12" s="16" t="e">
        <f>Vertical_Cash_flow!#REF!</f>
        <v>#REF!</v>
      </c>
      <c r="DR12" s="17" t="e">
        <f>Vertical_Cash_flow!#REF!</f>
        <v>#REF!</v>
      </c>
      <c r="DS12" s="15" t="e">
        <f>Vertical_Cash_flow!#REF!</f>
        <v>#REF!</v>
      </c>
      <c r="DT12" s="16" t="e">
        <f>Vertical_Cash_flow!#REF!</f>
        <v>#REF!</v>
      </c>
      <c r="DU12" s="16" t="e">
        <f>Vertical_Cash_flow!#REF!</f>
        <v>#REF!</v>
      </c>
      <c r="DV12" s="17" t="e">
        <f>Vertical_Cash_flow!#REF!</f>
        <v>#REF!</v>
      </c>
    </row>
    <row r="13" spans="1:126" s="24" customFormat="1" ht="13.5" thickBot="1" x14ac:dyDescent="0.25">
      <c r="A13"/>
      <c r="B13"/>
      <c r="C13" s="15"/>
      <c r="D13" s="16"/>
      <c r="E13" s="16"/>
      <c r="F13" s="17"/>
      <c r="G13" s="15"/>
      <c r="H13" s="16"/>
      <c r="I13" s="16"/>
      <c r="J13" s="17"/>
      <c r="K13" s="15"/>
      <c r="L13" s="16"/>
      <c r="M13" s="16"/>
      <c r="N13" s="17"/>
      <c r="O13" s="15"/>
      <c r="P13" s="16"/>
      <c r="Q13" s="16"/>
      <c r="R13" s="17"/>
      <c r="S13" s="15"/>
      <c r="T13" s="16"/>
      <c r="U13" s="16"/>
      <c r="V13" s="17"/>
      <c r="W13" s="15"/>
      <c r="X13" s="16"/>
      <c r="Y13" s="16"/>
      <c r="Z13" s="17"/>
      <c r="AA13" s="15"/>
      <c r="AB13" s="16"/>
      <c r="AC13" s="16"/>
      <c r="AD13" s="17"/>
      <c r="AE13" s="15"/>
      <c r="AF13" s="16"/>
      <c r="AG13" s="16"/>
      <c r="AH13" s="17"/>
      <c r="AI13" s="15"/>
      <c r="AJ13" s="16"/>
      <c r="AK13" s="16"/>
      <c r="AL13" s="17"/>
      <c r="AM13" s="15"/>
      <c r="AN13" s="16"/>
      <c r="AO13" s="16"/>
      <c r="AP13" s="17"/>
      <c r="AQ13" s="15"/>
      <c r="AR13" s="16"/>
      <c r="AS13" s="16"/>
      <c r="AT13" s="17"/>
      <c r="AU13" s="15"/>
      <c r="AV13" s="16"/>
      <c r="AW13" s="16"/>
      <c r="AX13" s="17"/>
      <c r="AY13" s="15"/>
      <c r="AZ13" s="16"/>
      <c r="BA13" s="16"/>
      <c r="BB13" s="17"/>
      <c r="BC13" s="15"/>
      <c r="BD13" s="16"/>
      <c r="BE13" s="16"/>
      <c r="BF13" s="17"/>
      <c r="BG13" s="15"/>
      <c r="BH13" s="16"/>
      <c r="BI13" s="16"/>
      <c r="BJ13" s="17"/>
      <c r="BK13" s="15"/>
      <c r="BL13" s="16"/>
      <c r="BM13" s="16"/>
      <c r="BN13" s="17"/>
      <c r="BO13" s="15"/>
      <c r="BP13" s="16"/>
      <c r="BQ13" s="16"/>
      <c r="BR13" s="17"/>
      <c r="BS13" s="15"/>
      <c r="BT13" s="16"/>
      <c r="BU13" s="16"/>
      <c r="BV13" s="17"/>
      <c r="BW13" s="15"/>
      <c r="BX13" s="16"/>
      <c r="BY13" s="16"/>
      <c r="BZ13" s="17"/>
      <c r="CA13" s="15"/>
      <c r="CB13" s="16"/>
      <c r="CC13" s="16"/>
      <c r="CD13" s="17"/>
      <c r="CE13" s="15"/>
      <c r="CF13" s="16"/>
      <c r="CG13" s="16"/>
      <c r="CH13" s="17"/>
      <c r="CI13" s="15"/>
      <c r="CJ13" s="16"/>
      <c r="CK13" s="16"/>
      <c r="CL13" s="17"/>
      <c r="CM13" s="15"/>
      <c r="CN13" s="16"/>
      <c r="CO13" s="16"/>
      <c r="CP13" s="17"/>
      <c r="CQ13" s="15"/>
      <c r="CR13" s="16"/>
      <c r="CS13" s="16"/>
      <c r="CT13" s="17"/>
      <c r="CU13" s="15"/>
      <c r="CV13" s="16"/>
      <c r="CW13" s="16"/>
      <c r="CX13" s="17"/>
      <c r="CY13" s="15"/>
      <c r="CZ13" s="16"/>
      <c r="DA13" s="16"/>
      <c r="DB13" s="17"/>
      <c r="DC13" s="15"/>
      <c r="DD13" s="16"/>
      <c r="DE13" s="16"/>
      <c r="DF13" s="17"/>
      <c r="DG13" s="15"/>
      <c r="DH13" s="16"/>
      <c r="DI13" s="16"/>
      <c r="DJ13" s="17"/>
      <c r="DK13" s="15"/>
      <c r="DL13" s="16"/>
      <c r="DM13" s="16"/>
      <c r="DN13" s="17"/>
      <c r="DO13" s="15"/>
      <c r="DP13" s="16"/>
      <c r="DQ13" s="16"/>
      <c r="DR13" s="17"/>
      <c r="DS13" s="15"/>
      <c r="DT13" s="16"/>
      <c r="DU13" s="16"/>
      <c r="DV13" s="17"/>
    </row>
    <row r="14" spans="1:126" s="24" customFormat="1" ht="30.75" thickBot="1" x14ac:dyDescent="0.25">
      <c r="A14"/>
      <c r="B14" s="7" t="s">
        <v>23</v>
      </c>
      <c r="C14" s="12"/>
      <c r="D14" s="13"/>
      <c r="E14" s="13"/>
      <c r="F14" s="14"/>
      <c r="G14" s="12" t="e">
        <f t="shared" ref="G14:J14" si="54">SUM(G7:G12)</f>
        <v>#REF!</v>
      </c>
      <c r="H14" s="13" t="e">
        <f t="shared" si="54"/>
        <v>#REF!</v>
      </c>
      <c r="I14" s="13" t="e">
        <f t="shared" si="54"/>
        <v>#REF!</v>
      </c>
      <c r="J14" s="14" t="e">
        <f t="shared" si="54"/>
        <v>#REF!</v>
      </c>
      <c r="K14" s="12" t="e">
        <f t="shared" ref="K14:N14" si="55">SUM(K7:K12)</f>
        <v>#REF!</v>
      </c>
      <c r="L14" s="13" t="e">
        <f t="shared" si="55"/>
        <v>#REF!</v>
      </c>
      <c r="M14" s="13" t="e">
        <f t="shared" si="55"/>
        <v>#REF!</v>
      </c>
      <c r="N14" s="14" t="e">
        <f t="shared" si="55"/>
        <v>#REF!</v>
      </c>
      <c r="O14" s="12" t="e">
        <f t="shared" ref="O14:R14" si="56">SUM(O7:O12)</f>
        <v>#REF!</v>
      </c>
      <c r="P14" s="13" t="e">
        <f t="shared" si="56"/>
        <v>#REF!</v>
      </c>
      <c r="Q14" s="13" t="e">
        <f t="shared" si="56"/>
        <v>#REF!</v>
      </c>
      <c r="R14" s="14" t="e">
        <f t="shared" si="56"/>
        <v>#REF!</v>
      </c>
      <c r="S14" s="12" t="e">
        <f t="shared" ref="S14:CD14" si="57">SUM(S7:S12)</f>
        <v>#REF!</v>
      </c>
      <c r="T14" s="13" t="e">
        <f t="shared" si="57"/>
        <v>#REF!</v>
      </c>
      <c r="U14" s="13" t="e">
        <f t="shared" si="57"/>
        <v>#REF!</v>
      </c>
      <c r="V14" s="14" t="e">
        <f t="shared" si="57"/>
        <v>#REF!</v>
      </c>
      <c r="W14" s="12" t="e">
        <f t="shared" si="57"/>
        <v>#REF!</v>
      </c>
      <c r="X14" s="13" t="e">
        <f t="shared" si="57"/>
        <v>#REF!</v>
      </c>
      <c r="Y14" s="13" t="e">
        <f t="shared" si="57"/>
        <v>#REF!</v>
      </c>
      <c r="Z14" s="14" t="e">
        <f t="shared" si="57"/>
        <v>#REF!</v>
      </c>
      <c r="AA14" s="12" t="e">
        <f t="shared" si="57"/>
        <v>#REF!</v>
      </c>
      <c r="AB14" s="13" t="e">
        <f t="shared" si="57"/>
        <v>#REF!</v>
      </c>
      <c r="AC14" s="13" t="e">
        <f t="shared" si="57"/>
        <v>#REF!</v>
      </c>
      <c r="AD14" s="14" t="e">
        <f t="shared" si="57"/>
        <v>#REF!</v>
      </c>
      <c r="AE14" s="12" t="e">
        <f t="shared" si="57"/>
        <v>#REF!</v>
      </c>
      <c r="AF14" s="13" t="e">
        <f t="shared" si="57"/>
        <v>#REF!</v>
      </c>
      <c r="AG14" s="13" t="e">
        <f t="shared" si="57"/>
        <v>#REF!</v>
      </c>
      <c r="AH14" s="14" t="e">
        <f t="shared" si="57"/>
        <v>#REF!</v>
      </c>
      <c r="AI14" s="12" t="e">
        <f t="shared" si="57"/>
        <v>#REF!</v>
      </c>
      <c r="AJ14" s="13" t="e">
        <f t="shared" si="57"/>
        <v>#REF!</v>
      </c>
      <c r="AK14" s="13" t="e">
        <f t="shared" si="57"/>
        <v>#REF!</v>
      </c>
      <c r="AL14" s="14" t="e">
        <f t="shared" si="57"/>
        <v>#REF!</v>
      </c>
      <c r="AM14" s="12" t="e">
        <f t="shared" si="57"/>
        <v>#REF!</v>
      </c>
      <c r="AN14" s="13" t="e">
        <f t="shared" si="57"/>
        <v>#REF!</v>
      </c>
      <c r="AO14" s="13" t="e">
        <f t="shared" si="57"/>
        <v>#REF!</v>
      </c>
      <c r="AP14" s="14" t="e">
        <f t="shared" si="57"/>
        <v>#REF!</v>
      </c>
      <c r="AQ14" s="12" t="e">
        <f t="shared" si="57"/>
        <v>#REF!</v>
      </c>
      <c r="AR14" s="13" t="e">
        <f t="shared" si="57"/>
        <v>#REF!</v>
      </c>
      <c r="AS14" s="13" t="e">
        <f t="shared" si="57"/>
        <v>#REF!</v>
      </c>
      <c r="AT14" s="14" t="e">
        <f t="shared" si="57"/>
        <v>#REF!</v>
      </c>
      <c r="AU14" s="12" t="e">
        <f t="shared" si="57"/>
        <v>#REF!</v>
      </c>
      <c r="AV14" s="13" t="e">
        <f t="shared" si="57"/>
        <v>#REF!</v>
      </c>
      <c r="AW14" s="13" t="e">
        <f t="shared" si="57"/>
        <v>#REF!</v>
      </c>
      <c r="AX14" s="14" t="e">
        <f t="shared" si="57"/>
        <v>#REF!</v>
      </c>
      <c r="AY14" s="12" t="e">
        <f t="shared" si="57"/>
        <v>#REF!</v>
      </c>
      <c r="AZ14" s="13" t="e">
        <f t="shared" si="57"/>
        <v>#REF!</v>
      </c>
      <c r="BA14" s="13" t="e">
        <f t="shared" si="57"/>
        <v>#REF!</v>
      </c>
      <c r="BB14" s="14" t="e">
        <f t="shared" si="57"/>
        <v>#REF!</v>
      </c>
      <c r="BC14" s="12" t="e">
        <f t="shared" si="57"/>
        <v>#REF!</v>
      </c>
      <c r="BD14" s="13" t="e">
        <f t="shared" si="57"/>
        <v>#REF!</v>
      </c>
      <c r="BE14" s="13" t="e">
        <f t="shared" si="57"/>
        <v>#REF!</v>
      </c>
      <c r="BF14" s="14" t="e">
        <f t="shared" si="57"/>
        <v>#REF!</v>
      </c>
      <c r="BG14" s="12" t="e">
        <f t="shared" si="57"/>
        <v>#REF!</v>
      </c>
      <c r="BH14" s="13" t="e">
        <f t="shared" si="57"/>
        <v>#REF!</v>
      </c>
      <c r="BI14" s="13" t="e">
        <f t="shared" si="57"/>
        <v>#REF!</v>
      </c>
      <c r="BJ14" s="14" t="e">
        <f t="shared" si="57"/>
        <v>#REF!</v>
      </c>
      <c r="BK14" s="12" t="e">
        <f t="shared" si="57"/>
        <v>#REF!</v>
      </c>
      <c r="BL14" s="13" t="e">
        <f t="shared" si="57"/>
        <v>#REF!</v>
      </c>
      <c r="BM14" s="13" t="e">
        <f t="shared" si="57"/>
        <v>#REF!</v>
      </c>
      <c r="BN14" s="14" t="e">
        <f t="shared" si="57"/>
        <v>#REF!</v>
      </c>
      <c r="BO14" s="12">
        <f t="shared" si="57"/>
        <v>2621.4259999997448</v>
      </c>
      <c r="BP14" s="13">
        <f t="shared" si="57"/>
        <v>-440025.39645</v>
      </c>
      <c r="BQ14" s="13">
        <f t="shared" si="57"/>
        <v>1415395.7083378788</v>
      </c>
      <c r="BR14" s="14">
        <f t="shared" si="57"/>
        <v>424618.7125013633</v>
      </c>
      <c r="BS14" s="12" t="e">
        <f t="shared" si="57"/>
        <v>#REF!</v>
      </c>
      <c r="BT14" s="13" t="e">
        <f t="shared" si="57"/>
        <v>#REF!</v>
      </c>
      <c r="BU14" s="13" t="e">
        <f t="shared" si="57"/>
        <v>#REF!</v>
      </c>
      <c r="BV14" s="14" t="e">
        <f t="shared" si="57"/>
        <v>#REF!</v>
      </c>
      <c r="BW14" s="12" t="e">
        <f t="shared" si="57"/>
        <v>#REF!</v>
      </c>
      <c r="BX14" s="13" t="e">
        <f t="shared" si="57"/>
        <v>#REF!</v>
      </c>
      <c r="BY14" s="13" t="e">
        <f t="shared" si="57"/>
        <v>#REF!</v>
      </c>
      <c r="BZ14" s="14" t="e">
        <f t="shared" si="57"/>
        <v>#REF!</v>
      </c>
      <c r="CA14" s="12" t="e">
        <f t="shared" si="57"/>
        <v>#REF!</v>
      </c>
      <c r="CB14" s="13" t="e">
        <f t="shared" si="57"/>
        <v>#REF!</v>
      </c>
      <c r="CC14" s="13" t="e">
        <f t="shared" si="57"/>
        <v>#REF!</v>
      </c>
      <c r="CD14" s="14" t="e">
        <f t="shared" si="57"/>
        <v>#REF!</v>
      </c>
      <c r="CE14" s="12" t="e">
        <f t="shared" ref="CE14:DV14" si="58">SUM(CE7:CE12)</f>
        <v>#REF!</v>
      </c>
      <c r="CF14" s="13" t="e">
        <f t="shared" si="58"/>
        <v>#REF!</v>
      </c>
      <c r="CG14" s="13" t="e">
        <f t="shared" si="58"/>
        <v>#REF!</v>
      </c>
      <c r="CH14" s="14" t="e">
        <f t="shared" si="58"/>
        <v>#REF!</v>
      </c>
      <c r="CI14" s="12" t="e">
        <f t="shared" si="58"/>
        <v>#REF!</v>
      </c>
      <c r="CJ14" s="13" t="e">
        <f t="shared" si="58"/>
        <v>#REF!</v>
      </c>
      <c r="CK14" s="13" t="e">
        <f t="shared" si="58"/>
        <v>#REF!</v>
      </c>
      <c r="CL14" s="14" t="e">
        <f t="shared" si="58"/>
        <v>#REF!</v>
      </c>
      <c r="CM14" s="12" t="e">
        <f t="shared" si="58"/>
        <v>#REF!</v>
      </c>
      <c r="CN14" s="13" t="e">
        <f t="shared" si="58"/>
        <v>#REF!</v>
      </c>
      <c r="CO14" s="13" t="e">
        <f t="shared" si="58"/>
        <v>#REF!</v>
      </c>
      <c r="CP14" s="14" t="e">
        <f t="shared" si="58"/>
        <v>#REF!</v>
      </c>
      <c r="CQ14" s="12" t="e">
        <f t="shared" si="58"/>
        <v>#REF!</v>
      </c>
      <c r="CR14" s="13" t="e">
        <f t="shared" si="58"/>
        <v>#REF!</v>
      </c>
      <c r="CS14" s="13" t="e">
        <f t="shared" si="58"/>
        <v>#REF!</v>
      </c>
      <c r="CT14" s="14" t="e">
        <f t="shared" si="58"/>
        <v>#REF!</v>
      </c>
      <c r="CU14" s="12" t="e">
        <f t="shared" si="58"/>
        <v>#REF!</v>
      </c>
      <c r="CV14" s="13" t="e">
        <f t="shared" si="58"/>
        <v>#REF!</v>
      </c>
      <c r="CW14" s="13" t="e">
        <f t="shared" si="58"/>
        <v>#REF!</v>
      </c>
      <c r="CX14" s="14" t="e">
        <f t="shared" si="58"/>
        <v>#REF!</v>
      </c>
      <c r="CY14" s="12" t="e">
        <f t="shared" si="58"/>
        <v>#REF!</v>
      </c>
      <c r="CZ14" s="13" t="e">
        <f t="shared" si="58"/>
        <v>#REF!</v>
      </c>
      <c r="DA14" s="13" t="e">
        <f t="shared" si="58"/>
        <v>#REF!</v>
      </c>
      <c r="DB14" s="14" t="e">
        <f t="shared" si="58"/>
        <v>#REF!</v>
      </c>
      <c r="DC14" s="12" t="e">
        <f t="shared" si="58"/>
        <v>#REF!</v>
      </c>
      <c r="DD14" s="13" t="e">
        <f t="shared" si="58"/>
        <v>#REF!</v>
      </c>
      <c r="DE14" s="13" t="e">
        <f t="shared" si="58"/>
        <v>#REF!</v>
      </c>
      <c r="DF14" s="14" t="e">
        <f t="shared" si="58"/>
        <v>#REF!</v>
      </c>
      <c r="DG14" s="12" t="e">
        <f t="shared" si="58"/>
        <v>#REF!</v>
      </c>
      <c r="DH14" s="13" t="e">
        <f t="shared" si="58"/>
        <v>#REF!</v>
      </c>
      <c r="DI14" s="13" t="e">
        <f t="shared" si="58"/>
        <v>#REF!</v>
      </c>
      <c r="DJ14" s="14" t="e">
        <f t="shared" si="58"/>
        <v>#REF!</v>
      </c>
      <c r="DK14" s="12" t="e">
        <f t="shared" si="58"/>
        <v>#REF!</v>
      </c>
      <c r="DL14" s="13" t="e">
        <f t="shared" si="58"/>
        <v>#REF!</v>
      </c>
      <c r="DM14" s="13" t="e">
        <f t="shared" si="58"/>
        <v>#REF!</v>
      </c>
      <c r="DN14" s="14" t="e">
        <f t="shared" si="58"/>
        <v>#REF!</v>
      </c>
      <c r="DO14" s="12" t="e">
        <f t="shared" si="58"/>
        <v>#REF!</v>
      </c>
      <c r="DP14" s="13" t="e">
        <f t="shared" si="58"/>
        <v>#REF!</v>
      </c>
      <c r="DQ14" s="13" t="e">
        <f t="shared" si="58"/>
        <v>#REF!</v>
      </c>
      <c r="DR14" s="14" t="e">
        <f t="shared" si="58"/>
        <v>#REF!</v>
      </c>
      <c r="DS14" s="12" t="e">
        <f t="shared" si="58"/>
        <v>#REF!</v>
      </c>
      <c r="DT14" s="13" t="e">
        <f t="shared" si="58"/>
        <v>#REF!</v>
      </c>
      <c r="DU14" s="13" t="e">
        <f t="shared" si="58"/>
        <v>#REF!</v>
      </c>
      <c r="DV14" s="14" t="e">
        <f t="shared" si="58"/>
        <v>#REF!</v>
      </c>
    </row>
    <row r="15" spans="1:126" s="24" customFormat="1" x14ac:dyDescent="0.2">
      <c r="A15"/>
      <c r="B15"/>
      <c r="C15" s="15"/>
      <c r="D15" s="16"/>
      <c r="E15" s="16"/>
      <c r="F15" s="17"/>
      <c r="G15" s="15"/>
      <c r="H15" s="16"/>
      <c r="I15" s="16"/>
      <c r="J15" s="17"/>
      <c r="K15" s="15"/>
      <c r="L15" s="16"/>
      <c r="M15" s="16"/>
      <c r="N15" s="17"/>
      <c r="O15" s="15"/>
      <c r="P15" s="16"/>
      <c r="Q15" s="16"/>
      <c r="R15" s="17"/>
      <c r="S15" s="15"/>
      <c r="T15" s="16"/>
      <c r="U15" s="16"/>
      <c r="V15" s="17"/>
      <c r="W15" s="15"/>
      <c r="X15" s="16"/>
      <c r="Y15" s="16"/>
      <c r="Z15" s="17"/>
      <c r="AA15" s="15"/>
      <c r="AB15" s="16"/>
      <c r="AC15" s="16"/>
      <c r="AD15" s="17"/>
      <c r="AE15" s="15"/>
      <c r="AF15" s="16"/>
      <c r="AG15" s="16"/>
      <c r="AH15" s="17"/>
      <c r="AI15" s="15"/>
      <c r="AJ15" s="16"/>
      <c r="AK15" s="16"/>
      <c r="AL15" s="17"/>
      <c r="AM15" s="15"/>
      <c r="AN15" s="16"/>
      <c r="AO15" s="16"/>
      <c r="AP15" s="17"/>
      <c r="AQ15" s="15"/>
      <c r="AR15" s="16"/>
      <c r="AS15" s="16"/>
      <c r="AT15" s="17"/>
      <c r="AU15" s="15"/>
      <c r="AV15" s="16"/>
      <c r="AW15" s="16"/>
      <c r="AX15" s="17"/>
      <c r="AY15" s="15"/>
      <c r="AZ15" s="16"/>
      <c r="BA15" s="16"/>
      <c r="BB15" s="17"/>
      <c r="BC15" s="15"/>
      <c r="BD15" s="16"/>
      <c r="BE15" s="16"/>
      <c r="BF15" s="17"/>
      <c r="BG15" s="15"/>
      <c r="BH15" s="16"/>
      <c r="BI15" s="16"/>
      <c r="BJ15" s="17"/>
      <c r="BK15" s="15"/>
      <c r="BL15" s="16"/>
      <c r="BM15" s="16"/>
      <c r="BN15" s="17"/>
      <c r="BO15" s="15"/>
      <c r="BP15" s="16"/>
      <c r="BQ15" s="16"/>
      <c r="BR15" s="17"/>
      <c r="BS15" s="15"/>
      <c r="BT15" s="16"/>
      <c r="BU15" s="16"/>
      <c r="BV15" s="17"/>
      <c r="BW15" s="15"/>
      <c r="BX15" s="16"/>
      <c r="BY15" s="16"/>
      <c r="BZ15" s="17"/>
      <c r="CA15" s="15"/>
      <c r="CB15" s="16"/>
      <c r="CC15" s="16"/>
      <c r="CD15" s="17"/>
      <c r="CE15" s="15"/>
      <c r="CF15" s="16"/>
      <c r="CG15" s="16"/>
      <c r="CH15" s="17"/>
      <c r="CI15" s="15"/>
      <c r="CJ15" s="16"/>
      <c r="CK15" s="16"/>
      <c r="CL15" s="17"/>
      <c r="CM15" s="15"/>
      <c r="CN15" s="16"/>
      <c r="CO15" s="16"/>
      <c r="CP15" s="17"/>
      <c r="CQ15" s="15"/>
      <c r="CR15" s="16"/>
      <c r="CS15" s="16"/>
      <c r="CT15" s="17"/>
      <c r="CU15" s="15"/>
      <c r="CV15" s="16"/>
      <c r="CW15" s="16"/>
      <c r="CX15" s="17"/>
      <c r="CY15" s="15"/>
      <c r="CZ15" s="16"/>
      <c r="DA15" s="16"/>
      <c r="DB15" s="17"/>
      <c r="DC15" s="15"/>
      <c r="DD15" s="16"/>
      <c r="DE15" s="16"/>
      <c r="DF15" s="17"/>
      <c r="DG15" s="15"/>
      <c r="DH15" s="16"/>
      <c r="DI15" s="16"/>
      <c r="DJ15" s="17"/>
      <c r="DK15" s="15"/>
      <c r="DL15" s="16"/>
      <c r="DM15" s="16"/>
      <c r="DN15" s="17"/>
      <c r="DO15" s="15"/>
      <c r="DP15" s="16"/>
      <c r="DQ15" s="16"/>
      <c r="DR15" s="17"/>
      <c r="DS15" s="15"/>
      <c r="DT15" s="16"/>
      <c r="DU15" s="16"/>
      <c r="DV15" s="17"/>
    </row>
    <row r="16" spans="1:126" s="24" customFormat="1" x14ac:dyDescent="0.2">
      <c r="A16"/>
      <c r="B16" s="6" t="s">
        <v>24</v>
      </c>
      <c r="C16" s="15"/>
      <c r="D16" s="16"/>
      <c r="E16" s="16"/>
      <c r="F16" s="17">
        <v>0</v>
      </c>
      <c r="G16" s="15"/>
      <c r="H16" s="16"/>
      <c r="I16" s="16"/>
      <c r="J16" s="17" t="e">
        <f>+(#REF!-#REF!)*1.95583</f>
        <v>#REF!</v>
      </c>
      <c r="K16" s="15"/>
      <c r="L16" s="16"/>
      <c r="M16" s="16"/>
      <c r="N16" s="17" t="e">
        <f>+(#REF!-#REF!)*1.95583</f>
        <v>#REF!</v>
      </c>
      <c r="O16" s="15"/>
      <c r="P16" s="16"/>
      <c r="Q16" s="16"/>
      <c r="R16" s="17" t="e">
        <f>+(#REF!-#REF!)*1.95583</f>
        <v>#REF!</v>
      </c>
      <c r="S16" s="15"/>
      <c r="T16" s="16"/>
      <c r="U16" s="16"/>
      <c r="V16" s="17" t="e">
        <f>+(#REF!-#REF!)*1.95583</f>
        <v>#REF!</v>
      </c>
      <c r="W16" s="15"/>
      <c r="X16" s="16"/>
      <c r="Y16" s="16"/>
      <c r="Z16" s="17" t="e">
        <f>+(#REF!-#REF!)*1.95583</f>
        <v>#REF!</v>
      </c>
      <c r="AA16" s="15"/>
      <c r="AB16" s="16"/>
      <c r="AC16" s="16"/>
      <c r="AD16" s="17" t="e">
        <f>+(#REF!-#REF!)*1.95583</f>
        <v>#REF!</v>
      </c>
      <c r="AE16" s="15"/>
      <c r="AF16" s="16"/>
      <c r="AG16" s="16"/>
      <c r="AH16" s="17" t="e">
        <f>+(#REF!-#REF!)*1.95583</f>
        <v>#REF!</v>
      </c>
      <c r="AI16" s="15"/>
      <c r="AJ16" s="16"/>
      <c r="AK16" s="16"/>
      <c r="AL16" s="17" t="e">
        <f>+(#REF!-#REF!)*1.95583</f>
        <v>#REF!</v>
      </c>
      <c r="AM16" s="15"/>
      <c r="AN16" s="16"/>
      <c r="AO16" s="16"/>
      <c r="AP16" s="17" t="e">
        <f>+(#REF!-#REF!)*1.95583</f>
        <v>#REF!</v>
      </c>
      <c r="AQ16" s="15"/>
      <c r="AR16" s="16"/>
      <c r="AS16" s="16"/>
      <c r="AT16" s="17" t="e">
        <f>+(#REF!-#REF!)*1.95583</f>
        <v>#REF!</v>
      </c>
      <c r="AU16" s="15"/>
      <c r="AV16" s="16"/>
      <c r="AW16" s="16"/>
      <c r="AX16" s="17" t="e">
        <f>+(#REF!-#REF!)*1.95583</f>
        <v>#REF!</v>
      </c>
      <c r="AY16" s="15"/>
      <c r="AZ16" s="16"/>
      <c r="BA16" s="16"/>
      <c r="BB16" s="17" t="e">
        <f>+(#REF!-#REF!)*1.95583</f>
        <v>#REF!</v>
      </c>
      <c r="BC16" s="15"/>
      <c r="BD16" s="16"/>
      <c r="BE16" s="16"/>
      <c r="BF16" s="17" t="e">
        <f>+(#REF!-#REF!)*1.95583</f>
        <v>#REF!</v>
      </c>
      <c r="BG16" s="15"/>
      <c r="BH16" s="16"/>
      <c r="BI16" s="16"/>
      <c r="BJ16" s="17" t="e">
        <f>+(#REF!-#REF!)*1.95583</f>
        <v>#REF!</v>
      </c>
      <c r="BK16" s="15"/>
      <c r="BL16" s="16"/>
      <c r="BM16" s="16"/>
      <c r="BN16" s="17" t="e">
        <f>+(#REF!-#REF!)*1.95583</f>
        <v>#REF!</v>
      </c>
      <c r="BO16" s="15"/>
      <c r="BP16" s="16"/>
      <c r="BQ16" s="16"/>
      <c r="BR16" s="17" t="e">
        <f>+(#REF!-#REF!)*1.95583</f>
        <v>#REF!</v>
      </c>
      <c r="BS16" s="15"/>
      <c r="BT16" s="16"/>
      <c r="BU16" s="16"/>
      <c r="BV16" s="17" t="e">
        <f>+(#REF!-#REF!)*1.95583</f>
        <v>#REF!</v>
      </c>
      <c r="BW16" s="15"/>
      <c r="BX16" s="16"/>
      <c r="BY16" s="16"/>
      <c r="BZ16" s="17" t="e">
        <f>+(#REF!-#REF!)*1.95583</f>
        <v>#REF!</v>
      </c>
      <c r="CA16" s="15"/>
      <c r="CB16" s="16"/>
      <c r="CC16" s="16"/>
      <c r="CD16" s="17" t="e">
        <f>+(#REF!-#REF!)*1.95583</f>
        <v>#REF!</v>
      </c>
      <c r="CE16" s="15"/>
      <c r="CF16" s="16"/>
      <c r="CG16" s="16"/>
      <c r="CH16" s="17" t="e">
        <f>+(#REF!-#REF!)*1.95583</f>
        <v>#REF!</v>
      </c>
      <c r="CI16" s="15"/>
      <c r="CJ16" s="16"/>
      <c r="CK16" s="16"/>
      <c r="CL16" s="17" t="e">
        <f>+(#REF!-#REF!)*1.95583</f>
        <v>#REF!</v>
      </c>
      <c r="CM16" s="15"/>
      <c r="CN16" s="16"/>
      <c r="CO16" s="16"/>
      <c r="CP16" s="17" t="e">
        <f>+(#REF!-#REF!)*1.95583</f>
        <v>#REF!</v>
      </c>
      <c r="CQ16" s="15"/>
      <c r="CR16" s="16"/>
      <c r="CS16" s="16"/>
      <c r="CT16" s="17" t="e">
        <f>+(#REF!-#REF!)*1.95583</f>
        <v>#REF!</v>
      </c>
      <c r="CU16" s="15"/>
      <c r="CV16" s="16"/>
      <c r="CW16" s="16"/>
      <c r="CX16" s="17" t="e">
        <f>+(#REF!-#REF!)*1.95583</f>
        <v>#REF!</v>
      </c>
      <c r="CY16" s="15"/>
      <c r="CZ16" s="16"/>
      <c r="DA16" s="16"/>
      <c r="DB16" s="17" t="e">
        <f>+(#REF!-#REF!)*1.95583</f>
        <v>#REF!</v>
      </c>
      <c r="DC16" s="15"/>
      <c r="DD16" s="16"/>
      <c r="DE16" s="16"/>
      <c r="DF16" s="17" t="e">
        <f>+(#REF!-#REF!)*1.95583</f>
        <v>#REF!</v>
      </c>
      <c r="DG16" s="15"/>
      <c r="DH16" s="16"/>
      <c r="DI16" s="16"/>
      <c r="DJ16" s="17" t="e">
        <f>+(#REF!-#REF!)*1.95583</f>
        <v>#REF!</v>
      </c>
      <c r="DK16" s="15"/>
      <c r="DL16" s="16"/>
      <c r="DM16" s="16"/>
      <c r="DN16" s="17" t="e">
        <f>+(#REF!-#REF!)*1.95583</f>
        <v>#REF!</v>
      </c>
      <c r="DO16" s="15"/>
      <c r="DP16" s="16"/>
      <c r="DQ16" s="16"/>
      <c r="DR16" s="17" t="e">
        <f>+(#REF!-#REF!)*1.95583</f>
        <v>#REF!</v>
      </c>
      <c r="DS16" s="15"/>
      <c r="DT16" s="16"/>
      <c r="DU16" s="16"/>
      <c r="DV16" s="17" t="e">
        <f>+(#REF!-#REF!)*1.95583</f>
        <v>#REF!</v>
      </c>
    </row>
    <row r="17" spans="1:126" s="24" customFormat="1" ht="13.5" thickBot="1" x14ac:dyDescent="0.25">
      <c r="A17"/>
      <c r="B17"/>
      <c r="C17" s="15"/>
      <c r="D17" s="16"/>
      <c r="E17" s="16"/>
      <c r="F17" s="17"/>
      <c r="G17" s="15"/>
      <c r="H17" s="16"/>
      <c r="I17" s="16"/>
      <c r="J17" s="17"/>
      <c r="K17" s="15"/>
      <c r="L17" s="16"/>
      <c r="M17" s="16"/>
      <c r="N17" s="17"/>
      <c r="O17" s="15"/>
      <c r="P17" s="16"/>
      <c r="Q17" s="16"/>
      <c r="R17" s="17"/>
      <c r="S17" s="15"/>
      <c r="T17" s="16"/>
      <c r="U17" s="16"/>
      <c r="V17" s="17"/>
      <c r="W17" s="15"/>
      <c r="X17" s="16"/>
      <c r="Y17" s="16"/>
      <c r="Z17" s="17"/>
      <c r="AA17" s="15"/>
      <c r="AB17" s="16"/>
      <c r="AC17" s="16"/>
      <c r="AD17" s="17"/>
      <c r="AE17" s="15"/>
      <c r="AF17" s="16"/>
      <c r="AG17" s="16"/>
      <c r="AH17" s="17"/>
      <c r="AI17" s="15"/>
      <c r="AJ17" s="16"/>
      <c r="AK17" s="16"/>
      <c r="AL17" s="17"/>
      <c r="AM17" s="15"/>
      <c r="AN17" s="16"/>
      <c r="AO17" s="16"/>
      <c r="AP17" s="17"/>
      <c r="AQ17" s="15"/>
      <c r="AR17" s="16"/>
      <c r="AS17" s="16"/>
      <c r="AT17" s="17"/>
      <c r="AU17" s="15"/>
      <c r="AV17" s="16"/>
      <c r="AW17" s="16"/>
      <c r="AX17" s="17"/>
      <c r="AY17" s="15"/>
      <c r="AZ17" s="16"/>
      <c r="BA17" s="16"/>
      <c r="BB17" s="17"/>
      <c r="BC17" s="15"/>
      <c r="BD17" s="16"/>
      <c r="BE17" s="16"/>
      <c r="BF17" s="17"/>
      <c r="BG17" s="15"/>
      <c r="BH17" s="16"/>
      <c r="BI17" s="16"/>
      <c r="BJ17" s="17"/>
      <c r="BK17" s="15"/>
      <c r="BL17" s="16"/>
      <c r="BM17" s="16"/>
      <c r="BN17" s="17"/>
      <c r="BO17" s="15"/>
      <c r="BP17" s="16"/>
      <c r="BQ17" s="16"/>
      <c r="BR17" s="17"/>
      <c r="BS17" s="15"/>
      <c r="BT17" s="16"/>
      <c r="BU17" s="16"/>
      <c r="BV17" s="17"/>
      <c r="BW17" s="15"/>
      <c r="BX17" s="16"/>
      <c r="BY17" s="16"/>
      <c r="BZ17" s="17"/>
      <c r="CA17" s="15"/>
      <c r="CB17" s="16"/>
      <c r="CC17" s="16"/>
      <c r="CD17" s="17"/>
      <c r="CE17" s="15"/>
      <c r="CF17" s="16"/>
      <c r="CG17" s="16"/>
      <c r="CH17" s="17"/>
      <c r="CI17" s="15"/>
      <c r="CJ17" s="16"/>
      <c r="CK17" s="16"/>
      <c r="CL17" s="17"/>
      <c r="CM17" s="15"/>
      <c r="CN17" s="16"/>
      <c r="CO17" s="16"/>
      <c r="CP17" s="17"/>
      <c r="CQ17" s="15"/>
      <c r="CR17" s="16"/>
      <c r="CS17" s="16"/>
      <c r="CT17" s="17"/>
      <c r="CU17" s="15"/>
      <c r="CV17" s="16"/>
      <c r="CW17" s="16"/>
      <c r="CX17" s="17"/>
      <c r="CY17" s="15"/>
      <c r="CZ17" s="16"/>
      <c r="DA17" s="16"/>
      <c r="DB17" s="17"/>
      <c r="DC17" s="15"/>
      <c r="DD17" s="16"/>
      <c r="DE17" s="16"/>
      <c r="DF17" s="17"/>
      <c r="DG17" s="15"/>
      <c r="DH17" s="16"/>
      <c r="DI17" s="16"/>
      <c r="DJ17" s="17"/>
      <c r="DK17" s="15"/>
      <c r="DL17" s="16"/>
      <c r="DM17" s="16"/>
      <c r="DN17" s="17"/>
      <c r="DO17" s="15"/>
      <c r="DP17" s="16"/>
      <c r="DQ17" s="16"/>
      <c r="DR17" s="17"/>
      <c r="DS17" s="15"/>
      <c r="DT17" s="16"/>
      <c r="DU17" s="16"/>
      <c r="DV17" s="17"/>
    </row>
    <row r="18" spans="1:126" s="24" customFormat="1" ht="36.75" thickBot="1" x14ac:dyDescent="0.3">
      <c r="A18"/>
      <c r="B18" s="22" t="s">
        <v>25</v>
      </c>
      <c r="C18" s="18"/>
      <c r="D18" s="19"/>
      <c r="E18" s="19"/>
      <c r="F18" s="20"/>
      <c r="G18" s="18"/>
      <c r="H18" s="19"/>
      <c r="I18" s="19"/>
      <c r="J18" s="20" t="e">
        <f>IF(J14+J16&lt;0,J14+J16,0)</f>
        <v>#REF!</v>
      </c>
      <c r="K18" s="18"/>
      <c r="L18" s="19"/>
      <c r="M18" s="19"/>
      <c r="N18" s="20" t="e">
        <f>IF(N14+N16&lt;0,N14+N16,0)</f>
        <v>#REF!</v>
      </c>
      <c r="O18" s="18"/>
      <c r="P18" s="19"/>
      <c r="Q18" s="19"/>
      <c r="R18" s="20" t="e">
        <f>IF(R14+R16&lt;0,R14+R16,0)</f>
        <v>#REF!</v>
      </c>
      <c r="S18" s="18"/>
      <c r="T18" s="19"/>
      <c r="U18" s="19"/>
      <c r="V18" s="20" t="e">
        <f t="shared" ref="V18" si="59">IF(V14+V16&lt;0,V14+V16,0)</f>
        <v>#REF!</v>
      </c>
      <c r="W18" s="18"/>
      <c r="X18" s="19"/>
      <c r="Y18" s="19"/>
      <c r="Z18" s="20" t="e">
        <f t="shared" ref="Z18" si="60">IF(Z14+Z16&lt;0,Z14+Z16,0)</f>
        <v>#REF!</v>
      </c>
      <c r="AA18" s="18"/>
      <c r="AB18" s="19"/>
      <c r="AC18" s="19"/>
      <c r="AD18" s="20" t="e">
        <f t="shared" ref="AD18" si="61">IF(AD14+AD16&lt;0,AD14+AD16,0)</f>
        <v>#REF!</v>
      </c>
      <c r="AE18" s="18"/>
      <c r="AF18" s="19"/>
      <c r="AG18" s="19"/>
      <c r="AH18" s="20" t="e">
        <f t="shared" ref="AH18" si="62">IF(AH14+AH16&lt;0,AH14+AH16,0)</f>
        <v>#REF!</v>
      </c>
      <c r="AI18" s="18"/>
      <c r="AJ18" s="19"/>
      <c r="AK18" s="19"/>
      <c r="AL18" s="20" t="e">
        <f t="shared" ref="AL18" si="63">IF(AL14+AL16&lt;0,AL14+AL16,0)</f>
        <v>#REF!</v>
      </c>
      <c r="AM18" s="18"/>
      <c r="AN18" s="19"/>
      <c r="AO18" s="19"/>
      <c r="AP18" s="20" t="e">
        <f t="shared" ref="AP18" si="64">IF(AP14+AP16&lt;0,AP14+AP16,0)</f>
        <v>#REF!</v>
      </c>
      <c r="AQ18" s="18"/>
      <c r="AR18" s="19"/>
      <c r="AS18" s="19"/>
      <c r="AT18" s="20" t="e">
        <f t="shared" ref="AT18" si="65">IF(AT14+AT16&lt;0,AT14+AT16,0)</f>
        <v>#REF!</v>
      </c>
      <c r="AU18" s="18"/>
      <c r="AV18" s="19"/>
      <c r="AW18" s="19"/>
      <c r="AX18" s="20" t="e">
        <f t="shared" ref="AX18" si="66">IF(AX14+AX16&lt;0,AX14+AX16,0)</f>
        <v>#REF!</v>
      </c>
      <c r="AY18" s="18"/>
      <c r="AZ18" s="19"/>
      <c r="BA18" s="19"/>
      <c r="BB18" s="20" t="e">
        <f t="shared" ref="BB18" si="67">IF(BB14+BB16&lt;0,BB14+BB16,0)</f>
        <v>#REF!</v>
      </c>
      <c r="BC18" s="18"/>
      <c r="BD18" s="19"/>
      <c r="BE18" s="19"/>
      <c r="BF18" s="20" t="e">
        <f t="shared" ref="BF18" si="68">IF(BF14+BF16&lt;0,BF14+BF16,0)</f>
        <v>#REF!</v>
      </c>
      <c r="BG18" s="18"/>
      <c r="BH18" s="19"/>
      <c r="BI18" s="19"/>
      <c r="BJ18" s="20" t="e">
        <f t="shared" ref="BJ18" si="69">IF(BJ14+BJ16&lt;0,BJ14+BJ16,0)</f>
        <v>#REF!</v>
      </c>
      <c r="BK18" s="18"/>
      <c r="BL18" s="19"/>
      <c r="BM18" s="19"/>
      <c r="BN18" s="20" t="e">
        <f t="shared" ref="BN18" si="70">IF(BN14+BN16&lt;0,BN14+BN16,0)</f>
        <v>#REF!</v>
      </c>
      <c r="BO18" s="18"/>
      <c r="BP18" s="19"/>
      <c r="BQ18" s="19"/>
      <c r="BR18" s="20" t="e">
        <f t="shared" ref="BR18" si="71">IF(BR14+BR16&lt;0,BR14+BR16,0)</f>
        <v>#REF!</v>
      </c>
      <c r="BS18" s="18"/>
      <c r="BT18" s="19"/>
      <c r="BU18" s="19"/>
      <c r="BV18" s="20" t="e">
        <f t="shared" ref="BV18" si="72">IF(BV14+BV16&lt;0,BV14+BV16,0)</f>
        <v>#REF!</v>
      </c>
      <c r="BW18" s="18"/>
      <c r="BX18" s="19"/>
      <c r="BY18" s="19"/>
      <c r="BZ18" s="20" t="e">
        <f t="shared" ref="BZ18" si="73">IF(BZ14+BZ16&lt;0,BZ14+BZ16,0)</f>
        <v>#REF!</v>
      </c>
      <c r="CA18" s="18"/>
      <c r="CB18" s="19"/>
      <c r="CC18" s="19"/>
      <c r="CD18" s="20" t="e">
        <f t="shared" ref="CD18" si="74">IF(CD14+CD16&lt;0,CD14+CD16,0)</f>
        <v>#REF!</v>
      </c>
      <c r="CE18" s="18"/>
      <c r="CF18" s="19"/>
      <c r="CG18" s="19"/>
      <c r="CH18" s="20" t="e">
        <f t="shared" ref="CH18" si="75">IF(CH14+CH16&lt;0,CH14+CH16,0)</f>
        <v>#REF!</v>
      </c>
      <c r="CI18" s="18"/>
      <c r="CJ18" s="19"/>
      <c r="CK18" s="19"/>
      <c r="CL18" s="20" t="e">
        <f t="shared" ref="CL18" si="76">IF(CL14+CL16&lt;0,CL14+CL16,0)</f>
        <v>#REF!</v>
      </c>
      <c r="CM18" s="18"/>
      <c r="CN18" s="19"/>
      <c r="CO18" s="19"/>
      <c r="CP18" s="20" t="e">
        <f t="shared" ref="CP18" si="77">IF(CP14+CP16&lt;0,CP14+CP16,0)</f>
        <v>#REF!</v>
      </c>
      <c r="CQ18" s="18"/>
      <c r="CR18" s="19"/>
      <c r="CS18" s="19"/>
      <c r="CT18" s="20" t="e">
        <f t="shared" ref="CT18" si="78">IF(CT14+CT16&lt;0,CT14+CT16,0)</f>
        <v>#REF!</v>
      </c>
      <c r="CU18" s="18"/>
      <c r="CV18" s="19"/>
      <c r="CW18" s="19"/>
      <c r="CX18" s="20" t="e">
        <f t="shared" ref="CX18" si="79">IF(CX14+CX16&lt;0,CX14+CX16,0)</f>
        <v>#REF!</v>
      </c>
      <c r="CY18" s="18"/>
      <c r="CZ18" s="19"/>
      <c r="DA18" s="19"/>
      <c r="DB18" s="20" t="e">
        <f t="shared" ref="DB18" si="80">IF(DB14+DB16&lt;0,DB14+DB16,0)</f>
        <v>#REF!</v>
      </c>
      <c r="DC18" s="18"/>
      <c r="DD18" s="19"/>
      <c r="DE18" s="19"/>
      <c r="DF18" s="20" t="e">
        <f t="shared" ref="DF18" si="81">IF(DF14+DF16&lt;0,DF14+DF16,0)</f>
        <v>#REF!</v>
      </c>
      <c r="DG18" s="18"/>
      <c r="DH18" s="19"/>
      <c r="DI18" s="19"/>
      <c r="DJ18" s="20" t="e">
        <f t="shared" ref="DJ18" si="82">IF(DJ14+DJ16&lt;0,DJ14+DJ16,0)</f>
        <v>#REF!</v>
      </c>
      <c r="DK18" s="18"/>
      <c r="DL18" s="19"/>
      <c r="DM18" s="19"/>
      <c r="DN18" s="20" t="e">
        <f t="shared" ref="DN18" si="83">IF(DN14+DN16&lt;0,DN14+DN16,0)</f>
        <v>#REF!</v>
      </c>
      <c r="DO18" s="18"/>
      <c r="DP18" s="19"/>
      <c r="DQ18" s="19"/>
      <c r="DR18" s="20" t="e">
        <f t="shared" ref="DR18" si="84">IF(DR14+DR16&lt;0,DR14+DR16,0)</f>
        <v>#REF!</v>
      </c>
      <c r="DS18" s="18"/>
      <c r="DT18" s="19"/>
      <c r="DU18" s="19"/>
      <c r="DV18" s="20" t="e">
        <f t="shared" ref="DV18" si="85">IF(DV14+DV16&lt;0,DV14+DV16,0)</f>
        <v>#REF!</v>
      </c>
    </row>
    <row r="19" spans="1:126" s="24" customFormat="1" ht="45.6" customHeight="1" thickBot="1" x14ac:dyDescent="0.3">
      <c r="A19"/>
      <c r="B19" s="22" t="s">
        <v>26</v>
      </c>
      <c r="C19" s="18"/>
      <c r="D19" s="19"/>
      <c r="E19" s="19"/>
      <c r="F19" s="20"/>
      <c r="G19" s="18"/>
      <c r="H19" s="19"/>
      <c r="I19" s="19"/>
      <c r="J19" s="20" t="e">
        <f>F19+J18</f>
        <v>#REF!</v>
      </c>
      <c r="K19" s="18"/>
      <c r="L19" s="19"/>
      <c r="M19" s="19"/>
      <c r="N19" s="20" t="e">
        <f>J19+N18</f>
        <v>#REF!</v>
      </c>
      <c r="O19" s="18"/>
      <c r="P19" s="19"/>
      <c r="Q19" s="19"/>
      <c r="R19" s="20" t="e">
        <f>N19+R18</f>
        <v>#REF!</v>
      </c>
      <c r="S19" s="18"/>
      <c r="T19" s="19"/>
      <c r="U19" s="19"/>
      <c r="V19" s="20" t="e">
        <f t="shared" ref="V19" si="86">R19+V18</f>
        <v>#REF!</v>
      </c>
      <c r="W19" s="18"/>
      <c r="X19" s="19"/>
      <c r="Y19" s="19"/>
      <c r="Z19" s="20" t="e">
        <f t="shared" ref="Z19" si="87">V19+Z18</f>
        <v>#REF!</v>
      </c>
      <c r="AA19" s="18"/>
      <c r="AB19" s="19"/>
      <c r="AC19" s="19"/>
      <c r="AD19" s="20" t="e">
        <f t="shared" ref="AD19" si="88">Z19+AD18</f>
        <v>#REF!</v>
      </c>
      <c r="AE19" s="18"/>
      <c r="AF19" s="19"/>
      <c r="AG19" s="19"/>
      <c r="AH19" s="20" t="e">
        <f t="shared" ref="AH19" si="89">AD19+AH18</f>
        <v>#REF!</v>
      </c>
      <c r="AI19" s="18"/>
      <c r="AJ19" s="19"/>
      <c r="AK19" s="19"/>
      <c r="AL19" s="20" t="e">
        <f t="shared" ref="AL19" si="90">AH19+AL18</f>
        <v>#REF!</v>
      </c>
      <c r="AM19" s="18"/>
      <c r="AN19" s="19"/>
      <c r="AO19" s="19"/>
      <c r="AP19" s="20" t="e">
        <f t="shared" ref="AP19" si="91">AL19+AP18</f>
        <v>#REF!</v>
      </c>
      <c r="AQ19" s="18"/>
      <c r="AR19" s="19"/>
      <c r="AS19" s="19"/>
      <c r="AT19" s="20" t="e">
        <f t="shared" ref="AT19" si="92">AP19+AT18</f>
        <v>#REF!</v>
      </c>
      <c r="AU19" s="18"/>
      <c r="AV19" s="19"/>
      <c r="AW19" s="19"/>
      <c r="AX19" s="20" t="e">
        <f t="shared" ref="AX19" si="93">AT19+AX18</f>
        <v>#REF!</v>
      </c>
      <c r="AY19" s="18"/>
      <c r="AZ19" s="19"/>
      <c r="BA19" s="19"/>
      <c r="BB19" s="20" t="e">
        <f t="shared" ref="BB19" si="94">AX19+BB18</f>
        <v>#REF!</v>
      </c>
      <c r="BC19" s="18"/>
      <c r="BD19" s="19"/>
      <c r="BE19" s="19"/>
      <c r="BF19" s="20" t="e">
        <f t="shared" ref="BF19" si="95">BB19+BF18</f>
        <v>#REF!</v>
      </c>
      <c r="BG19" s="18"/>
      <c r="BH19" s="19"/>
      <c r="BI19" s="19"/>
      <c r="BJ19" s="20" t="e">
        <f t="shared" ref="BJ19" si="96">BF19+BJ18</f>
        <v>#REF!</v>
      </c>
      <c r="BK19" s="18"/>
      <c r="BL19" s="19"/>
      <c r="BM19" s="19"/>
      <c r="BN19" s="20" t="e">
        <f t="shared" ref="BN19" si="97">BJ19+BN18</f>
        <v>#REF!</v>
      </c>
      <c r="BO19" s="18"/>
      <c r="BP19" s="19"/>
      <c r="BQ19" s="19"/>
      <c r="BR19" s="20" t="e">
        <f t="shared" ref="BR19" si="98">BN19+BR18</f>
        <v>#REF!</v>
      </c>
      <c r="BS19" s="18"/>
      <c r="BT19" s="19"/>
      <c r="BU19" s="19"/>
      <c r="BV19" s="20" t="e">
        <f t="shared" ref="BV19" si="99">BR19+BV18</f>
        <v>#REF!</v>
      </c>
      <c r="BW19" s="18"/>
      <c r="BX19" s="19"/>
      <c r="BY19" s="19"/>
      <c r="BZ19" s="20" t="e">
        <f t="shared" ref="BZ19" si="100">BV19+BZ18</f>
        <v>#REF!</v>
      </c>
      <c r="CA19" s="18"/>
      <c r="CB19" s="19"/>
      <c r="CC19" s="19"/>
      <c r="CD19" s="20" t="e">
        <f t="shared" ref="CD19" si="101">BZ19+CD18</f>
        <v>#REF!</v>
      </c>
      <c r="CE19" s="18"/>
      <c r="CF19" s="19"/>
      <c r="CG19" s="19"/>
      <c r="CH19" s="20" t="e">
        <f t="shared" ref="CH19" si="102">CD19+CH18</f>
        <v>#REF!</v>
      </c>
      <c r="CI19" s="18"/>
      <c r="CJ19" s="19"/>
      <c r="CK19" s="19"/>
      <c r="CL19" s="20" t="e">
        <f t="shared" ref="CL19" si="103">CH19+CL18</f>
        <v>#REF!</v>
      </c>
      <c r="CM19" s="18"/>
      <c r="CN19" s="19"/>
      <c r="CO19" s="19"/>
      <c r="CP19" s="20" t="e">
        <f t="shared" ref="CP19" si="104">CL19+CP18</f>
        <v>#REF!</v>
      </c>
      <c r="CQ19" s="18"/>
      <c r="CR19" s="19"/>
      <c r="CS19" s="19"/>
      <c r="CT19" s="20" t="e">
        <f t="shared" ref="CT19" si="105">CP19+CT18</f>
        <v>#REF!</v>
      </c>
      <c r="CU19" s="18"/>
      <c r="CV19" s="19"/>
      <c r="CW19" s="19"/>
      <c r="CX19" s="20" t="e">
        <f t="shared" ref="CX19" si="106">CT19+CX18</f>
        <v>#REF!</v>
      </c>
      <c r="CY19" s="18"/>
      <c r="CZ19" s="19"/>
      <c r="DA19" s="19"/>
      <c r="DB19" s="20" t="e">
        <f t="shared" ref="DB19" si="107">CX19+DB18</f>
        <v>#REF!</v>
      </c>
      <c r="DC19" s="18"/>
      <c r="DD19" s="19"/>
      <c r="DE19" s="19"/>
      <c r="DF19" s="20" t="e">
        <f t="shared" ref="DF19" si="108">DB19+DF18</f>
        <v>#REF!</v>
      </c>
      <c r="DG19" s="18"/>
      <c r="DH19" s="19"/>
      <c r="DI19" s="19"/>
      <c r="DJ19" s="20" t="e">
        <f t="shared" ref="DJ19" si="109">DF19+DJ18</f>
        <v>#REF!</v>
      </c>
      <c r="DK19" s="18"/>
      <c r="DL19" s="19"/>
      <c r="DM19" s="19"/>
      <c r="DN19" s="20" t="e">
        <f t="shared" ref="DN19" si="110">DJ19+DN18</f>
        <v>#REF!</v>
      </c>
      <c r="DO19" s="18"/>
      <c r="DP19" s="19"/>
      <c r="DQ19" s="19"/>
      <c r="DR19" s="20" t="e">
        <f t="shared" ref="DR19" si="111">DN19+DR18</f>
        <v>#REF!</v>
      </c>
      <c r="DS19" s="18"/>
      <c r="DT19" s="19"/>
      <c r="DU19" s="19"/>
      <c r="DV19" s="20" t="e">
        <f t="shared" ref="DV19" si="112">DR19+DV18</f>
        <v>#REF!</v>
      </c>
    </row>
    <row r="20" spans="1:126" s="24" customFormat="1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26" s="24" customFormat="1" x14ac:dyDescent="0.2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26" s="24" customFormat="1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26" s="24" customFormat="1" x14ac:dyDescent="0.2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</row>
    <row r="24" spans="1:126" s="24" customForma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26" s="24" customFormat="1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26" s="24" customFormat="1" x14ac:dyDescent="0.2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26" s="24" customFormat="1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26" s="24" customForma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</row>
    <row r="29" spans="1:126" s="24" customFormat="1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</row>
  </sheetData>
  <mergeCells count="124">
    <mergeCell ref="CY1:DB1"/>
    <mergeCell ref="CY2:DB2"/>
    <mergeCell ref="CY3:DB3"/>
    <mergeCell ref="CY4:DB4"/>
    <mergeCell ref="CI1:CL1"/>
    <mergeCell ref="CI2:CL2"/>
    <mergeCell ref="CI3:CL3"/>
    <mergeCell ref="CI4:CL4"/>
    <mergeCell ref="CM1:CP1"/>
    <mergeCell ref="CM2:CP2"/>
    <mergeCell ref="CM3:CP3"/>
    <mergeCell ref="CM4:CP4"/>
    <mergeCell ref="CQ1:CT1"/>
    <mergeCell ref="CQ2:CT2"/>
    <mergeCell ref="CQ3:CT3"/>
    <mergeCell ref="CQ4:CT4"/>
    <mergeCell ref="CE1:CH1"/>
    <mergeCell ref="CE2:CH2"/>
    <mergeCell ref="CE3:CH3"/>
    <mergeCell ref="CE4:CH4"/>
    <mergeCell ref="C1:F1"/>
    <mergeCell ref="C2:F2"/>
    <mergeCell ref="C3:F3"/>
    <mergeCell ref="C4:F4"/>
    <mergeCell ref="CU1:CX1"/>
    <mergeCell ref="CU2:CX2"/>
    <mergeCell ref="CU3:CX3"/>
    <mergeCell ref="CU4:CX4"/>
    <mergeCell ref="BO1:BR1"/>
    <mergeCell ref="BO2:BR2"/>
    <mergeCell ref="BO3:BR3"/>
    <mergeCell ref="BO4:BR4"/>
    <mergeCell ref="BW1:BZ1"/>
    <mergeCell ref="BW2:BZ2"/>
    <mergeCell ref="BW3:BZ3"/>
    <mergeCell ref="BW4:BZ4"/>
    <mergeCell ref="CA1:CD1"/>
    <mergeCell ref="CA2:CD2"/>
    <mergeCell ref="CA3:CD3"/>
    <mergeCell ref="CA4:CD4"/>
    <mergeCell ref="S1:V1"/>
    <mergeCell ref="S2:V2"/>
    <mergeCell ref="S3:V3"/>
    <mergeCell ref="S4:V4"/>
    <mergeCell ref="W1:Z1"/>
    <mergeCell ref="W2:Z2"/>
    <mergeCell ref="W3:Z3"/>
    <mergeCell ref="W4:Z4"/>
    <mergeCell ref="AA1:AD1"/>
    <mergeCell ref="AA2:AD2"/>
    <mergeCell ref="AA3:AD3"/>
    <mergeCell ref="AA4:AD4"/>
    <mergeCell ref="AE1:AH1"/>
    <mergeCell ref="AE2:AH2"/>
    <mergeCell ref="AE3:AH3"/>
    <mergeCell ref="AE4:AH4"/>
    <mergeCell ref="AI1:AL1"/>
    <mergeCell ref="AI2:AL2"/>
    <mergeCell ref="AI3:AL3"/>
    <mergeCell ref="AI4:AL4"/>
    <mergeCell ref="AM1:AP1"/>
    <mergeCell ref="AM2:AP2"/>
    <mergeCell ref="AM3:AP3"/>
    <mergeCell ref="AM4:AP4"/>
    <mergeCell ref="AQ1:AT1"/>
    <mergeCell ref="AQ2:AT2"/>
    <mergeCell ref="AQ3:AT3"/>
    <mergeCell ref="AQ4:AT4"/>
    <mergeCell ref="AU1:AX1"/>
    <mergeCell ref="AU2:AX2"/>
    <mergeCell ref="AU3:AX3"/>
    <mergeCell ref="AU4:AX4"/>
    <mergeCell ref="AY1:BB1"/>
    <mergeCell ref="AY2:BB2"/>
    <mergeCell ref="AY3:BB3"/>
    <mergeCell ref="AY4:BB4"/>
    <mergeCell ref="DG1:DJ1"/>
    <mergeCell ref="DG2:DJ2"/>
    <mergeCell ref="DG3:DJ3"/>
    <mergeCell ref="DG4:DJ4"/>
    <mergeCell ref="DK1:DN1"/>
    <mergeCell ref="DK2:DN2"/>
    <mergeCell ref="DK3:DN3"/>
    <mergeCell ref="DK4:DN4"/>
    <mergeCell ref="BC1:BF1"/>
    <mergeCell ref="BC2:BF2"/>
    <mergeCell ref="BC3:BF3"/>
    <mergeCell ref="BC4:BF4"/>
    <mergeCell ref="BS1:BV1"/>
    <mergeCell ref="BS2:BV2"/>
    <mergeCell ref="BS3:BV3"/>
    <mergeCell ref="BS4:BV4"/>
    <mergeCell ref="BG1:BJ1"/>
    <mergeCell ref="BG2:BJ2"/>
    <mergeCell ref="BG3:BJ3"/>
    <mergeCell ref="BG4:BJ4"/>
    <mergeCell ref="BK1:BN1"/>
    <mergeCell ref="BK2:BN2"/>
    <mergeCell ref="BK3:BN3"/>
    <mergeCell ref="BK4:BN4"/>
    <mergeCell ref="DO1:DR1"/>
    <mergeCell ref="DO2:DR2"/>
    <mergeCell ref="DO3:DR3"/>
    <mergeCell ref="DO4:DR4"/>
    <mergeCell ref="DS1:DV1"/>
    <mergeCell ref="DS2:DV2"/>
    <mergeCell ref="DS3:DV3"/>
    <mergeCell ref="DS4:DV4"/>
    <mergeCell ref="G1:J1"/>
    <mergeCell ref="G2:J2"/>
    <mergeCell ref="G3:J3"/>
    <mergeCell ref="G4:J4"/>
    <mergeCell ref="K1:N1"/>
    <mergeCell ref="K2:N2"/>
    <mergeCell ref="K3:N3"/>
    <mergeCell ref="K4:N4"/>
    <mergeCell ref="O1:R1"/>
    <mergeCell ref="O2:R2"/>
    <mergeCell ref="O3:R3"/>
    <mergeCell ref="O4:R4"/>
    <mergeCell ref="DC1:DF1"/>
    <mergeCell ref="DC2:DF2"/>
    <mergeCell ref="DC3:DF3"/>
    <mergeCell ref="DC4:DF4"/>
  </mergeCells>
  <conditionalFormatting sqref="C1:DV19">
    <cfRule type="cellIs" dxfId="2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  <outlinePr summaryBelow="0"/>
    <pageSetUpPr fitToPage="1"/>
  </sheetPr>
  <dimension ref="A1:BA182"/>
  <sheetViews>
    <sheetView showGridLines="0" zoomScaleNormal="100" workbookViewId="0">
      <pane xSplit="2" ySplit="17" topLeftCell="F153" activePane="bottomRight" state="frozen"/>
      <selection pane="topRight" activeCell="C1" sqref="C1"/>
      <selection pane="bottomLeft" activeCell="A17" sqref="A17"/>
      <selection pane="bottomRight" activeCell="N172" sqref="N172"/>
    </sheetView>
  </sheetViews>
  <sheetFormatPr baseColWidth="10" defaultColWidth="12.7109375" defaultRowHeight="12.75" outlineLevelRow="2" x14ac:dyDescent="0.2"/>
  <cols>
    <col min="1" max="1" width="6.5703125" customWidth="1"/>
    <col min="2" max="2" width="45.85546875" style="93" customWidth="1"/>
    <col min="3" max="50" width="17.5703125" customWidth="1"/>
    <col min="51" max="51" width="13" bestFit="1" customWidth="1"/>
    <col min="52" max="52" width="19.140625" bestFit="1" customWidth="1"/>
    <col min="53" max="53" width="13.85546875" bestFit="1" customWidth="1"/>
  </cols>
  <sheetData>
    <row r="1" spans="1:52" ht="10.5" customHeight="1" x14ac:dyDescent="0.2">
      <c r="B1" s="90" t="s">
        <v>271</v>
      </c>
    </row>
    <row r="2" spans="1:52" x14ac:dyDescent="0.2">
      <c r="A2" s="34"/>
      <c r="B2" s="104">
        <v>0.3</v>
      </c>
      <c r="C2" s="3" t="s">
        <v>269</v>
      </c>
      <c r="E2">
        <f>1/3.3859</f>
        <v>0.29534244957027672</v>
      </c>
      <c r="H2" t="s">
        <v>744</v>
      </c>
      <c r="I2" s="3"/>
      <c r="N2" t="s">
        <v>744</v>
      </c>
      <c r="O2" s="3"/>
      <c r="T2" t="s">
        <v>744</v>
      </c>
      <c r="U2" s="3"/>
      <c r="Z2" t="s">
        <v>744</v>
      </c>
      <c r="AA2" s="3"/>
      <c r="AF2" t="s">
        <v>744</v>
      </c>
      <c r="AG2" s="3"/>
      <c r="AL2" t="s">
        <v>744</v>
      </c>
      <c r="AM2" s="3"/>
      <c r="AR2" t="s">
        <v>744</v>
      </c>
      <c r="AS2" s="3"/>
      <c r="AX2" t="s">
        <v>744</v>
      </c>
    </row>
    <row r="3" spans="1:52" x14ac:dyDescent="0.2">
      <c r="B3" s="104">
        <v>0.33</v>
      </c>
      <c r="C3" s="3" t="s">
        <v>270</v>
      </c>
      <c r="E3" s="3">
        <f>1/3.092</f>
        <v>0.32341526520051744</v>
      </c>
      <c r="H3" t="s">
        <v>745</v>
      </c>
      <c r="I3" s="3"/>
      <c r="K3" s="88"/>
      <c r="N3" t="s">
        <v>745</v>
      </c>
      <c r="O3" s="3"/>
      <c r="Q3" s="88"/>
      <c r="T3" t="s">
        <v>745</v>
      </c>
      <c r="U3" s="3"/>
      <c r="W3" s="88"/>
      <c r="Z3" t="s">
        <v>745</v>
      </c>
      <c r="AA3" s="3"/>
      <c r="AC3" s="88"/>
      <c r="AF3" t="s">
        <v>745</v>
      </c>
      <c r="AG3" s="3"/>
      <c r="AI3" s="88"/>
      <c r="AL3" t="s">
        <v>745</v>
      </c>
      <c r="AM3" s="3"/>
      <c r="AO3" s="88"/>
      <c r="AR3" t="s">
        <v>745</v>
      </c>
      <c r="AS3" s="3"/>
      <c r="AU3" s="88"/>
      <c r="AX3" t="s">
        <v>745</v>
      </c>
    </row>
    <row r="4" spans="1:52" x14ac:dyDescent="0.2">
      <c r="B4" s="104"/>
      <c r="C4" s="3" t="s">
        <v>978</v>
      </c>
      <c r="E4" s="3">
        <f>1/3.9203</f>
        <v>0.25508251919495956</v>
      </c>
      <c r="I4" s="3"/>
      <c r="K4" s="88"/>
      <c r="O4" s="3"/>
      <c r="Q4" s="88"/>
      <c r="U4" s="3"/>
      <c r="W4" s="88"/>
      <c r="AA4" s="3"/>
      <c r="AC4" s="88"/>
      <c r="AG4" s="3"/>
      <c r="AI4" s="88"/>
      <c r="AM4" s="3"/>
      <c r="AO4" s="88"/>
      <c r="AS4" s="3"/>
      <c r="AU4" s="88"/>
    </row>
    <row r="5" spans="1:52" ht="5.25" customHeight="1" x14ac:dyDescent="0.2">
      <c r="A5" s="34"/>
      <c r="B5" s="91"/>
    </row>
    <row r="6" spans="1:52" ht="6" customHeight="1" x14ac:dyDescent="0.2"/>
    <row r="7" spans="1:52" x14ac:dyDescent="0.2">
      <c r="B7" s="92" t="s">
        <v>17</v>
      </c>
      <c r="C7" s="197" t="s">
        <v>9</v>
      </c>
      <c r="D7" s="198"/>
    </row>
    <row r="8" spans="1:52" ht="13.5" thickBot="1" x14ac:dyDescent="0.25"/>
    <row r="9" spans="1:52" x14ac:dyDescent="0.2">
      <c r="B9" s="126" t="s">
        <v>36</v>
      </c>
      <c r="C9" s="648" t="s">
        <v>15</v>
      </c>
      <c r="D9" s="649"/>
      <c r="E9" s="649"/>
      <c r="F9" s="649"/>
      <c r="G9" s="649"/>
      <c r="H9" s="650"/>
      <c r="I9" s="648" t="s">
        <v>15</v>
      </c>
      <c r="J9" s="649"/>
      <c r="K9" s="649"/>
      <c r="L9" s="649"/>
      <c r="M9" s="649"/>
      <c r="N9" s="650"/>
      <c r="O9" s="648" t="s">
        <v>15</v>
      </c>
      <c r="P9" s="649"/>
      <c r="Q9" s="649"/>
      <c r="R9" s="649"/>
      <c r="S9" s="649"/>
      <c r="T9" s="650"/>
      <c r="U9" s="648" t="s">
        <v>15</v>
      </c>
      <c r="V9" s="649"/>
      <c r="W9" s="649"/>
      <c r="X9" s="649"/>
      <c r="Y9" s="649"/>
      <c r="Z9" s="650"/>
      <c r="AA9" s="648" t="s">
        <v>15</v>
      </c>
      <c r="AB9" s="649"/>
      <c r="AC9" s="649"/>
      <c r="AD9" s="649"/>
      <c r="AE9" s="649"/>
      <c r="AF9" s="650"/>
      <c r="AG9" s="648" t="s">
        <v>15</v>
      </c>
      <c r="AH9" s="649"/>
      <c r="AI9" s="649"/>
      <c r="AJ9" s="649"/>
      <c r="AK9" s="649"/>
      <c r="AL9" s="650"/>
      <c r="AM9" s="648" t="s">
        <v>15</v>
      </c>
      <c r="AN9" s="649"/>
      <c r="AO9" s="649"/>
      <c r="AP9" s="649"/>
      <c r="AQ9" s="649"/>
      <c r="AR9" s="650"/>
      <c r="AS9" s="648" t="s">
        <v>15</v>
      </c>
      <c r="AT9" s="649"/>
      <c r="AU9" s="649"/>
      <c r="AV9" s="649"/>
      <c r="AW9" s="649"/>
      <c r="AX9" s="650"/>
    </row>
    <row r="10" spans="1:52" x14ac:dyDescent="0.2">
      <c r="B10" s="127" t="s">
        <v>11</v>
      </c>
      <c r="C10" s="639" t="s">
        <v>14</v>
      </c>
      <c r="D10" s="640"/>
      <c r="E10" s="640"/>
      <c r="F10" s="640"/>
      <c r="G10" s="640"/>
      <c r="H10" s="641"/>
      <c r="I10" s="639" t="s">
        <v>14</v>
      </c>
      <c r="J10" s="640"/>
      <c r="K10" s="640"/>
      <c r="L10" s="640"/>
      <c r="M10" s="640"/>
      <c r="N10" s="641"/>
      <c r="O10" s="639" t="s">
        <v>14</v>
      </c>
      <c r="P10" s="640"/>
      <c r="Q10" s="640"/>
      <c r="R10" s="640"/>
      <c r="S10" s="640"/>
      <c r="T10" s="641"/>
      <c r="U10" s="639" t="s">
        <v>14</v>
      </c>
      <c r="V10" s="640"/>
      <c r="W10" s="640"/>
      <c r="X10" s="640"/>
      <c r="Y10" s="640"/>
      <c r="Z10" s="641"/>
      <c r="AA10" s="639" t="s">
        <v>14</v>
      </c>
      <c r="AB10" s="640"/>
      <c r="AC10" s="640"/>
      <c r="AD10" s="640"/>
      <c r="AE10" s="640"/>
      <c r="AF10" s="641"/>
      <c r="AG10" s="639" t="s">
        <v>14</v>
      </c>
      <c r="AH10" s="640"/>
      <c r="AI10" s="640"/>
      <c r="AJ10" s="640"/>
      <c r="AK10" s="640"/>
      <c r="AL10" s="641"/>
      <c r="AM10" s="639" t="s">
        <v>14</v>
      </c>
      <c r="AN10" s="640"/>
      <c r="AO10" s="640"/>
      <c r="AP10" s="640"/>
      <c r="AQ10" s="640"/>
      <c r="AR10" s="641"/>
      <c r="AS10" s="639" t="s">
        <v>14</v>
      </c>
      <c r="AT10" s="640"/>
      <c r="AU10" s="640"/>
      <c r="AV10" s="640"/>
      <c r="AW10" s="640"/>
      <c r="AX10" s="641"/>
    </row>
    <row r="11" spans="1:52" x14ac:dyDescent="0.2">
      <c r="B11" s="128" t="s">
        <v>10</v>
      </c>
      <c r="C11" s="639" t="str">
        <f>VLOOKUP(C12,Mapping!$L$1:$M$904,2,0)</f>
        <v>W21_2024</v>
      </c>
      <c r="D11" s="640"/>
      <c r="E11" s="640"/>
      <c r="F11" s="640"/>
      <c r="G11" s="640"/>
      <c r="H11" s="641"/>
      <c r="I11" s="639" t="str">
        <f>VLOOKUP(I12,Mapping!$L$1:$M$1100,2,0)</f>
        <v>W22_2024</v>
      </c>
      <c r="J11" s="640"/>
      <c r="K11" s="640"/>
      <c r="L11" s="640"/>
      <c r="M11" s="640"/>
      <c r="N11" s="641"/>
      <c r="O11" s="639" t="str">
        <f>VLOOKUP(O12,Mapping!$L$1:$M$1100,2,0)</f>
        <v>W23_2024</v>
      </c>
      <c r="P11" s="640"/>
      <c r="Q11" s="640"/>
      <c r="R11" s="640"/>
      <c r="S11" s="640"/>
      <c r="T11" s="641"/>
      <c r="U11" s="639" t="str">
        <f>VLOOKUP(U12,Mapping!$L$1:$M$1100,2,0)</f>
        <v>W24_2024</v>
      </c>
      <c r="V11" s="640"/>
      <c r="W11" s="640"/>
      <c r="X11" s="640"/>
      <c r="Y11" s="640"/>
      <c r="Z11" s="641"/>
      <c r="AA11" s="639" t="str">
        <f>VLOOKUP(AA12,Mapping!$L$1:$M$1100,2,0)</f>
        <v>W25_2024</v>
      </c>
      <c r="AB11" s="640"/>
      <c r="AC11" s="640"/>
      <c r="AD11" s="640"/>
      <c r="AE11" s="640"/>
      <c r="AF11" s="641"/>
      <c r="AG11" s="639" t="str">
        <f>VLOOKUP(AG12,Mapping!$L$1:$M$1100,2,0)</f>
        <v>W26_2024</v>
      </c>
      <c r="AH11" s="640"/>
      <c r="AI11" s="640"/>
      <c r="AJ11" s="640"/>
      <c r="AK11" s="640"/>
      <c r="AL11" s="641"/>
      <c r="AM11" s="639" t="str">
        <f>VLOOKUP(AM12,Mapping!$L$1:$M$1100,2,0)</f>
        <v>W27_2024</v>
      </c>
      <c r="AN11" s="640"/>
      <c r="AO11" s="640"/>
      <c r="AP11" s="640"/>
      <c r="AQ11" s="640"/>
      <c r="AR11" s="641"/>
      <c r="AS11" s="639" t="str">
        <f>VLOOKUP(AS12,Mapping!$L$1:$M$1100,2,0)</f>
        <v>W28_2024</v>
      </c>
      <c r="AT11" s="640"/>
      <c r="AU11" s="640"/>
      <c r="AV11" s="640"/>
      <c r="AW11" s="640"/>
      <c r="AX11" s="641"/>
    </row>
    <row r="12" spans="1:52" x14ac:dyDescent="0.2">
      <c r="B12" s="129"/>
      <c r="C12" s="651">
        <v>45432</v>
      </c>
      <c r="D12" s="652"/>
      <c r="E12" s="652"/>
      <c r="F12" s="652"/>
      <c r="G12" s="652"/>
      <c r="H12" s="653"/>
      <c r="I12" s="642">
        <f>C13+3</f>
        <v>45439</v>
      </c>
      <c r="J12" s="643"/>
      <c r="K12" s="643"/>
      <c r="L12" s="643"/>
      <c r="M12" s="643"/>
      <c r="N12" s="644"/>
      <c r="O12" s="642">
        <f>I13+3</f>
        <v>45446</v>
      </c>
      <c r="P12" s="643"/>
      <c r="Q12" s="643"/>
      <c r="R12" s="643"/>
      <c r="S12" s="643"/>
      <c r="T12" s="644"/>
      <c r="U12" s="642">
        <f>O13+3</f>
        <v>45453</v>
      </c>
      <c r="V12" s="643"/>
      <c r="W12" s="643"/>
      <c r="X12" s="643"/>
      <c r="Y12" s="643"/>
      <c r="Z12" s="644"/>
      <c r="AA12" s="642">
        <f>U13+3</f>
        <v>45460</v>
      </c>
      <c r="AB12" s="643"/>
      <c r="AC12" s="643"/>
      <c r="AD12" s="643"/>
      <c r="AE12" s="643"/>
      <c r="AF12" s="644"/>
      <c r="AG12" s="642">
        <f>AA13+3</f>
        <v>45467</v>
      </c>
      <c r="AH12" s="643"/>
      <c r="AI12" s="643"/>
      <c r="AJ12" s="643"/>
      <c r="AK12" s="643"/>
      <c r="AL12" s="644"/>
      <c r="AM12" s="642">
        <f>AG13+3</f>
        <v>45474</v>
      </c>
      <c r="AN12" s="643"/>
      <c r="AO12" s="643"/>
      <c r="AP12" s="643"/>
      <c r="AQ12" s="643"/>
      <c r="AR12" s="644"/>
      <c r="AS12" s="642">
        <f>AM13+3</f>
        <v>45481</v>
      </c>
      <c r="AT12" s="643"/>
      <c r="AU12" s="643"/>
      <c r="AV12" s="643"/>
      <c r="AW12" s="643"/>
      <c r="AX12" s="644"/>
      <c r="AZ12" s="308" t="s">
        <v>712</v>
      </c>
    </row>
    <row r="13" spans="1:52" ht="13.5" thickBot="1" x14ac:dyDescent="0.25">
      <c r="B13" s="129"/>
      <c r="C13" s="645">
        <f>C12+4</f>
        <v>45436</v>
      </c>
      <c r="D13" s="646"/>
      <c r="E13" s="646"/>
      <c r="F13" s="646"/>
      <c r="G13" s="646"/>
      <c r="H13" s="647"/>
      <c r="I13" s="645">
        <f>I12+4</f>
        <v>45443</v>
      </c>
      <c r="J13" s="646"/>
      <c r="K13" s="646"/>
      <c r="L13" s="646"/>
      <c r="M13" s="646"/>
      <c r="N13" s="647"/>
      <c r="O13" s="645">
        <f>O12+4</f>
        <v>45450</v>
      </c>
      <c r="P13" s="646"/>
      <c r="Q13" s="646"/>
      <c r="R13" s="646"/>
      <c r="S13" s="646"/>
      <c r="T13" s="647"/>
      <c r="U13" s="645">
        <f>U12+4</f>
        <v>45457</v>
      </c>
      <c r="V13" s="646"/>
      <c r="W13" s="646"/>
      <c r="X13" s="646"/>
      <c r="Y13" s="646"/>
      <c r="Z13" s="647"/>
      <c r="AA13" s="645">
        <f>AA12+4</f>
        <v>45464</v>
      </c>
      <c r="AB13" s="646"/>
      <c r="AC13" s="646"/>
      <c r="AD13" s="646"/>
      <c r="AE13" s="646"/>
      <c r="AF13" s="647"/>
      <c r="AG13" s="645">
        <f>AG12+4</f>
        <v>45471</v>
      </c>
      <c r="AH13" s="646"/>
      <c r="AI13" s="646"/>
      <c r="AJ13" s="646"/>
      <c r="AK13" s="646"/>
      <c r="AL13" s="647"/>
      <c r="AM13" s="645">
        <f>AM12+4</f>
        <v>45478</v>
      </c>
      <c r="AN13" s="646"/>
      <c r="AO13" s="646"/>
      <c r="AP13" s="646"/>
      <c r="AQ13" s="646"/>
      <c r="AR13" s="647"/>
      <c r="AS13" s="645">
        <f>AS12+4</f>
        <v>45485</v>
      </c>
      <c r="AT13" s="646"/>
      <c r="AU13" s="646"/>
      <c r="AV13" s="646"/>
      <c r="AW13" s="646"/>
      <c r="AX13" s="647"/>
    </row>
    <row r="14" spans="1:52" x14ac:dyDescent="0.2">
      <c r="B14" s="349"/>
      <c r="C14" s="105" t="s">
        <v>56</v>
      </c>
      <c r="D14" s="106" t="s">
        <v>58</v>
      </c>
      <c r="E14" s="106" t="s">
        <v>58</v>
      </c>
      <c r="F14" s="106" t="s">
        <v>58</v>
      </c>
      <c r="G14" s="109" t="s">
        <v>59</v>
      </c>
      <c r="H14" s="109" t="s">
        <v>12</v>
      </c>
      <c r="I14" s="105" t="s">
        <v>56</v>
      </c>
      <c r="J14" s="106" t="s">
        <v>58</v>
      </c>
      <c r="K14" s="106" t="s">
        <v>58</v>
      </c>
      <c r="L14" s="106" t="s">
        <v>58</v>
      </c>
      <c r="M14" s="109" t="s">
        <v>59</v>
      </c>
      <c r="N14" s="109" t="s">
        <v>12</v>
      </c>
      <c r="O14" s="105" t="s">
        <v>56</v>
      </c>
      <c r="P14" s="106" t="s">
        <v>58</v>
      </c>
      <c r="Q14" s="106" t="s">
        <v>58</v>
      </c>
      <c r="R14" s="106" t="s">
        <v>58</v>
      </c>
      <c r="S14" s="109" t="s">
        <v>59</v>
      </c>
      <c r="T14" s="109" t="s">
        <v>12</v>
      </c>
      <c r="U14" s="105" t="s">
        <v>56</v>
      </c>
      <c r="V14" s="106" t="s">
        <v>58</v>
      </c>
      <c r="W14" s="106" t="s">
        <v>58</v>
      </c>
      <c r="X14" s="106" t="s">
        <v>58</v>
      </c>
      <c r="Y14" s="109" t="s">
        <v>59</v>
      </c>
      <c r="Z14" s="109" t="s">
        <v>12</v>
      </c>
      <c r="AA14" s="105" t="s">
        <v>56</v>
      </c>
      <c r="AB14" s="106" t="s">
        <v>58</v>
      </c>
      <c r="AC14" s="106" t="s">
        <v>58</v>
      </c>
      <c r="AD14" s="106" t="s">
        <v>58</v>
      </c>
      <c r="AE14" s="109" t="s">
        <v>59</v>
      </c>
      <c r="AF14" s="109" t="s">
        <v>12</v>
      </c>
      <c r="AG14" s="105" t="s">
        <v>56</v>
      </c>
      <c r="AH14" s="106" t="s">
        <v>58</v>
      </c>
      <c r="AI14" s="106" t="s">
        <v>58</v>
      </c>
      <c r="AJ14" s="106" t="s">
        <v>58</v>
      </c>
      <c r="AK14" s="109" t="s">
        <v>59</v>
      </c>
      <c r="AL14" s="109" t="s">
        <v>12</v>
      </c>
      <c r="AM14" s="105" t="s">
        <v>56</v>
      </c>
      <c r="AN14" s="106" t="s">
        <v>58</v>
      </c>
      <c r="AO14" s="106" t="s">
        <v>58</v>
      </c>
      <c r="AP14" s="106" t="s">
        <v>58</v>
      </c>
      <c r="AQ14" s="109" t="s">
        <v>59</v>
      </c>
      <c r="AR14" s="109" t="s">
        <v>12</v>
      </c>
      <c r="AS14" s="105" t="s">
        <v>56</v>
      </c>
      <c r="AT14" s="106" t="s">
        <v>58</v>
      </c>
      <c r="AU14" s="106" t="s">
        <v>58</v>
      </c>
      <c r="AV14" s="106" t="s">
        <v>58</v>
      </c>
      <c r="AW14" s="109" t="s">
        <v>59</v>
      </c>
      <c r="AX14" s="109" t="s">
        <v>12</v>
      </c>
    </row>
    <row r="15" spans="1:52" x14ac:dyDescent="0.2">
      <c r="B15" s="130">
        <f ca="1">NOW()</f>
        <v>45441.402550578707</v>
      </c>
      <c r="C15" s="107" t="s">
        <v>35</v>
      </c>
      <c r="D15" s="108" t="s">
        <v>35</v>
      </c>
      <c r="E15" s="108" t="s">
        <v>1</v>
      </c>
      <c r="F15" s="108" t="s">
        <v>0</v>
      </c>
      <c r="G15" s="110" t="s">
        <v>35</v>
      </c>
      <c r="H15" s="110" t="s">
        <v>12</v>
      </c>
      <c r="I15" s="107" t="s">
        <v>35</v>
      </c>
      <c r="J15" s="108" t="s">
        <v>35</v>
      </c>
      <c r="K15" s="108" t="s">
        <v>1</v>
      </c>
      <c r="L15" s="108" t="s">
        <v>0</v>
      </c>
      <c r="M15" s="110" t="s">
        <v>35</v>
      </c>
      <c r="N15" s="110" t="s">
        <v>12</v>
      </c>
      <c r="O15" s="107" t="s">
        <v>35</v>
      </c>
      <c r="P15" s="108" t="s">
        <v>35</v>
      </c>
      <c r="Q15" s="108" t="s">
        <v>1</v>
      </c>
      <c r="R15" s="108" t="s">
        <v>0</v>
      </c>
      <c r="S15" s="110" t="s">
        <v>35</v>
      </c>
      <c r="T15" s="110" t="s">
        <v>12</v>
      </c>
      <c r="U15" s="107" t="s">
        <v>35</v>
      </c>
      <c r="V15" s="108" t="s">
        <v>35</v>
      </c>
      <c r="W15" s="108" t="s">
        <v>1</v>
      </c>
      <c r="X15" s="108" t="s">
        <v>0</v>
      </c>
      <c r="Y15" s="110" t="s">
        <v>35</v>
      </c>
      <c r="Z15" s="110" t="s">
        <v>12</v>
      </c>
      <c r="AA15" s="107" t="s">
        <v>35</v>
      </c>
      <c r="AB15" s="108" t="s">
        <v>35</v>
      </c>
      <c r="AC15" s="108" t="s">
        <v>1</v>
      </c>
      <c r="AD15" s="108" t="s">
        <v>0</v>
      </c>
      <c r="AE15" s="110" t="s">
        <v>35</v>
      </c>
      <c r="AF15" s="110" t="s">
        <v>12</v>
      </c>
      <c r="AG15" s="107" t="s">
        <v>35</v>
      </c>
      <c r="AH15" s="108" t="s">
        <v>35</v>
      </c>
      <c r="AI15" s="108" t="s">
        <v>1</v>
      </c>
      <c r="AJ15" s="108" t="s">
        <v>0</v>
      </c>
      <c r="AK15" s="110" t="s">
        <v>35</v>
      </c>
      <c r="AL15" s="110" t="s">
        <v>12</v>
      </c>
      <c r="AM15" s="107" t="s">
        <v>35</v>
      </c>
      <c r="AN15" s="108" t="s">
        <v>35</v>
      </c>
      <c r="AO15" s="108" t="s">
        <v>1</v>
      </c>
      <c r="AP15" s="108" t="s">
        <v>0</v>
      </c>
      <c r="AQ15" s="110" t="s">
        <v>35</v>
      </c>
      <c r="AR15" s="110" t="s">
        <v>12</v>
      </c>
      <c r="AS15" s="107" t="s">
        <v>35</v>
      </c>
      <c r="AT15" s="108" t="s">
        <v>35</v>
      </c>
      <c r="AU15" s="108" t="s">
        <v>1</v>
      </c>
      <c r="AV15" s="108" t="s">
        <v>0</v>
      </c>
      <c r="AW15" s="110" t="s">
        <v>35</v>
      </c>
      <c r="AX15" s="110" t="s">
        <v>12</v>
      </c>
    </row>
    <row r="16" spans="1:52" ht="13.5" thickBot="1" x14ac:dyDescent="0.25">
      <c r="B16" s="264" t="s">
        <v>235</v>
      </c>
      <c r="C16" s="79">
        <f>B2</f>
        <v>0.3</v>
      </c>
      <c r="D16" s="80">
        <f>B2</f>
        <v>0.3</v>
      </c>
      <c r="E16" s="80">
        <v>1</v>
      </c>
      <c r="F16" s="80">
        <f>B3</f>
        <v>0.33</v>
      </c>
      <c r="G16" s="66"/>
      <c r="H16" s="66"/>
      <c r="I16" s="79">
        <f>C16</f>
        <v>0.3</v>
      </c>
      <c r="J16" s="80">
        <f>D16</f>
        <v>0.3</v>
      </c>
      <c r="K16" s="80">
        <f>E16</f>
        <v>1</v>
      </c>
      <c r="L16" s="80">
        <f>F16</f>
        <v>0.33</v>
      </c>
      <c r="M16" s="66"/>
      <c r="N16" s="66"/>
      <c r="O16" s="79">
        <f>I16</f>
        <v>0.3</v>
      </c>
      <c r="P16" s="80">
        <f>J16</f>
        <v>0.3</v>
      </c>
      <c r="Q16" s="80">
        <f>K16</f>
        <v>1</v>
      </c>
      <c r="R16" s="80">
        <f>L16</f>
        <v>0.33</v>
      </c>
      <c r="S16" s="66"/>
      <c r="T16" s="66"/>
      <c r="U16" s="79">
        <f>O16</f>
        <v>0.3</v>
      </c>
      <c r="V16" s="80">
        <f>P16</f>
        <v>0.3</v>
      </c>
      <c r="W16" s="80">
        <f>Q16</f>
        <v>1</v>
      </c>
      <c r="X16" s="80">
        <f>R16</f>
        <v>0.33</v>
      </c>
      <c r="Y16" s="66"/>
      <c r="Z16" s="66"/>
      <c r="AA16" s="79">
        <f>U16</f>
        <v>0.3</v>
      </c>
      <c r="AB16" s="80">
        <f>V16</f>
        <v>0.3</v>
      </c>
      <c r="AC16" s="80">
        <f>W16</f>
        <v>1</v>
      </c>
      <c r="AD16" s="80">
        <f>X16</f>
        <v>0.33</v>
      </c>
      <c r="AE16" s="66"/>
      <c r="AF16" s="66"/>
      <c r="AG16" s="79">
        <f>AA16</f>
        <v>0.3</v>
      </c>
      <c r="AH16" s="80">
        <f>AB16</f>
        <v>0.3</v>
      </c>
      <c r="AI16" s="80">
        <f>AC16</f>
        <v>1</v>
      </c>
      <c r="AJ16" s="80">
        <f>AD16</f>
        <v>0.33</v>
      </c>
      <c r="AK16" s="66"/>
      <c r="AL16" s="66"/>
      <c r="AM16" s="79">
        <f>AG16</f>
        <v>0.3</v>
      </c>
      <c r="AN16" s="80">
        <f>AH16</f>
        <v>0.3</v>
      </c>
      <c r="AO16" s="80">
        <f>AI16</f>
        <v>1</v>
      </c>
      <c r="AP16" s="80">
        <f>AJ16</f>
        <v>0.33</v>
      </c>
      <c r="AQ16" s="66"/>
      <c r="AR16" s="66"/>
      <c r="AS16" s="79">
        <f>AM16</f>
        <v>0.3</v>
      </c>
      <c r="AT16" s="80">
        <f>AN16</f>
        <v>0.3</v>
      </c>
      <c r="AU16" s="80">
        <f>AO16</f>
        <v>1</v>
      </c>
      <c r="AV16" s="80">
        <f>AP16</f>
        <v>0.33</v>
      </c>
      <c r="AW16" s="66"/>
      <c r="AX16" s="66"/>
    </row>
    <row r="17" spans="1:52" s="70" customFormat="1" ht="39" thickBot="1" x14ac:dyDescent="0.25">
      <c r="A17" s="180" t="s">
        <v>459</v>
      </c>
      <c r="B17" s="132" t="s">
        <v>711</v>
      </c>
      <c r="C17" s="134">
        <f>SUM(C21:C33)-C34</f>
        <v>602723.44299999997</v>
      </c>
      <c r="D17" s="134">
        <f>SUM(D21:D33)-D34</f>
        <v>-297580.16399999987</v>
      </c>
      <c r="E17" s="135">
        <f>SUM(E21:E33)</f>
        <v>712446.72</v>
      </c>
      <c r="F17" s="135">
        <f>SUM(F21:F33)</f>
        <v>889.75</v>
      </c>
      <c r="G17" s="199">
        <f>C17+D17+E17/C16+F17/F16</f>
        <v>2682661.8911212119</v>
      </c>
      <c r="H17" s="199">
        <f>G17*C16</f>
        <v>804798.5673363636</v>
      </c>
      <c r="I17" s="313">
        <f>SUM(I21:I31)</f>
        <v>2621.4259999997448</v>
      </c>
      <c r="J17" s="313">
        <f>SUM(J21:J31)</f>
        <v>-456592.92154999997</v>
      </c>
      <c r="K17" s="135">
        <f>SUM(K21:K31)</f>
        <v>574014.81000000006</v>
      </c>
      <c r="L17" s="135">
        <f>SUM(L21:L31)</f>
        <v>889.75</v>
      </c>
      <c r="M17" s="199">
        <f>I17+J17+K17/I16+L17/L16</f>
        <v>1462107.4165712122</v>
      </c>
      <c r="N17" s="199">
        <f>M17*I16</f>
        <v>438632.22497136367</v>
      </c>
      <c r="O17" s="133">
        <f>SUM(O21:O31)</f>
        <v>1465.7819999994244</v>
      </c>
      <c r="P17" s="134">
        <f>SUM(P21:P31)</f>
        <v>-211222.94698999988</v>
      </c>
      <c r="Q17" s="135">
        <f>SUM(Q21:Q31)</f>
        <v>430143.32000000007</v>
      </c>
      <c r="R17" s="135">
        <f>SUM(R21:R31)</f>
        <v>889.75</v>
      </c>
      <c r="S17" s="199">
        <f>O17+P17+Q17/O16+R17/R16</f>
        <v>1226750.1137978786</v>
      </c>
      <c r="T17" s="199">
        <f>S17*O16</f>
        <v>368025.03413936356</v>
      </c>
      <c r="U17" s="133">
        <f>SUM(U21:U31)</f>
        <v>2872.6229999994976</v>
      </c>
      <c r="V17" s="134">
        <f>SUM(V21:V31)</f>
        <v>-916120.84971666639</v>
      </c>
      <c r="W17" s="135">
        <f>SUM(W21:W31)</f>
        <v>274287.16000000009</v>
      </c>
      <c r="X17" s="135">
        <f>SUM(X21:X31)</f>
        <v>889.75</v>
      </c>
      <c r="Y17" s="199">
        <f>U17+V17+W17/U16+X17/X16</f>
        <v>3738.5187378788478</v>
      </c>
      <c r="Z17" s="199">
        <f>Y17*U16</f>
        <v>1121.5556213636544</v>
      </c>
      <c r="AA17" s="133">
        <f>SUM(AA21:AA31)</f>
        <v>2386.2266299994008</v>
      </c>
      <c r="AB17" s="134">
        <f>SUM(AB21:AB31)</f>
        <v>-1101323.0867366665</v>
      </c>
      <c r="AC17" s="135">
        <f>SUM(AC21:AC31)</f>
        <v>282628.82000000007</v>
      </c>
      <c r="AD17" s="135">
        <f>SUM(AD21:AD31)</f>
        <v>889.75</v>
      </c>
      <c r="AE17" s="199">
        <f>AA17+AB17+AC17/AA16+AD17/AD16</f>
        <v>-154144.58131878803</v>
      </c>
      <c r="AF17" s="199">
        <f>AE17*AA16</f>
        <v>-46243.374395636405</v>
      </c>
      <c r="AG17" s="133">
        <f>SUM(AG21:AG31)</f>
        <v>4219.1906299993207</v>
      </c>
      <c r="AH17" s="134">
        <f>SUM(AH21:AH31)</f>
        <v>-463197.17073666642</v>
      </c>
      <c r="AI17" s="135">
        <f>SUM(AI21:AI31)</f>
        <v>375938.15000000014</v>
      </c>
      <c r="AJ17" s="135">
        <f>SUM(AJ21:AJ31)</f>
        <v>889.75</v>
      </c>
      <c r="AK17" s="199">
        <f>AG17+AH17+AI17/AG16+AJ17/AJ16</f>
        <v>796845.39868121222</v>
      </c>
      <c r="AL17" s="199">
        <f>AK17*AG16</f>
        <v>239053.61960436366</v>
      </c>
      <c r="AM17" s="133">
        <f>SUM(AM21:AM31)</f>
        <v>1464.8226299993039</v>
      </c>
      <c r="AN17" s="134">
        <f>SUM(AN21:AN31)</f>
        <v>-1218097.2851766662</v>
      </c>
      <c r="AO17" s="135">
        <f>SUM(AO21:AO31)</f>
        <v>704641.88000000012</v>
      </c>
      <c r="AP17" s="135">
        <f>SUM(AP21:AP31)</f>
        <v>889.75</v>
      </c>
      <c r="AQ17" s="199">
        <f>AM17+AN17+AO17/AM16+AP17/AP16</f>
        <v>1134870.0162412124</v>
      </c>
      <c r="AR17" s="199">
        <f>AQ17*AM16</f>
        <v>340461.0048723637</v>
      </c>
      <c r="AS17" s="133">
        <f>SUM(AS21:AS31)</f>
        <v>1961.058629999221</v>
      </c>
      <c r="AT17" s="134">
        <f>SUM(AT21:AT31)</f>
        <v>-766116.47023666615</v>
      </c>
      <c r="AU17" s="135">
        <f>SUM(AU21:AU31)</f>
        <v>554164.40000000014</v>
      </c>
      <c r="AV17" s="135">
        <f>SUM(AV21:AV31)</f>
        <v>889.75</v>
      </c>
      <c r="AW17" s="199">
        <f>AS17+AT17+AU17/AS16+AV17/AV16</f>
        <v>1085755.4671812125</v>
      </c>
      <c r="AX17" s="199">
        <f>AW17*AS16</f>
        <v>325726.64015436376</v>
      </c>
      <c r="AZ17"/>
    </row>
    <row r="18" spans="1:52" ht="13.5" thickBot="1" x14ac:dyDescent="0.25">
      <c r="B18" s="89"/>
      <c r="C18" s="67"/>
      <c r="D18" s="65"/>
      <c r="E18" s="65"/>
      <c r="F18" s="65"/>
      <c r="G18" s="42"/>
      <c r="H18" s="42"/>
      <c r="I18" s="67"/>
      <c r="J18" s="65"/>
      <c r="K18" s="65"/>
      <c r="L18" s="65"/>
      <c r="M18" s="42"/>
      <c r="N18" s="42"/>
      <c r="O18" s="67"/>
      <c r="P18" s="65"/>
      <c r="Q18" s="65"/>
      <c r="R18" s="65"/>
      <c r="S18" s="42"/>
      <c r="T18" s="42"/>
      <c r="U18" s="67"/>
      <c r="V18" s="65"/>
      <c r="W18" s="65"/>
      <c r="X18" s="65"/>
      <c r="Y18" s="42"/>
      <c r="Z18" s="42"/>
      <c r="AA18" s="67"/>
      <c r="AB18" s="65"/>
      <c r="AC18" s="65"/>
      <c r="AD18" s="65"/>
      <c r="AE18" s="42"/>
      <c r="AF18" s="42"/>
      <c r="AG18" s="67"/>
      <c r="AH18" s="65"/>
      <c r="AI18" s="65"/>
      <c r="AJ18" s="65"/>
      <c r="AK18" s="42"/>
      <c r="AL18" s="42"/>
      <c r="AM18" s="67"/>
      <c r="AN18" s="65"/>
      <c r="AO18" s="65"/>
      <c r="AP18" s="65"/>
      <c r="AQ18" s="42"/>
      <c r="AR18" s="42"/>
      <c r="AS18" s="67"/>
      <c r="AT18" s="65"/>
      <c r="AU18" s="65"/>
      <c r="AV18" s="65"/>
      <c r="AW18" s="42"/>
      <c r="AX18" s="42"/>
    </row>
    <row r="19" spans="1:52" ht="13.5" thickBot="1" x14ac:dyDescent="0.25">
      <c r="A19" s="654" t="s">
        <v>468</v>
      </c>
      <c r="B19" s="235" t="s">
        <v>89</v>
      </c>
      <c r="C19" s="68"/>
      <c r="D19" s="69"/>
      <c r="E19" s="69"/>
      <c r="F19" s="69"/>
      <c r="G19" s="40"/>
      <c r="H19" s="40"/>
      <c r="I19" s="64"/>
      <c r="J19" s="37"/>
      <c r="K19" s="37"/>
      <c r="L19" s="37"/>
      <c r="M19" s="40"/>
      <c r="N19" s="40"/>
      <c r="O19" s="64"/>
      <c r="P19" s="37"/>
      <c r="Q19" s="37"/>
      <c r="R19" s="37"/>
      <c r="S19" s="40"/>
      <c r="T19" s="40"/>
      <c r="U19" s="64"/>
      <c r="V19" s="37"/>
      <c r="W19" s="37"/>
      <c r="X19" s="37"/>
      <c r="Y19" s="40"/>
      <c r="Z19" s="40"/>
      <c r="AA19" s="64"/>
      <c r="AB19" s="37"/>
      <c r="AC19" s="37"/>
      <c r="AD19" s="37"/>
      <c r="AE19" s="40"/>
      <c r="AF19" s="40"/>
      <c r="AG19" s="64"/>
      <c r="AH19" s="37"/>
      <c r="AI19" s="37"/>
      <c r="AJ19" s="37"/>
      <c r="AK19" s="40"/>
      <c r="AL19" s="40"/>
      <c r="AM19" s="64"/>
      <c r="AN19" s="37"/>
      <c r="AO19" s="37"/>
      <c r="AP19" s="37"/>
      <c r="AQ19" s="40"/>
      <c r="AR19" s="40"/>
      <c r="AS19" s="64"/>
      <c r="AT19" s="37"/>
      <c r="AU19" s="37"/>
      <c r="AV19" s="37"/>
      <c r="AW19" s="40"/>
      <c r="AX19" s="40"/>
    </row>
    <row r="20" spans="1:52" ht="13.5" thickBot="1" x14ac:dyDescent="0.25">
      <c r="A20" s="655"/>
      <c r="B20" s="235" t="s">
        <v>83</v>
      </c>
      <c r="C20" s="64"/>
      <c r="D20" s="37"/>
      <c r="E20" s="37"/>
      <c r="F20" s="37"/>
      <c r="G20" s="40"/>
      <c r="H20" s="40"/>
      <c r="I20" s="64"/>
      <c r="J20" s="37"/>
      <c r="K20" s="37"/>
      <c r="L20" s="37"/>
      <c r="M20" s="40"/>
      <c r="N20" s="40"/>
      <c r="O20" s="64"/>
      <c r="P20" s="37"/>
      <c r="Q20" s="37"/>
      <c r="R20" s="37"/>
      <c r="S20" s="40"/>
      <c r="T20" s="40"/>
      <c r="U20" s="64"/>
      <c r="V20" s="37"/>
      <c r="W20" s="37"/>
      <c r="X20" s="37"/>
      <c r="Y20" s="40"/>
      <c r="Z20" s="40"/>
      <c r="AA20" s="64"/>
      <c r="AB20" s="37"/>
      <c r="AC20" s="37"/>
      <c r="AD20" s="37"/>
      <c r="AE20" s="40"/>
      <c r="AF20" s="40"/>
      <c r="AG20" s="64"/>
      <c r="AH20" s="37"/>
      <c r="AI20" s="37"/>
      <c r="AJ20" s="37"/>
      <c r="AK20" s="40"/>
      <c r="AL20" s="40"/>
      <c r="AM20" s="64"/>
      <c r="AN20" s="37"/>
      <c r="AO20" s="37"/>
      <c r="AP20" s="37"/>
      <c r="AQ20" s="40"/>
      <c r="AR20" s="40"/>
      <c r="AS20" s="64"/>
      <c r="AT20" s="37"/>
      <c r="AU20" s="37"/>
      <c r="AV20" s="37"/>
      <c r="AW20" s="40"/>
      <c r="AX20" s="40"/>
    </row>
    <row r="21" spans="1:52" x14ac:dyDescent="0.2">
      <c r="A21" s="655"/>
      <c r="B21" s="236" t="s">
        <v>37</v>
      </c>
      <c r="C21" s="72"/>
      <c r="D21" s="73"/>
      <c r="E21" s="73"/>
      <c r="F21" s="73"/>
      <c r="G21" s="41"/>
      <c r="H21" s="41"/>
      <c r="I21" s="111">
        <f>+C172</f>
        <v>2621.4259999997448</v>
      </c>
      <c r="J21" s="112"/>
      <c r="K21" s="112"/>
      <c r="L21" s="112"/>
      <c r="M21" s="41"/>
      <c r="N21" s="41"/>
      <c r="O21" s="111">
        <f>I172</f>
        <v>1465.7819999994244</v>
      </c>
      <c r="P21" s="112"/>
      <c r="Q21" s="112"/>
      <c r="R21" s="112"/>
      <c r="S21" s="41"/>
      <c r="T21" s="41"/>
      <c r="U21" s="111">
        <f>O172</f>
        <v>2872.6229999994976</v>
      </c>
      <c r="V21" s="112"/>
      <c r="W21" s="112"/>
      <c r="X21" s="112"/>
      <c r="Y21" s="41"/>
      <c r="Z21" s="41"/>
      <c r="AA21" s="111">
        <f>U172</f>
        <v>2386.2266299994008</v>
      </c>
      <c r="AB21" s="112"/>
      <c r="AC21" s="112"/>
      <c r="AD21" s="112"/>
      <c r="AE21" s="41"/>
      <c r="AF21" s="41"/>
      <c r="AG21" s="111">
        <f>AA172</f>
        <v>4219.1906299993207</v>
      </c>
      <c r="AH21" s="112"/>
      <c r="AI21" s="112"/>
      <c r="AJ21" s="112"/>
      <c r="AK21" s="41"/>
      <c r="AL21" s="41"/>
      <c r="AM21" s="111">
        <f>AG172</f>
        <v>1464.8226299993039</v>
      </c>
      <c r="AN21" s="112"/>
      <c r="AO21" s="112"/>
      <c r="AP21" s="112"/>
      <c r="AQ21" s="41"/>
      <c r="AR21" s="41"/>
      <c r="AS21" s="111">
        <f>AM172</f>
        <v>1961.058629999221</v>
      </c>
      <c r="AT21" s="112"/>
      <c r="AU21" s="112"/>
      <c r="AV21" s="112"/>
      <c r="AW21" s="41"/>
      <c r="AX21" s="41"/>
    </row>
    <row r="22" spans="1:52" x14ac:dyDescent="0.2">
      <c r="A22" s="655"/>
      <c r="B22" s="181" t="s">
        <v>38</v>
      </c>
      <c r="C22" s="74"/>
      <c r="D22" s="75">
        <v>12925.084000000001</v>
      </c>
      <c r="E22" s="76"/>
      <c r="F22" s="76"/>
      <c r="G22" s="42"/>
      <c r="H22" s="42"/>
      <c r="I22" s="67"/>
      <c r="J22" s="657">
        <f>+D153</f>
        <v>-456592.92154999997</v>
      </c>
      <c r="K22" s="65"/>
      <c r="L22" s="65"/>
      <c r="M22" s="42"/>
      <c r="N22" s="42"/>
      <c r="O22" s="67"/>
      <c r="P22" s="657">
        <f>J153</f>
        <v>-211222.94698999988</v>
      </c>
      <c r="Q22" s="65"/>
      <c r="R22" s="65"/>
      <c r="S22" s="42"/>
      <c r="T22" s="42"/>
      <c r="U22" s="67"/>
      <c r="V22" s="657">
        <f>P153</f>
        <v>-916120.84971666639</v>
      </c>
      <c r="W22" s="65"/>
      <c r="X22" s="65"/>
      <c r="Y22" s="42"/>
      <c r="Z22" s="42"/>
      <c r="AA22" s="67"/>
      <c r="AB22" s="657">
        <f>V153</f>
        <v>-1101323.0867366665</v>
      </c>
      <c r="AC22" s="65"/>
      <c r="AD22" s="65"/>
      <c r="AE22" s="42"/>
      <c r="AF22" s="42"/>
      <c r="AG22" s="67"/>
      <c r="AH22" s="657">
        <f>AB153</f>
        <v>-463197.17073666642</v>
      </c>
      <c r="AI22" s="65"/>
      <c r="AJ22" s="65"/>
      <c r="AK22" s="42"/>
      <c r="AL22" s="42"/>
      <c r="AM22" s="67"/>
      <c r="AN22" s="657">
        <f>AH153</f>
        <v>-1218097.2851766662</v>
      </c>
      <c r="AO22" s="65"/>
      <c r="AP22" s="65"/>
      <c r="AQ22" s="42"/>
      <c r="AR22" s="42"/>
      <c r="AS22" s="67"/>
      <c r="AT22" s="657">
        <f>AN153</f>
        <v>-766116.47023666615</v>
      </c>
      <c r="AU22" s="65"/>
      <c r="AV22" s="65"/>
      <c r="AW22" s="42"/>
      <c r="AX22" s="42"/>
    </row>
    <row r="23" spans="1:52" ht="14.25" x14ac:dyDescent="0.2">
      <c r="A23" s="655"/>
      <c r="B23" s="181" t="s">
        <v>39</v>
      </c>
      <c r="C23" s="81"/>
      <c r="D23" s="75">
        <v>0</v>
      </c>
      <c r="E23" s="131"/>
      <c r="F23" s="131"/>
      <c r="G23" s="43"/>
      <c r="H23" s="43"/>
      <c r="I23" s="87"/>
      <c r="J23" s="658"/>
      <c r="K23" s="120"/>
      <c r="L23" s="120"/>
      <c r="M23" s="43"/>
      <c r="N23" s="43"/>
      <c r="O23" s="87"/>
      <c r="P23" s="658"/>
      <c r="Q23" s="120"/>
      <c r="R23" s="120"/>
      <c r="S23" s="43"/>
      <c r="T23" s="43"/>
      <c r="U23" s="87"/>
      <c r="V23" s="658"/>
      <c r="W23" s="120"/>
      <c r="X23" s="120"/>
      <c r="Y23" s="43"/>
      <c r="Z23" s="43"/>
      <c r="AA23" s="87"/>
      <c r="AB23" s="658"/>
      <c r="AC23" s="120"/>
      <c r="AD23" s="120"/>
      <c r="AE23" s="43"/>
      <c r="AF23" s="43"/>
      <c r="AG23" s="87"/>
      <c r="AH23" s="658"/>
      <c r="AI23" s="120"/>
      <c r="AJ23" s="120"/>
      <c r="AK23" s="43"/>
      <c r="AL23" s="43"/>
      <c r="AM23" s="87"/>
      <c r="AN23" s="658"/>
      <c r="AO23" s="120"/>
      <c r="AP23" s="120"/>
      <c r="AQ23" s="43"/>
      <c r="AR23" s="43"/>
      <c r="AS23" s="87"/>
      <c r="AT23" s="658"/>
      <c r="AU23" s="120"/>
      <c r="AV23" s="120"/>
      <c r="AW23" s="43"/>
      <c r="AX23" s="43"/>
    </row>
    <row r="24" spans="1:52" ht="14.25" x14ac:dyDescent="0.2">
      <c r="A24" s="655"/>
      <c r="B24" s="320" t="s">
        <v>768</v>
      </c>
      <c r="C24" s="81">
        <v>211312.77</v>
      </c>
      <c r="D24" s="75">
        <v>26350.047999999999</v>
      </c>
      <c r="E24" s="131"/>
      <c r="F24" s="131"/>
      <c r="G24" s="43"/>
      <c r="H24" s="43"/>
      <c r="I24" s="87"/>
      <c r="J24" s="658"/>
      <c r="K24" s="120"/>
      <c r="L24" s="120"/>
      <c r="M24" s="43"/>
      <c r="N24" s="43"/>
      <c r="O24" s="87"/>
      <c r="P24" s="658"/>
      <c r="Q24" s="120"/>
      <c r="R24" s="120"/>
      <c r="S24" s="43"/>
      <c r="T24" s="43"/>
      <c r="U24" s="87"/>
      <c r="V24" s="658"/>
      <c r="W24" s="120"/>
      <c r="X24" s="120"/>
      <c r="Y24" s="43"/>
      <c r="Z24" s="43"/>
      <c r="AA24" s="87"/>
      <c r="AB24" s="658"/>
      <c r="AC24" s="120"/>
      <c r="AD24" s="120"/>
      <c r="AE24" s="43"/>
      <c r="AF24" s="43"/>
      <c r="AG24" s="87"/>
      <c r="AH24" s="658"/>
      <c r="AI24" s="120"/>
      <c r="AJ24" s="120"/>
      <c r="AK24" s="43"/>
      <c r="AL24" s="43"/>
      <c r="AM24" s="87"/>
      <c r="AN24" s="658"/>
      <c r="AO24" s="120"/>
      <c r="AP24" s="120"/>
      <c r="AQ24" s="43"/>
      <c r="AR24" s="43"/>
      <c r="AS24" s="87"/>
      <c r="AT24" s="658"/>
      <c r="AU24" s="120"/>
      <c r="AV24" s="120"/>
      <c r="AW24" s="43"/>
      <c r="AX24" s="43"/>
    </row>
    <row r="25" spans="1:52" ht="14.25" x14ac:dyDescent="0.2">
      <c r="A25" s="655"/>
      <c r="B25" s="181" t="s">
        <v>268</v>
      </c>
      <c r="C25" s="81"/>
      <c r="D25" s="75">
        <v>0</v>
      </c>
      <c r="E25" s="131"/>
      <c r="F25" s="131"/>
      <c r="G25" s="43"/>
      <c r="H25" s="43"/>
      <c r="I25" s="87"/>
      <c r="J25" s="658"/>
      <c r="K25" s="120"/>
      <c r="L25" s="120"/>
      <c r="M25" s="43"/>
      <c r="N25" s="43"/>
      <c r="O25" s="87"/>
      <c r="P25" s="658"/>
      <c r="Q25" s="120"/>
      <c r="R25" s="120"/>
      <c r="S25" s="43"/>
      <c r="T25" s="43"/>
      <c r="U25" s="87"/>
      <c r="V25" s="658"/>
      <c r="W25" s="120"/>
      <c r="X25" s="120"/>
      <c r="Y25" s="43"/>
      <c r="Z25" s="43"/>
      <c r="AA25" s="87"/>
      <c r="AB25" s="658"/>
      <c r="AC25" s="120"/>
      <c r="AD25" s="120"/>
      <c r="AE25" s="43"/>
      <c r="AF25" s="43"/>
      <c r="AG25" s="87"/>
      <c r="AH25" s="658"/>
      <c r="AI25" s="120"/>
      <c r="AJ25" s="120"/>
      <c r="AK25" s="43"/>
      <c r="AL25" s="43"/>
      <c r="AM25" s="87"/>
      <c r="AN25" s="658"/>
      <c r="AO25" s="120"/>
      <c r="AP25" s="120"/>
      <c r="AQ25" s="43"/>
      <c r="AR25" s="43"/>
      <c r="AS25" s="87"/>
      <c r="AT25" s="658"/>
      <c r="AU25" s="120"/>
      <c r="AV25" s="120"/>
      <c r="AW25" s="43"/>
      <c r="AX25" s="43"/>
    </row>
    <row r="26" spans="1:52" ht="14.25" x14ac:dyDescent="0.2">
      <c r="A26" s="655"/>
      <c r="B26" s="181" t="s">
        <v>40</v>
      </c>
      <c r="C26" s="81"/>
      <c r="D26" s="131"/>
      <c r="E26" s="131">
        <v>712441.03</v>
      </c>
      <c r="F26" s="131"/>
      <c r="G26" s="43"/>
      <c r="H26" s="43"/>
      <c r="I26" s="87"/>
      <c r="J26" s="171"/>
      <c r="K26" s="120">
        <f>E172</f>
        <v>574014.81000000006</v>
      </c>
      <c r="L26" s="120"/>
      <c r="M26" s="43"/>
      <c r="N26" s="43"/>
      <c r="O26" s="87"/>
      <c r="P26" s="171"/>
      <c r="Q26" s="120">
        <f>K172</f>
        <v>430143.32000000007</v>
      </c>
      <c r="R26" s="120"/>
      <c r="S26" s="43"/>
      <c r="T26" s="43"/>
      <c r="U26" s="87"/>
      <c r="V26" s="171"/>
      <c r="W26" s="120">
        <f>Q172</f>
        <v>274287.16000000009</v>
      </c>
      <c r="X26" s="120"/>
      <c r="Y26" s="43"/>
      <c r="Z26" s="43"/>
      <c r="AA26" s="87"/>
      <c r="AB26" s="171"/>
      <c r="AC26" s="120">
        <f>W172</f>
        <v>282628.82000000007</v>
      </c>
      <c r="AD26" s="120"/>
      <c r="AE26" s="43"/>
      <c r="AF26" s="43"/>
      <c r="AG26" s="87"/>
      <c r="AH26" s="171"/>
      <c r="AI26" s="120">
        <f>AC172</f>
        <v>375938.15000000014</v>
      </c>
      <c r="AJ26" s="120"/>
      <c r="AK26" s="43"/>
      <c r="AL26" s="43"/>
      <c r="AM26" s="87"/>
      <c r="AN26" s="171"/>
      <c r="AO26" s="120">
        <f>AI172</f>
        <v>704641.88000000012</v>
      </c>
      <c r="AP26" s="120"/>
      <c r="AQ26" s="43"/>
      <c r="AR26" s="43"/>
      <c r="AS26" s="87"/>
      <c r="AT26" s="171"/>
      <c r="AU26" s="120">
        <f>AO172</f>
        <v>554164.40000000014</v>
      </c>
      <c r="AV26" s="120"/>
      <c r="AW26" s="43"/>
      <c r="AX26" s="43"/>
    </row>
    <row r="27" spans="1:52" ht="14.25" x14ac:dyDescent="0.2">
      <c r="A27" s="655"/>
      <c r="B27" s="237" t="s">
        <v>41</v>
      </c>
      <c r="C27" s="82"/>
      <c r="D27" s="83"/>
      <c r="E27" s="83"/>
      <c r="F27" s="83">
        <v>889.75</v>
      </c>
      <c r="G27" s="44"/>
      <c r="H27" s="44"/>
      <c r="I27" s="114"/>
      <c r="J27" s="172"/>
      <c r="K27" s="115"/>
      <c r="L27" s="115">
        <f>F172</f>
        <v>889.75</v>
      </c>
      <c r="M27" s="44"/>
      <c r="N27" s="44"/>
      <c r="O27" s="114"/>
      <c r="P27" s="172"/>
      <c r="Q27" s="115"/>
      <c r="R27" s="115">
        <f>L172</f>
        <v>889.75</v>
      </c>
      <c r="S27" s="44"/>
      <c r="T27" s="44"/>
      <c r="U27" s="114"/>
      <c r="V27" s="172"/>
      <c r="W27" s="115"/>
      <c r="X27" s="115">
        <f>R172</f>
        <v>889.75</v>
      </c>
      <c r="Y27" s="44"/>
      <c r="Z27" s="44"/>
      <c r="AA27" s="114"/>
      <c r="AB27" s="172"/>
      <c r="AC27" s="115"/>
      <c r="AD27" s="115">
        <f>X172</f>
        <v>889.75</v>
      </c>
      <c r="AE27" s="44"/>
      <c r="AF27" s="44"/>
      <c r="AG27" s="114"/>
      <c r="AH27" s="172"/>
      <c r="AI27" s="115"/>
      <c r="AJ27" s="115">
        <f>AD172</f>
        <v>889.75</v>
      </c>
      <c r="AK27" s="44"/>
      <c r="AL27" s="44"/>
      <c r="AM27" s="114"/>
      <c r="AN27" s="172"/>
      <c r="AO27" s="115"/>
      <c r="AP27" s="115">
        <f>AJ172</f>
        <v>889.75</v>
      </c>
      <c r="AQ27" s="44"/>
      <c r="AR27" s="44"/>
      <c r="AS27" s="114"/>
      <c r="AT27" s="172"/>
      <c r="AU27" s="115"/>
      <c r="AV27" s="115">
        <f>AP172</f>
        <v>889.75</v>
      </c>
      <c r="AW27" s="44"/>
      <c r="AX27" s="44"/>
    </row>
    <row r="28" spans="1:52" ht="14.25" x14ac:dyDescent="0.2">
      <c r="A28" s="655"/>
      <c r="B28" s="238" t="s">
        <v>267</v>
      </c>
      <c r="C28" s="84"/>
      <c r="D28" s="85"/>
      <c r="E28" s="85"/>
      <c r="F28" s="85"/>
      <c r="G28" s="71"/>
      <c r="H28" s="71"/>
      <c r="I28" s="116"/>
      <c r="J28" s="117"/>
      <c r="K28" s="117"/>
      <c r="L28" s="117"/>
      <c r="M28" s="71"/>
      <c r="N28" s="71"/>
      <c r="O28" s="116"/>
      <c r="P28" s="117"/>
      <c r="Q28" s="117"/>
      <c r="R28" s="117"/>
      <c r="S28" s="71"/>
      <c r="T28" s="71"/>
      <c r="U28" s="116"/>
      <c r="V28" s="117"/>
      <c r="W28" s="117"/>
      <c r="X28" s="117"/>
      <c r="Y28" s="71"/>
      <c r="Z28" s="71"/>
      <c r="AA28" s="116"/>
      <c r="AB28" s="117"/>
      <c r="AC28" s="117"/>
      <c r="AD28" s="117"/>
      <c r="AE28" s="71"/>
      <c r="AF28" s="71"/>
      <c r="AG28" s="116"/>
      <c r="AH28" s="117"/>
      <c r="AI28" s="117"/>
      <c r="AJ28" s="117"/>
      <c r="AK28" s="71"/>
      <c r="AL28" s="71"/>
      <c r="AM28" s="116"/>
      <c r="AN28" s="117"/>
      <c r="AO28" s="117"/>
      <c r="AP28" s="117"/>
      <c r="AQ28" s="71"/>
      <c r="AR28" s="71"/>
      <c r="AS28" s="116"/>
      <c r="AT28" s="117"/>
      <c r="AU28" s="117"/>
      <c r="AV28" s="117"/>
      <c r="AW28" s="71"/>
      <c r="AX28" s="71"/>
    </row>
    <row r="29" spans="1:52" ht="14.25" x14ac:dyDescent="0.2">
      <c r="A29" s="655"/>
      <c r="B29" s="181" t="s">
        <v>42</v>
      </c>
      <c r="C29" s="81"/>
      <c r="D29" s="75">
        <v>7497.5640000000003</v>
      </c>
      <c r="E29" s="131"/>
      <c r="F29" s="131"/>
      <c r="G29" s="43"/>
      <c r="H29" s="43"/>
      <c r="I29" s="87"/>
      <c r="J29" s="113"/>
      <c r="K29" s="120"/>
      <c r="L29" s="120"/>
      <c r="M29" s="43"/>
      <c r="N29" s="43"/>
      <c r="O29" s="87"/>
      <c r="P29" s="113"/>
      <c r="Q29" s="120"/>
      <c r="R29" s="120"/>
      <c r="S29" s="43"/>
      <c r="T29" s="43"/>
      <c r="U29" s="87"/>
      <c r="V29" s="113"/>
      <c r="W29" s="120"/>
      <c r="X29" s="120"/>
      <c r="Y29" s="43"/>
      <c r="Z29" s="43"/>
      <c r="AA29" s="87"/>
      <c r="AB29" s="113"/>
      <c r="AC29" s="120"/>
      <c r="AD29" s="120"/>
      <c r="AE29" s="43"/>
      <c r="AF29" s="43"/>
      <c r="AG29" s="87"/>
      <c r="AH29" s="113"/>
      <c r="AI29" s="120"/>
      <c r="AJ29" s="120"/>
      <c r="AK29" s="43"/>
      <c r="AL29" s="43"/>
      <c r="AM29" s="87"/>
      <c r="AN29" s="113"/>
      <c r="AO29" s="120"/>
      <c r="AP29" s="120"/>
      <c r="AQ29" s="43"/>
      <c r="AR29" s="43"/>
      <c r="AS29" s="87"/>
      <c r="AT29" s="113"/>
      <c r="AU29" s="120"/>
      <c r="AV29" s="120"/>
      <c r="AW29" s="43"/>
      <c r="AX29" s="43"/>
    </row>
    <row r="30" spans="1:52" ht="14.25" x14ac:dyDescent="0.2">
      <c r="A30" s="655"/>
      <c r="B30" s="181" t="s">
        <v>43</v>
      </c>
      <c r="C30" s="81"/>
      <c r="D30" s="75">
        <v>2637.2080000000001</v>
      </c>
      <c r="E30" s="131"/>
      <c r="F30" s="131"/>
      <c r="G30" s="43"/>
      <c r="H30" s="43"/>
      <c r="I30" s="87"/>
      <c r="J30" s="113"/>
      <c r="K30" s="120"/>
      <c r="L30" s="120"/>
      <c r="M30" s="43"/>
      <c r="N30" s="43"/>
      <c r="O30" s="87"/>
      <c r="P30" s="113"/>
      <c r="Q30" s="120"/>
      <c r="R30" s="120"/>
      <c r="S30" s="43"/>
      <c r="T30" s="43"/>
      <c r="U30" s="87"/>
      <c r="V30" s="113"/>
      <c r="W30" s="120"/>
      <c r="X30" s="120"/>
      <c r="Y30" s="43"/>
      <c r="Z30" s="43"/>
      <c r="AA30" s="87"/>
      <c r="AB30" s="113"/>
      <c r="AC30" s="120"/>
      <c r="AD30" s="120"/>
      <c r="AE30" s="43"/>
      <c r="AF30" s="43"/>
      <c r="AG30" s="87"/>
      <c r="AH30" s="113"/>
      <c r="AI30" s="120"/>
      <c r="AJ30" s="120"/>
      <c r="AK30" s="43"/>
      <c r="AL30" s="43"/>
      <c r="AM30" s="87"/>
      <c r="AN30" s="113"/>
      <c r="AO30" s="120"/>
      <c r="AP30" s="120"/>
      <c r="AQ30" s="43"/>
      <c r="AR30" s="43"/>
      <c r="AS30" s="87"/>
      <c r="AT30" s="113"/>
      <c r="AU30" s="120"/>
      <c r="AV30" s="120"/>
      <c r="AW30" s="43"/>
      <c r="AX30" s="43"/>
    </row>
    <row r="31" spans="1:52" ht="14.25" x14ac:dyDescent="0.2">
      <c r="A31" s="655"/>
      <c r="B31" s="237" t="s">
        <v>44</v>
      </c>
      <c r="C31" s="82"/>
      <c r="D31" s="86"/>
      <c r="E31" s="83">
        <v>5.69</v>
      </c>
      <c r="F31" s="83"/>
      <c r="G31" s="44"/>
      <c r="H31" s="44"/>
      <c r="I31" s="114"/>
      <c r="J31" s="118"/>
      <c r="K31" s="115"/>
      <c r="L31" s="115"/>
      <c r="M31" s="44"/>
      <c r="N31" s="44"/>
      <c r="O31" s="114"/>
      <c r="P31" s="118"/>
      <c r="Q31" s="115"/>
      <c r="R31" s="115"/>
      <c r="S31" s="44"/>
      <c r="T31" s="44"/>
      <c r="U31" s="114"/>
      <c r="V31" s="118"/>
      <c r="W31" s="115"/>
      <c r="X31" s="115"/>
      <c r="Y31" s="44"/>
      <c r="Z31" s="44"/>
      <c r="AA31" s="114"/>
      <c r="AB31" s="118"/>
      <c r="AC31" s="115"/>
      <c r="AD31" s="115"/>
      <c r="AE31" s="44"/>
      <c r="AF31" s="44"/>
      <c r="AG31" s="114"/>
      <c r="AH31" s="118"/>
      <c r="AI31" s="115"/>
      <c r="AJ31" s="115"/>
      <c r="AK31" s="44"/>
      <c r="AL31" s="44"/>
      <c r="AM31" s="114"/>
      <c r="AN31" s="118"/>
      <c r="AO31" s="115"/>
      <c r="AP31" s="115"/>
      <c r="AQ31" s="44"/>
      <c r="AR31" s="44"/>
      <c r="AS31" s="114"/>
      <c r="AT31" s="118"/>
      <c r="AU31" s="115"/>
      <c r="AV31" s="115"/>
      <c r="AW31" s="44"/>
      <c r="AX31" s="44"/>
    </row>
    <row r="32" spans="1:52" ht="14.25" x14ac:dyDescent="0.2">
      <c r="A32" s="655"/>
      <c r="B32" s="181"/>
      <c r="C32" s="181"/>
      <c r="D32" s="120"/>
      <c r="E32" s="120"/>
      <c r="F32" s="120"/>
      <c r="G32" s="43"/>
      <c r="H32" s="43"/>
      <c r="I32" s="87"/>
      <c r="J32" s="120"/>
      <c r="K32" s="120"/>
      <c r="L32" s="120"/>
      <c r="M32" s="43"/>
      <c r="N32" s="43"/>
      <c r="O32" s="87"/>
      <c r="P32" s="120"/>
      <c r="Q32" s="120"/>
      <c r="R32" s="120"/>
      <c r="S32" s="43"/>
      <c r="T32" s="43"/>
      <c r="U32" s="87"/>
      <c r="V32" s="120"/>
      <c r="W32" s="120"/>
      <c r="X32" s="120"/>
      <c r="Y32" s="43"/>
      <c r="Z32" s="43"/>
      <c r="AA32" s="87"/>
      <c r="AB32" s="120"/>
      <c r="AC32" s="120"/>
      <c r="AD32" s="120"/>
      <c r="AE32" s="43"/>
      <c r="AF32" s="43"/>
      <c r="AG32" s="87"/>
      <c r="AH32" s="120"/>
      <c r="AI32" s="120"/>
      <c r="AJ32" s="120"/>
      <c r="AK32" s="43"/>
      <c r="AL32" s="43"/>
      <c r="AM32" s="87"/>
      <c r="AN32" s="120"/>
      <c r="AO32" s="120"/>
      <c r="AP32" s="120"/>
      <c r="AQ32" s="43"/>
      <c r="AR32" s="43"/>
      <c r="AS32" s="87"/>
      <c r="AT32" s="120"/>
      <c r="AU32" s="120"/>
      <c r="AV32" s="120"/>
      <c r="AW32" s="43"/>
      <c r="AX32" s="43"/>
    </row>
    <row r="33" spans="1:52" ht="14.25" x14ac:dyDescent="0.2">
      <c r="A33" s="656"/>
      <c r="B33" s="182" t="s">
        <v>241</v>
      </c>
      <c r="C33" s="77">
        <v>-608589.32700000005</v>
      </c>
      <c r="D33" s="78">
        <v>-3346990.068</v>
      </c>
      <c r="E33" s="78">
        <v>0</v>
      </c>
      <c r="F33" s="78">
        <v>0</v>
      </c>
      <c r="G33" s="43"/>
      <c r="H33" s="43"/>
      <c r="I33" s="312">
        <f>+C148</f>
        <v>-1208691.3440000003</v>
      </c>
      <c r="J33" s="252">
        <f>+D148</f>
        <v>-3506002.8255500002</v>
      </c>
      <c r="K33" s="254">
        <f>E148</f>
        <v>0</v>
      </c>
      <c r="L33" s="253">
        <f>F148</f>
        <v>0</v>
      </c>
      <c r="M33" s="43"/>
      <c r="N33" s="43"/>
      <c r="O33" s="119">
        <f>I148</f>
        <v>-1209846.9880000006</v>
      </c>
      <c r="P33" s="252">
        <f>J148</f>
        <v>-3260632.8509900002</v>
      </c>
      <c r="Q33" s="254">
        <f>K148</f>
        <v>0</v>
      </c>
      <c r="R33" s="253">
        <f>L148</f>
        <v>0</v>
      </c>
      <c r="S33" s="43"/>
      <c r="T33" s="43"/>
      <c r="U33" s="119">
        <f>O148</f>
        <v>-1208440.1470000006</v>
      </c>
      <c r="V33" s="252">
        <f>P148</f>
        <v>-3965530.7537166667</v>
      </c>
      <c r="W33" s="254">
        <f>Q148</f>
        <v>0</v>
      </c>
      <c r="X33" s="253">
        <f>R148</f>
        <v>0</v>
      </c>
      <c r="Y33" s="43"/>
      <c r="Z33" s="43"/>
      <c r="AA33" s="119">
        <f>U148</f>
        <v>-1208926.5433700008</v>
      </c>
      <c r="AB33" s="252">
        <f>V148</f>
        <v>-4150732.9907366666</v>
      </c>
      <c r="AC33" s="254">
        <f>W148</f>
        <v>0</v>
      </c>
      <c r="AD33" s="253">
        <f>X148</f>
        <v>0</v>
      </c>
      <c r="AE33" s="43"/>
      <c r="AF33" s="43"/>
      <c r="AG33" s="119">
        <f>AA148</f>
        <v>-1207093.5793700009</v>
      </c>
      <c r="AH33" s="252">
        <f>AB148</f>
        <v>-3512607.0747366664</v>
      </c>
      <c r="AI33" s="254">
        <f>AC148</f>
        <v>0</v>
      </c>
      <c r="AJ33" s="253">
        <f>AD148</f>
        <v>0</v>
      </c>
      <c r="AK33" s="43"/>
      <c r="AL33" s="43"/>
      <c r="AM33" s="119">
        <f>AG148</f>
        <v>-1209847.9473700009</v>
      </c>
      <c r="AN33" s="252">
        <f>AH148</f>
        <v>-4267507.1891766666</v>
      </c>
      <c r="AO33" s="254">
        <f>AI148</f>
        <v>0</v>
      </c>
      <c r="AP33" s="253">
        <f>AJ148</f>
        <v>0</v>
      </c>
      <c r="AQ33" s="43"/>
      <c r="AR33" s="43"/>
      <c r="AS33" s="119">
        <f>AM148</f>
        <v>-1209351.7113700011</v>
      </c>
      <c r="AT33" s="252">
        <f>AN148</f>
        <v>-3815526.3742366666</v>
      </c>
      <c r="AU33" s="254">
        <f>AO148</f>
        <v>0</v>
      </c>
      <c r="AV33" s="253">
        <f>AP148</f>
        <v>0</v>
      </c>
      <c r="AW33" s="43"/>
      <c r="AX33" s="43"/>
    </row>
    <row r="34" spans="1:52" ht="14.25" x14ac:dyDescent="0.2">
      <c r="B34" s="173" t="s">
        <v>434</v>
      </c>
      <c r="C34" s="174">
        <v>-1000000</v>
      </c>
      <c r="D34" s="175">
        <v>-3000000</v>
      </c>
      <c r="E34" s="25"/>
      <c r="F34" s="25"/>
      <c r="G34" s="43"/>
      <c r="H34" s="43"/>
      <c r="I34" s="174">
        <v>-1000000</v>
      </c>
      <c r="J34" s="175">
        <v>-3000000</v>
      </c>
      <c r="K34" s="65"/>
      <c r="L34" s="65"/>
      <c r="M34" s="43"/>
      <c r="N34" s="43"/>
      <c r="O34" s="174">
        <v>-1000000</v>
      </c>
      <c r="P34" s="175">
        <v>-3000000</v>
      </c>
      <c r="Q34" s="65"/>
      <c r="R34" s="65"/>
      <c r="S34" s="43"/>
      <c r="T34" s="43"/>
      <c r="U34" s="174">
        <v>-1000000</v>
      </c>
      <c r="V34" s="175">
        <v>-3000000</v>
      </c>
      <c r="W34" s="65"/>
      <c r="X34" s="65"/>
      <c r="Y34" s="43"/>
      <c r="Z34" s="43"/>
      <c r="AA34" s="174">
        <v>-1000000</v>
      </c>
      <c r="AB34" s="175">
        <v>-3000000</v>
      </c>
      <c r="AC34" s="65"/>
      <c r="AD34" s="65"/>
      <c r="AE34" s="43"/>
      <c r="AF34" s="43"/>
      <c r="AG34" s="174">
        <v>-1000000</v>
      </c>
      <c r="AH34" s="175">
        <v>-3000000</v>
      </c>
      <c r="AI34" s="65"/>
      <c r="AJ34" s="65"/>
      <c r="AK34" s="43"/>
      <c r="AL34" s="43"/>
      <c r="AM34" s="174">
        <v>-1000000</v>
      </c>
      <c r="AN34" s="175">
        <v>-3000000</v>
      </c>
      <c r="AO34" s="65"/>
      <c r="AP34" s="65"/>
      <c r="AQ34" s="43"/>
      <c r="AR34" s="43"/>
      <c r="AS34" s="174">
        <v>-1000000</v>
      </c>
      <c r="AT34" s="175">
        <v>-3000000</v>
      </c>
      <c r="AU34" s="65"/>
      <c r="AV34" s="65"/>
      <c r="AW34" s="43"/>
      <c r="AX34" s="43"/>
    </row>
    <row r="35" spans="1:52" ht="13.5" thickBot="1" x14ac:dyDescent="0.25">
      <c r="B35" s="94"/>
      <c r="C35" s="45"/>
      <c r="D35" s="25"/>
      <c r="E35" s="25"/>
      <c r="F35" s="25"/>
      <c r="G35" s="45"/>
      <c r="H35" s="45"/>
      <c r="I35" s="45"/>
      <c r="J35" s="25"/>
      <c r="K35" s="25"/>
      <c r="L35" s="25"/>
      <c r="M35" s="45"/>
      <c r="N35" s="45"/>
      <c r="O35" s="45"/>
      <c r="P35" s="25"/>
      <c r="Q35" s="25"/>
      <c r="R35" s="25"/>
      <c r="S35" s="45"/>
      <c r="T35" s="45"/>
      <c r="U35" s="45"/>
      <c r="V35" s="25"/>
      <c r="W35" s="25"/>
      <c r="X35" s="25"/>
      <c r="Y35" s="45"/>
      <c r="Z35" s="45"/>
      <c r="AA35" s="45"/>
      <c r="AB35" s="25"/>
      <c r="AC35" s="25"/>
      <c r="AD35" s="25"/>
      <c r="AE35" s="45"/>
      <c r="AF35" s="45"/>
      <c r="AG35" s="45"/>
      <c r="AH35" s="25"/>
      <c r="AI35" s="25"/>
      <c r="AJ35" s="25"/>
      <c r="AK35" s="45"/>
      <c r="AL35" s="45"/>
      <c r="AM35" s="45"/>
      <c r="AN35" s="25"/>
      <c r="AO35" s="25"/>
      <c r="AP35" s="25"/>
      <c r="AQ35" s="45"/>
      <c r="AR35" s="45"/>
      <c r="AS35" s="45"/>
      <c r="AT35" s="25"/>
      <c r="AU35" s="25"/>
      <c r="AV35" s="25"/>
      <c r="AW35" s="45"/>
      <c r="AX35" s="45"/>
    </row>
    <row r="36" spans="1:52" ht="13.5" thickBot="1" x14ac:dyDescent="0.25">
      <c r="B36" s="95" t="s">
        <v>45</v>
      </c>
      <c r="C36" s="46"/>
      <c r="D36" s="26"/>
      <c r="E36" s="26"/>
      <c r="F36" s="26"/>
      <c r="G36" s="46"/>
      <c r="H36" s="46"/>
      <c r="I36" s="46"/>
      <c r="J36" s="26"/>
      <c r="K36" s="26"/>
      <c r="L36" s="26"/>
      <c r="M36" s="46"/>
      <c r="N36" s="46"/>
      <c r="O36" s="46"/>
      <c r="P36" s="26"/>
      <c r="Q36" s="26"/>
      <c r="R36" s="26"/>
      <c r="S36" s="46"/>
      <c r="T36" s="46"/>
      <c r="U36" s="46"/>
      <c r="V36" s="26"/>
      <c r="W36" s="26"/>
      <c r="X36" s="26"/>
      <c r="Y36" s="46"/>
      <c r="Z36" s="46"/>
      <c r="AA36" s="46"/>
      <c r="AB36" s="26"/>
      <c r="AC36" s="26"/>
      <c r="AD36" s="26"/>
      <c r="AE36" s="46"/>
      <c r="AF36" s="46"/>
      <c r="AG36" s="46"/>
      <c r="AH36" s="26"/>
      <c r="AI36" s="26"/>
      <c r="AJ36" s="26"/>
      <c r="AK36" s="46"/>
      <c r="AL36" s="46"/>
      <c r="AM36" s="46"/>
      <c r="AN36" s="26"/>
      <c r="AO36" s="26"/>
      <c r="AP36" s="26"/>
      <c r="AQ36" s="46"/>
      <c r="AR36" s="46"/>
      <c r="AS36" s="46"/>
      <c r="AT36" s="26"/>
      <c r="AU36" s="26"/>
      <c r="AV36" s="26"/>
      <c r="AW36" s="46"/>
      <c r="AX36" s="46"/>
    </row>
    <row r="37" spans="1:52" x14ac:dyDescent="0.2">
      <c r="B37" s="95" t="s">
        <v>46</v>
      </c>
      <c r="C37" s="47"/>
      <c r="D37" s="27"/>
      <c r="E37" s="27"/>
      <c r="F37" s="27"/>
      <c r="G37" s="47"/>
      <c r="H37" s="47"/>
      <c r="I37" s="47"/>
      <c r="J37" s="27"/>
      <c r="K37" s="27"/>
      <c r="L37" s="27"/>
      <c r="M37" s="47"/>
      <c r="N37" s="47"/>
      <c r="O37" s="47"/>
      <c r="P37" s="27"/>
      <c r="Q37" s="27"/>
      <c r="R37" s="27"/>
      <c r="S37" s="47"/>
      <c r="T37" s="47"/>
      <c r="U37" s="47"/>
      <c r="V37" s="27"/>
      <c r="W37" s="27"/>
      <c r="X37" s="27"/>
      <c r="Y37" s="47"/>
      <c r="Z37" s="47"/>
      <c r="AA37" s="47"/>
      <c r="AB37" s="27"/>
      <c r="AC37" s="27"/>
      <c r="AD37" s="27"/>
      <c r="AE37" s="47"/>
      <c r="AF37" s="47"/>
      <c r="AG37" s="47"/>
      <c r="AH37" s="27"/>
      <c r="AI37" s="27"/>
      <c r="AJ37" s="27"/>
      <c r="AK37" s="47"/>
      <c r="AL37" s="47"/>
      <c r="AM37" s="47"/>
      <c r="AN37" s="27"/>
      <c r="AO37" s="27"/>
      <c r="AP37" s="27"/>
      <c r="AQ37" s="47"/>
      <c r="AR37" s="47"/>
      <c r="AS37" s="47"/>
      <c r="AT37" s="27"/>
      <c r="AU37" s="27"/>
      <c r="AV37" s="27"/>
      <c r="AW37" s="47"/>
      <c r="AX37" s="47"/>
    </row>
    <row r="38" spans="1:52" x14ac:dyDescent="0.2">
      <c r="A38" s="654" t="s">
        <v>460</v>
      </c>
      <c r="B38" s="181"/>
      <c r="C38" s="45"/>
      <c r="D38" s="25"/>
      <c r="E38" s="25"/>
      <c r="F38" s="25"/>
      <c r="G38" s="45"/>
      <c r="H38" s="45"/>
      <c r="I38" s="45"/>
      <c r="J38" s="25"/>
      <c r="K38" s="25"/>
      <c r="L38" s="25"/>
      <c r="M38" s="45"/>
      <c r="N38" s="45"/>
      <c r="O38" s="45"/>
      <c r="P38" s="25"/>
      <c r="Q38" s="25"/>
      <c r="R38" s="25"/>
      <c r="S38" s="45"/>
      <c r="T38" s="45"/>
      <c r="U38" s="45"/>
      <c r="V38" s="25"/>
      <c r="W38" s="25"/>
      <c r="X38" s="25"/>
      <c r="Y38" s="45"/>
      <c r="Z38" s="45"/>
      <c r="AA38" s="45"/>
      <c r="AB38" s="25"/>
      <c r="AC38" s="25"/>
      <c r="AD38" s="25"/>
      <c r="AE38" s="45"/>
      <c r="AF38" s="45"/>
      <c r="AG38" s="45"/>
      <c r="AH38" s="25"/>
      <c r="AI38" s="25"/>
      <c r="AJ38" s="25"/>
      <c r="AK38" s="45"/>
      <c r="AL38" s="45"/>
      <c r="AM38" s="45"/>
      <c r="AN38" s="25"/>
      <c r="AO38" s="25"/>
      <c r="AP38" s="25"/>
      <c r="AQ38" s="45"/>
      <c r="AR38" s="45"/>
      <c r="AS38" s="45"/>
      <c r="AT38" s="25"/>
      <c r="AU38" s="25"/>
      <c r="AV38" s="25"/>
      <c r="AW38" s="45"/>
      <c r="AX38" s="45"/>
    </row>
    <row r="39" spans="1:52" s="3" customFormat="1" x14ac:dyDescent="0.2">
      <c r="A39" s="655"/>
      <c r="B39" s="182" t="s">
        <v>62</v>
      </c>
      <c r="C39" s="54">
        <f>SUM(C40:C43)</f>
        <v>87434.753999999986</v>
      </c>
      <c r="D39" s="31">
        <f t="shared" ref="D39:F39" si="0">SUM(D40:D43)</f>
        <v>0</v>
      </c>
      <c r="E39" s="31">
        <f t="shared" si="0"/>
        <v>0</v>
      </c>
      <c r="F39" s="31">
        <f t="shared" si="0"/>
        <v>0</v>
      </c>
      <c r="G39" s="54">
        <f t="shared" ref="G39:H39" si="1">SUM(G40:G43)</f>
        <v>87434.753999999986</v>
      </c>
      <c r="H39" s="54">
        <f t="shared" si="1"/>
        <v>26230.426199999994</v>
      </c>
      <c r="I39" s="54">
        <f>SUM(I40:I43)</f>
        <v>0</v>
      </c>
      <c r="J39" s="31">
        <f t="shared" ref="J39:N39" si="2">SUM(J40:J43)</f>
        <v>0</v>
      </c>
      <c r="K39" s="31">
        <f t="shared" si="2"/>
        <v>0</v>
      </c>
      <c r="L39" s="31">
        <f t="shared" si="2"/>
        <v>0</v>
      </c>
      <c r="M39" s="54">
        <f t="shared" si="2"/>
        <v>0</v>
      </c>
      <c r="N39" s="54">
        <f t="shared" si="2"/>
        <v>0</v>
      </c>
      <c r="O39" s="54">
        <f>SUM(O40:O43)</f>
        <v>0</v>
      </c>
      <c r="P39" s="31">
        <f t="shared" ref="P39:T39" si="3">SUM(P40:P43)</f>
        <v>0</v>
      </c>
      <c r="Q39" s="31">
        <f t="shared" si="3"/>
        <v>0</v>
      </c>
      <c r="R39" s="31">
        <f t="shared" si="3"/>
        <v>0</v>
      </c>
      <c r="S39" s="54">
        <f t="shared" si="3"/>
        <v>0</v>
      </c>
      <c r="T39" s="54">
        <f t="shared" si="3"/>
        <v>0</v>
      </c>
      <c r="U39" s="54">
        <f>SUM(U40:U43)</f>
        <v>0</v>
      </c>
      <c r="V39" s="31">
        <f t="shared" ref="V39:Z39" si="4">SUM(V40:V43)</f>
        <v>0</v>
      </c>
      <c r="W39" s="31">
        <f t="shared" si="4"/>
        <v>0</v>
      </c>
      <c r="X39" s="31">
        <f t="shared" si="4"/>
        <v>0</v>
      </c>
      <c r="Y39" s="54">
        <f t="shared" si="4"/>
        <v>0</v>
      </c>
      <c r="Z39" s="54">
        <f t="shared" si="4"/>
        <v>0</v>
      </c>
      <c r="AA39" s="54">
        <f>SUM(AA40:AA43)</f>
        <v>0</v>
      </c>
      <c r="AB39" s="31">
        <f t="shared" ref="AB39:AF39" si="5">SUM(AB40:AB43)</f>
        <v>0</v>
      </c>
      <c r="AC39" s="31">
        <f t="shared" si="5"/>
        <v>0</v>
      </c>
      <c r="AD39" s="31">
        <f t="shared" si="5"/>
        <v>0</v>
      </c>
      <c r="AE39" s="54">
        <f t="shared" si="5"/>
        <v>0</v>
      </c>
      <c r="AF39" s="54">
        <f t="shared" si="5"/>
        <v>0</v>
      </c>
      <c r="AG39" s="54">
        <f>SUM(AG40:AG43)</f>
        <v>0</v>
      </c>
      <c r="AH39" s="31">
        <f t="shared" ref="AH39:AL39" si="6">SUM(AH40:AH43)</f>
        <v>0</v>
      </c>
      <c r="AI39" s="31">
        <f t="shared" si="6"/>
        <v>0</v>
      </c>
      <c r="AJ39" s="31">
        <f t="shared" si="6"/>
        <v>0</v>
      </c>
      <c r="AK39" s="54">
        <f t="shared" si="6"/>
        <v>0</v>
      </c>
      <c r="AL39" s="54">
        <f t="shared" si="6"/>
        <v>0</v>
      </c>
      <c r="AM39" s="54">
        <f>SUM(AM40:AM43)</f>
        <v>0</v>
      </c>
      <c r="AN39" s="31">
        <f t="shared" ref="AN39:AR39" si="7">SUM(AN40:AN43)</f>
        <v>0</v>
      </c>
      <c r="AO39" s="31">
        <f t="shared" si="7"/>
        <v>0</v>
      </c>
      <c r="AP39" s="31">
        <f t="shared" si="7"/>
        <v>0</v>
      </c>
      <c r="AQ39" s="54">
        <f t="shared" si="7"/>
        <v>0</v>
      </c>
      <c r="AR39" s="54">
        <f t="shared" si="7"/>
        <v>0</v>
      </c>
      <c r="AS39" s="54">
        <f>SUM(AS40:AS43)</f>
        <v>0</v>
      </c>
      <c r="AT39" s="31">
        <f t="shared" ref="AT39:AX39" si="8">SUM(AT40:AT43)</f>
        <v>0</v>
      </c>
      <c r="AU39" s="31">
        <f t="shared" si="8"/>
        <v>0</v>
      </c>
      <c r="AV39" s="31">
        <f t="shared" si="8"/>
        <v>0</v>
      </c>
      <c r="AW39" s="54">
        <f t="shared" si="8"/>
        <v>0</v>
      </c>
      <c r="AX39" s="54">
        <f t="shared" si="8"/>
        <v>0</v>
      </c>
      <c r="AZ39" s="54">
        <f>SUM(G39,S39,Y39,AE39,AK39,AQ39,AW39,M39)</f>
        <v>87434.753999999986</v>
      </c>
    </row>
    <row r="40" spans="1:52" outlineLevel="2" x14ac:dyDescent="0.2">
      <c r="A40" s="655"/>
      <c r="B40" s="183" t="s">
        <v>47</v>
      </c>
      <c r="C40" s="48">
        <f>SUMIFS('Maturing receivables'!$K:$K,'Maturing receivables'!$S:$S,Vertical_Cash_flow!C$11,'Maturing receivables'!$J:$J,Vertical_Cash_flow!C$15,'Maturing receivables'!$A:$A,Vertical_Cash_flow!$C$14,'Maturing receivables'!$G:$G,Vertical_Cash_flow!$B40,'Maturing receivables'!$F:$F,Vertical_Cash_flow!$B$39)</f>
        <v>87434.753999999986</v>
      </c>
      <c r="D40" s="32">
        <f>SUMIFS('Maturing receivables'!$K:$K,'Maturing receivables'!$S:$S,Vertical_Cash_flow!C$11,'Maturing receivables'!$J:$J,Vertical_Cash_flow!D$15,'Maturing receivables'!$A:$A,Vertical_Cash_flow!$D$14,'Maturing receivables'!$G:$G,Vertical_Cash_flow!$B40,'Maturing receivables'!$F:$F,Vertical_Cash_flow!$B$39)</f>
        <v>0</v>
      </c>
      <c r="E40" s="32">
        <f>SUMIFS('Maturing receivables'!$K:$K,'Maturing receivables'!$S:$S,Vertical_Cash_flow!C$11,'Maturing receivables'!$J:$J,Vertical_Cash_flow!E$15,'Maturing receivables'!$A:$A,Vertical_Cash_flow!$E$14,'Maturing receivables'!$G:$G,Vertical_Cash_flow!$B40,'Maturing receivables'!$F:$F,Vertical_Cash_flow!$B$39)</f>
        <v>0</v>
      </c>
      <c r="F40" s="32">
        <f>SUMIFS('Maturing receivables'!$K:$K,'Maturing receivables'!$S:$S,Vertical_Cash_flow!C$11,'Maturing receivables'!$J:$J,Vertical_Cash_flow!F$15,'Maturing receivables'!$A:$A,Vertical_Cash_flow!$F$14,'Maturing receivables'!$G:$G,Vertical_Cash_flow!$B40,'Maturing receivables'!$F:$F,Vertical_Cash_flow!$B$39)</f>
        <v>0</v>
      </c>
      <c r="G40" s="195">
        <f>C40+D40+E40/$C$16+F40/$F$16</f>
        <v>87434.753999999986</v>
      </c>
      <c r="H40" s="195">
        <f t="shared" ref="H40:H43" si="9">G40*$C$16</f>
        <v>26230.426199999994</v>
      </c>
      <c r="I40" s="48">
        <f>SUMIFS('Maturing receivables'!$K:$K,'Maturing receivables'!$S:$S,Vertical_Cash_flow!I$11,'Maturing receivables'!$J:$J,Vertical_Cash_flow!I$15,'Maturing receivables'!$A:$A,Vertical_Cash_flow!$C$14,'Maturing receivables'!$G:$G,Vertical_Cash_flow!$B40,'Maturing receivables'!$F:$F,Vertical_Cash_flow!$B$39)</f>
        <v>0</v>
      </c>
      <c r="J40" s="32">
        <f>SUMIFS('Maturing receivables'!$K:$K,'Maturing receivables'!$S:$S,Vertical_Cash_flow!I$11,'Maturing receivables'!$J:$J,Vertical_Cash_flow!J$15,'Maturing receivables'!$A:$A,Vertical_Cash_flow!$D$14,'Maturing receivables'!$G:$G,Vertical_Cash_flow!$B40,'Maturing receivables'!$F:$F,Vertical_Cash_flow!$B$39)</f>
        <v>0</v>
      </c>
      <c r="K40" s="32">
        <f>SUMIFS('Maturing receivables'!$K:$K,'Maturing receivables'!$S:$S,Vertical_Cash_flow!I$11,'Maturing receivables'!$J:$J,Vertical_Cash_flow!K$15,'Maturing receivables'!$A:$A,Vertical_Cash_flow!$E$14,'Maturing receivables'!$G:$G,Vertical_Cash_flow!$B40,'Maturing receivables'!$F:$F,Vertical_Cash_flow!$B$39)</f>
        <v>0</v>
      </c>
      <c r="L40" s="32">
        <f>SUMIFS('Maturing receivables'!$K:$K,'Maturing receivables'!$S:$S,Vertical_Cash_flow!I$11,'Maturing receivables'!$J:$J,Vertical_Cash_flow!L$15,'Maturing receivables'!$A:$A,Vertical_Cash_flow!$F$14,'Maturing receivables'!$G:$G,Vertical_Cash_flow!$B40,'Maturing receivables'!$F:$F,Vertical_Cash_flow!$B$39)</f>
        <v>0</v>
      </c>
      <c r="M40" s="195">
        <f>I40+J40+K40/$C$16+L40/$F$16</f>
        <v>0</v>
      </c>
      <c r="N40" s="195">
        <f t="shared" ref="N40:N43" si="10">M40*$C$16</f>
        <v>0</v>
      </c>
      <c r="O40" s="48">
        <f>SUMIFS('Maturing receivables'!$K:$K,'Maturing receivables'!$S:$S,Vertical_Cash_flow!O$11,'Maturing receivables'!$J:$J,Vertical_Cash_flow!O$15,'Maturing receivables'!$A:$A,Vertical_Cash_flow!$C$14,'Maturing receivables'!$G:$G,Vertical_Cash_flow!$B40,'Maturing receivables'!$F:$F,Vertical_Cash_flow!$B$39)</f>
        <v>0</v>
      </c>
      <c r="P40" s="32">
        <f>SUMIFS('Maturing receivables'!$K:$K,'Maturing receivables'!$S:$S,Vertical_Cash_flow!O$11,'Maturing receivables'!$J:$J,Vertical_Cash_flow!P$15,'Maturing receivables'!$A:$A,Vertical_Cash_flow!$D$14,'Maturing receivables'!$G:$G,Vertical_Cash_flow!$B40,'Maturing receivables'!$F:$F,Vertical_Cash_flow!$B$39)</f>
        <v>0</v>
      </c>
      <c r="Q40" s="32">
        <f>SUMIFS('Maturing receivables'!$K:$K,'Maturing receivables'!$S:$S,Vertical_Cash_flow!O$11,'Maturing receivables'!$J:$J,Vertical_Cash_flow!Q$15,'Maturing receivables'!$A:$A,Vertical_Cash_flow!$E$14,'Maturing receivables'!$G:$G,Vertical_Cash_flow!$B40,'Maturing receivables'!$F:$F,Vertical_Cash_flow!$B$39)</f>
        <v>0</v>
      </c>
      <c r="R40" s="32">
        <f>SUMIFS('Maturing receivables'!$K:$K,'Maturing receivables'!$S:$S,Vertical_Cash_flow!O$11,'Maturing receivables'!$J:$J,Vertical_Cash_flow!R$15,'Maturing receivables'!$A:$A,Vertical_Cash_flow!$F$14,'Maturing receivables'!$G:$G,Vertical_Cash_flow!$B40,'Maturing receivables'!$F:$F,Vertical_Cash_flow!$B$39)</f>
        <v>0</v>
      </c>
      <c r="S40" s="195">
        <f>O40+P40+Q40/$C$16+R40/$F$16</f>
        <v>0</v>
      </c>
      <c r="T40" s="195">
        <f t="shared" ref="T40:T43" si="11">S40*$C$16</f>
        <v>0</v>
      </c>
      <c r="U40" s="48">
        <f>SUMIFS('Maturing receivables'!$K:$K,'Maturing receivables'!$S:$S,Vertical_Cash_flow!U$11,'Maturing receivables'!$J:$J,Vertical_Cash_flow!U$15,'Maturing receivables'!$A:$A,Vertical_Cash_flow!$C$14,'Maturing receivables'!$G:$G,Vertical_Cash_flow!$B40,'Maturing receivables'!$F:$F,Vertical_Cash_flow!$B$39)</f>
        <v>0</v>
      </c>
      <c r="V40" s="32">
        <f>SUMIFS('Maturing receivables'!$K:$K,'Maturing receivables'!$S:$S,Vertical_Cash_flow!U$11,'Maturing receivables'!$J:$J,Vertical_Cash_flow!V$15,'Maturing receivables'!$A:$A,Vertical_Cash_flow!$D$14,'Maturing receivables'!$G:$G,Vertical_Cash_flow!$B40,'Maturing receivables'!$F:$F,Vertical_Cash_flow!$B$39)</f>
        <v>0</v>
      </c>
      <c r="W40" s="32">
        <f>SUMIFS('Maturing receivables'!$K:$K,'Maturing receivables'!$S:$S,Vertical_Cash_flow!U$11,'Maturing receivables'!$J:$J,Vertical_Cash_flow!W$15,'Maturing receivables'!$A:$A,Vertical_Cash_flow!$E$14,'Maturing receivables'!$G:$G,Vertical_Cash_flow!$B40,'Maturing receivables'!$F:$F,Vertical_Cash_flow!$B$39)</f>
        <v>0</v>
      </c>
      <c r="X40" s="32">
        <f>SUMIFS('Maturing receivables'!$K:$K,'Maturing receivables'!$S:$S,Vertical_Cash_flow!U$11,'Maturing receivables'!$J:$J,Vertical_Cash_flow!X$15,'Maturing receivables'!$A:$A,Vertical_Cash_flow!$F$14,'Maturing receivables'!$G:$G,Vertical_Cash_flow!$B40,'Maturing receivables'!$F:$F,Vertical_Cash_flow!$B$39)</f>
        <v>0</v>
      </c>
      <c r="Y40" s="195">
        <f>U40+V40+W40/$C$16+X40/$F$16</f>
        <v>0</v>
      </c>
      <c r="Z40" s="195">
        <f t="shared" ref="Z40:Z43" si="12">Y40*$C$16</f>
        <v>0</v>
      </c>
      <c r="AA40" s="48">
        <f>SUMIFS('Maturing receivables'!$K:$K,'Maturing receivables'!$S:$S,Vertical_Cash_flow!AA$11,'Maturing receivables'!$J:$J,Vertical_Cash_flow!AA$15,'Maturing receivables'!$A:$A,Vertical_Cash_flow!$C$14,'Maturing receivables'!$G:$G,Vertical_Cash_flow!$B40,'Maturing receivables'!$F:$F,Vertical_Cash_flow!$B$39)</f>
        <v>0</v>
      </c>
      <c r="AB40" s="32">
        <f>SUMIFS('Maturing receivables'!$K:$K,'Maturing receivables'!$S:$S,Vertical_Cash_flow!AA$11,'Maturing receivables'!$J:$J,Vertical_Cash_flow!AB$15,'Maturing receivables'!$A:$A,Vertical_Cash_flow!$D$14,'Maturing receivables'!$G:$G,Vertical_Cash_flow!$B40,'Maturing receivables'!$F:$F,Vertical_Cash_flow!$B$39)</f>
        <v>0</v>
      </c>
      <c r="AC40" s="32">
        <f>SUMIFS('Maturing receivables'!$K:$K,'Maturing receivables'!$S:$S,Vertical_Cash_flow!AA$11,'Maturing receivables'!$J:$J,Vertical_Cash_flow!AC$15,'Maturing receivables'!$A:$A,Vertical_Cash_flow!$E$14,'Maturing receivables'!$G:$G,Vertical_Cash_flow!$B40,'Maturing receivables'!$F:$F,Vertical_Cash_flow!$B$39)</f>
        <v>0</v>
      </c>
      <c r="AD40" s="32">
        <f>SUMIFS('Maturing receivables'!$K:$K,'Maturing receivables'!$S:$S,Vertical_Cash_flow!AA$11,'Maturing receivables'!$J:$J,Vertical_Cash_flow!AD$15,'Maturing receivables'!$A:$A,Vertical_Cash_flow!$F$14,'Maturing receivables'!$G:$G,Vertical_Cash_flow!$B40,'Maturing receivables'!$F:$F,Vertical_Cash_flow!$B$39)</f>
        <v>0</v>
      </c>
      <c r="AE40" s="195">
        <f>AA40+AB40+AC40/$C$16+AD40/$F$16</f>
        <v>0</v>
      </c>
      <c r="AF40" s="195">
        <f t="shared" ref="AF40:AF43" si="13">AE40*$C$16</f>
        <v>0</v>
      </c>
      <c r="AG40" s="48">
        <f>SUMIFS('Maturing receivables'!$K:$K,'Maturing receivables'!$S:$S,Vertical_Cash_flow!AG$11,'Maturing receivables'!$J:$J,Vertical_Cash_flow!AG$15,'Maturing receivables'!$A:$A,Vertical_Cash_flow!$C$14,'Maturing receivables'!$G:$G,Vertical_Cash_flow!$B40,'Maturing receivables'!$F:$F,Vertical_Cash_flow!$B$39)</f>
        <v>0</v>
      </c>
      <c r="AH40" s="32">
        <f>SUMIFS('Maturing receivables'!$K:$K,'Maturing receivables'!$S:$S,Vertical_Cash_flow!AG$11,'Maturing receivables'!$J:$J,Vertical_Cash_flow!AH$15,'Maturing receivables'!$A:$A,Vertical_Cash_flow!$D$14,'Maturing receivables'!$G:$G,Vertical_Cash_flow!$B40,'Maturing receivables'!$F:$F,Vertical_Cash_flow!$B$39)</f>
        <v>0</v>
      </c>
      <c r="AI40" s="32">
        <f>SUMIFS('Maturing receivables'!$K:$K,'Maturing receivables'!$S:$S,Vertical_Cash_flow!AG$11,'Maturing receivables'!$J:$J,Vertical_Cash_flow!AI$15,'Maturing receivables'!$A:$A,Vertical_Cash_flow!$E$14,'Maturing receivables'!$G:$G,Vertical_Cash_flow!$B40,'Maturing receivables'!$F:$F,Vertical_Cash_flow!$B$39)</f>
        <v>0</v>
      </c>
      <c r="AJ40" s="32">
        <f>SUMIFS('Maturing receivables'!$K:$K,'Maturing receivables'!$S:$S,Vertical_Cash_flow!AG$11,'Maturing receivables'!$J:$J,Vertical_Cash_flow!AJ$15,'Maturing receivables'!$A:$A,Vertical_Cash_flow!$F$14,'Maturing receivables'!$G:$G,Vertical_Cash_flow!$B40,'Maturing receivables'!$F:$F,Vertical_Cash_flow!$B$39)</f>
        <v>0</v>
      </c>
      <c r="AK40" s="195">
        <f>AG40+AH40+AI40/$C$16+AJ40/$F$16</f>
        <v>0</v>
      </c>
      <c r="AL40" s="195">
        <f t="shared" ref="AL40:AL43" si="14">AK40*$C$16</f>
        <v>0</v>
      </c>
      <c r="AM40" s="48">
        <f>SUMIFS('Maturing receivables'!$K:$K,'Maturing receivables'!$S:$S,Vertical_Cash_flow!AM$11,'Maturing receivables'!$J:$J,Vertical_Cash_flow!AM$15,'Maturing receivables'!$A:$A,Vertical_Cash_flow!$C$14,'Maturing receivables'!$G:$G,Vertical_Cash_flow!$B40,'Maturing receivables'!$F:$F,Vertical_Cash_flow!$B$39)</f>
        <v>0</v>
      </c>
      <c r="AN40" s="32">
        <f>SUMIFS('Maturing receivables'!$K:$K,'Maturing receivables'!$S:$S,Vertical_Cash_flow!AM$11,'Maturing receivables'!$J:$J,Vertical_Cash_flow!AN$15,'Maturing receivables'!$A:$A,Vertical_Cash_flow!$D$14,'Maturing receivables'!$G:$G,Vertical_Cash_flow!$B40,'Maturing receivables'!$F:$F,Vertical_Cash_flow!$B$39)</f>
        <v>0</v>
      </c>
      <c r="AO40" s="32">
        <f>SUMIFS('Maturing receivables'!$K:$K,'Maturing receivables'!$S:$S,Vertical_Cash_flow!AM$11,'Maturing receivables'!$J:$J,Vertical_Cash_flow!AO$15,'Maturing receivables'!$A:$A,Vertical_Cash_flow!$E$14,'Maturing receivables'!$G:$G,Vertical_Cash_flow!$B40,'Maturing receivables'!$F:$F,Vertical_Cash_flow!$B$39)</f>
        <v>0</v>
      </c>
      <c r="AP40" s="32">
        <f>SUMIFS('Maturing receivables'!$K:$K,'Maturing receivables'!$S:$S,Vertical_Cash_flow!AM$11,'Maturing receivables'!$J:$J,Vertical_Cash_flow!AP$15,'Maturing receivables'!$A:$A,Vertical_Cash_flow!$F$14,'Maturing receivables'!$G:$G,Vertical_Cash_flow!$B40,'Maturing receivables'!$F:$F,Vertical_Cash_flow!$B$39)</f>
        <v>0</v>
      </c>
      <c r="AQ40" s="195">
        <f>AM40+AN40+AO40/$C$16+AP40/$F$16</f>
        <v>0</v>
      </c>
      <c r="AR40" s="195">
        <f t="shared" ref="AR40:AR43" si="15">AQ40*$C$16</f>
        <v>0</v>
      </c>
      <c r="AS40" s="48">
        <f>SUMIFS('Maturing receivables'!$K:$K,'Maturing receivables'!$S:$S,Vertical_Cash_flow!AS$11,'Maturing receivables'!$J:$J,Vertical_Cash_flow!AS$15,'Maturing receivables'!$A:$A,Vertical_Cash_flow!$C$14,'Maturing receivables'!$G:$G,Vertical_Cash_flow!$B40,'Maturing receivables'!$F:$F,Vertical_Cash_flow!$B$39)</f>
        <v>0</v>
      </c>
      <c r="AT40" s="32">
        <f>SUMIFS('Maturing receivables'!$K:$K,'Maturing receivables'!$S:$S,Vertical_Cash_flow!AS$11,'Maturing receivables'!$J:$J,Vertical_Cash_flow!AT$15,'Maturing receivables'!$A:$A,Vertical_Cash_flow!$D$14,'Maturing receivables'!$G:$G,Vertical_Cash_flow!$B40,'Maturing receivables'!$F:$F,Vertical_Cash_flow!$B$39)</f>
        <v>0</v>
      </c>
      <c r="AU40" s="32">
        <f>SUMIFS('Maturing receivables'!$K:$K,'Maturing receivables'!$S:$S,Vertical_Cash_flow!AS$11,'Maturing receivables'!$J:$J,Vertical_Cash_flow!AU$15,'Maturing receivables'!$A:$A,Vertical_Cash_flow!$E$14,'Maturing receivables'!$G:$G,Vertical_Cash_flow!$B40,'Maturing receivables'!$F:$F,Vertical_Cash_flow!$B$39)</f>
        <v>0</v>
      </c>
      <c r="AV40" s="32">
        <f>SUMIFS('Maturing receivables'!$K:$K,'Maturing receivables'!$S:$S,Vertical_Cash_flow!AS$11,'Maturing receivables'!$J:$J,Vertical_Cash_flow!AV$15,'Maturing receivables'!$A:$A,Vertical_Cash_flow!$F$14,'Maturing receivables'!$G:$G,Vertical_Cash_flow!$B40,'Maturing receivables'!$F:$F,Vertical_Cash_flow!$B$39)</f>
        <v>0</v>
      </c>
      <c r="AW40" s="195">
        <f>AS40+AT40+AU40/$C$16+AV40/$F$16</f>
        <v>0</v>
      </c>
      <c r="AX40" s="195">
        <f t="shared" ref="AX40:AX43" si="16">AW40*$C$16</f>
        <v>0</v>
      </c>
      <c r="AZ40" s="195">
        <f>SUM(G40,S40,Y40,AE40,AK40,AQ40,AW40,M40)</f>
        <v>87434.753999999986</v>
      </c>
    </row>
    <row r="41" spans="1:52" outlineLevel="2" x14ac:dyDescent="0.2">
      <c r="A41" s="655"/>
      <c r="B41" s="183" t="s">
        <v>48</v>
      </c>
      <c r="C41" s="48">
        <f>SUMIFS('Maturing receivables'!$K:$K,'Maturing receivables'!$S:$S,Vertical_Cash_flow!C$11,'Maturing receivables'!$J:$J,Vertical_Cash_flow!C$15,'Maturing receivables'!$A:$A,Vertical_Cash_flow!$C$14,'Maturing receivables'!$G:$G,Vertical_Cash_flow!$B41,'Maturing receivables'!$F:$F,Vertical_Cash_flow!$B$39)</f>
        <v>0</v>
      </c>
      <c r="D41" s="32">
        <f>SUMIFS('Maturing receivables'!$K:$K,'Maturing receivables'!$S:$S,Vertical_Cash_flow!C$11,'Maturing receivables'!$J:$J,Vertical_Cash_flow!D$15,'Maturing receivables'!$A:$A,Vertical_Cash_flow!$D$14,'Maturing receivables'!$G:$G,Vertical_Cash_flow!$B41,'Maturing receivables'!$F:$F,Vertical_Cash_flow!$B$39)</f>
        <v>0</v>
      </c>
      <c r="E41" s="32">
        <f>SUMIFS('Maturing receivables'!$K:$K,'Maturing receivables'!$S:$S,Vertical_Cash_flow!C$11,'Maturing receivables'!$J:$J,Vertical_Cash_flow!E$15,'Maturing receivables'!$A:$A,Vertical_Cash_flow!$E$14,'Maturing receivables'!$G:$G,Vertical_Cash_flow!$B41,'Maturing receivables'!$F:$F,Vertical_Cash_flow!$B$39)</f>
        <v>0</v>
      </c>
      <c r="F41" s="32">
        <f>SUMIFS('Maturing receivables'!$K:$K,'Maturing receivables'!$S:$S,Vertical_Cash_flow!C$11,'Maturing receivables'!$J:$J,Vertical_Cash_flow!F$15,'Maturing receivables'!$A:$A,Vertical_Cash_flow!$F$14,'Maturing receivables'!$G:$G,Vertical_Cash_flow!$B41,'Maturing receivables'!$F:$F,Vertical_Cash_flow!$B$39)</f>
        <v>0</v>
      </c>
      <c r="G41" s="195">
        <f t="shared" ref="G41:G43" si="17">C41+D41+E41/$C$16+F41/$F$16</f>
        <v>0</v>
      </c>
      <c r="H41" s="195">
        <f t="shared" si="9"/>
        <v>0</v>
      </c>
      <c r="I41" s="48">
        <f>SUMIFS('Maturing receivables'!$K:$K,'Maturing receivables'!$S:$S,Vertical_Cash_flow!I$11,'Maturing receivables'!$J:$J,Vertical_Cash_flow!I$15,'Maturing receivables'!$A:$A,Vertical_Cash_flow!$C$14,'Maturing receivables'!$G:$G,Vertical_Cash_flow!$B41,'Maturing receivables'!$F:$F,Vertical_Cash_flow!$B$39)</f>
        <v>0</v>
      </c>
      <c r="J41" s="32">
        <f>SUMIFS('Maturing receivables'!$K:$K,'Maturing receivables'!$S:$S,Vertical_Cash_flow!I$11,'Maturing receivables'!$J:$J,Vertical_Cash_flow!J$15,'Maturing receivables'!$A:$A,Vertical_Cash_flow!$D$14,'Maturing receivables'!$G:$G,Vertical_Cash_flow!$B41,'Maturing receivables'!$F:$F,Vertical_Cash_flow!$B$39)</f>
        <v>0</v>
      </c>
      <c r="K41" s="32">
        <f>SUMIFS('Maturing receivables'!$K:$K,'Maturing receivables'!$S:$S,Vertical_Cash_flow!I$11,'Maturing receivables'!$J:$J,Vertical_Cash_flow!K$15,'Maturing receivables'!$A:$A,Vertical_Cash_flow!$E$14,'Maturing receivables'!$G:$G,Vertical_Cash_flow!$B41,'Maturing receivables'!$F:$F,Vertical_Cash_flow!$B$39)</f>
        <v>0</v>
      </c>
      <c r="L41" s="32">
        <f>SUMIFS('Maturing receivables'!$K:$K,'Maturing receivables'!$S:$S,Vertical_Cash_flow!I$11,'Maturing receivables'!$J:$J,Vertical_Cash_flow!L$15,'Maturing receivables'!$A:$A,Vertical_Cash_flow!$F$14,'Maturing receivables'!$G:$G,Vertical_Cash_flow!$B41,'Maturing receivables'!$F:$F,Vertical_Cash_flow!$B$39)</f>
        <v>0</v>
      </c>
      <c r="M41" s="195">
        <f t="shared" ref="M41:M43" si="18">I41+J41+K41/$C$16+L41/$F$16</f>
        <v>0</v>
      </c>
      <c r="N41" s="195">
        <f t="shared" si="10"/>
        <v>0</v>
      </c>
      <c r="O41" s="48">
        <f>SUMIFS('Maturing receivables'!$K:$K,'Maturing receivables'!$S:$S,Vertical_Cash_flow!O$11,'Maturing receivables'!$J:$J,Vertical_Cash_flow!O$15,'Maturing receivables'!$A:$A,Vertical_Cash_flow!$C$14,'Maturing receivables'!$G:$G,Vertical_Cash_flow!$B41,'Maturing receivables'!$F:$F,Vertical_Cash_flow!$B$39)</f>
        <v>0</v>
      </c>
      <c r="P41" s="32">
        <f>SUMIFS('Maturing receivables'!$K:$K,'Maturing receivables'!$S:$S,Vertical_Cash_flow!O$11,'Maturing receivables'!$J:$J,Vertical_Cash_flow!P$15,'Maturing receivables'!$A:$A,Vertical_Cash_flow!$D$14,'Maturing receivables'!$G:$G,Vertical_Cash_flow!$B41,'Maturing receivables'!$F:$F,Vertical_Cash_flow!$B$39)</f>
        <v>0</v>
      </c>
      <c r="Q41" s="32">
        <f>SUMIFS('Maturing receivables'!$K:$K,'Maturing receivables'!$S:$S,Vertical_Cash_flow!O$11,'Maturing receivables'!$J:$J,Vertical_Cash_flow!Q$15,'Maturing receivables'!$A:$A,Vertical_Cash_flow!$E$14,'Maturing receivables'!$G:$G,Vertical_Cash_flow!$B41,'Maturing receivables'!$F:$F,Vertical_Cash_flow!$B$39)</f>
        <v>0</v>
      </c>
      <c r="R41" s="32">
        <f>SUMIFS('Maturing receivables'!$K:$K,'Maturing receivables'!$S:$S,Vertical_Cash_flow!O$11,'Maturing receivables'!$J:$J,Vertical_Cash_flow!R$15,'Maturing receivables'!$A:$A,Vertical_Cash_flow!$F$14,'Maturing receivables'!$G:$G,Vertical_Cash_flow!$B41,'Maturing receivables'!$F:$F,Vertical_Cash_flow!$B$39)</f>
        <v>0</v>
      </c>
      <c r="S41" s="195">
        <f t="shared" ref="S41:S43" si="19">O41+P41+Q41/$C$16+R41/$F$16</f>
        <v>0</v>
      </c>
      <c r="T41" s="195">
        <f t="shared" si="11"/>
        <v>0</v>
      </c>
      <c r="U41" s="48">
        <f>SUMIFS('Maturing receivables'!$K:$K,'Maturing receivables'!$S:$S,Vertical_Cash_flow!U$11,'Maturing receivables'!$J:$J,Vertical_Cash_flow!U$15,'Maturing receivables'!$A:$A,Vertical_Cash_flow!$C$14,'Maturing receivables'!$G:$G,Vertical_Cash_flow!$B41,'Maturing receivables'!$F:$F,Vertical_Cash_flow!$B$39)</f>
        <v>0</v>
      </c>
      <c r="V41" s="32">
        <f>SUMIFS('Maturing receivables'!$K:$K,'Maturing receivables'!$S:$S,Vertical_Cash_flow!U$11,'Maturing receivables'!$J:$J,Vertical_Cash_flow!V$15,'Maturing receivables'!$A:$A,Vertical_Cash_flow!$D$14,'Maturing receivables'!$G:$G,Vertical_Cash_flow!$B41,'Maturing receivables'!$F:$F,Vertical_Cash_flow!$B$39)</f>
        <v>0</v>
      </c>
      <c r="W41" s="32">
        <f>SUMIFS('Maturing receivables'!$K:$K,'Maturing receivables'!$S:$S,Vertical_Cash_flow!U$11,'Maturing receivables'!$J:$J,Vertical_Cash_flow!W$15,'Maturing receivables'!$A:$A,Vertical_Cash_flow!$E$14,'Maturing receivables'!$G:$G,Vertical_Cash_flow!$B41,'Maturing receivables'!$F:$F,Vertical_Cash_flow!$B$39)</f>
        <v>0</v>
      </c>
      <c r="X41" s="32">
        <f>SUMIFS('Maturing receivables'!$K:$K,'Maturing receivables'!$S:$S,Vertical_Cash_flow!U$11,'Maturing receivables'!$J:$J,Vertical_Cash_flow!X$15,'Maturing receivables'!$A:$A,Vertical_Cash_flow!$F$14,'Maturing receivables'!$G:$G,Vertical_Cash_flow!$B41,'Maturing receivables'!$F:$F,Vertical_Cash_flow!$B$39)</f>
        <v>0</v>
      </c>
      <c r="Y41" s="195">
        <f t="shared" ref="Y41:Y43" si="20">U41+V41+W41/$C$16+X41/$F$16</f>
        <v>0</v>
      </c>
      <c r="Z41" s="195">
        <f t="shared" si="12"/>
        <v>0</v>
      </c>
      <c r="AA41" s="48">
        <f>SUMIFS('Maturing receivables'!$K:$K,'Maturing receivables'!$S:$S,Vertical_Cash_flow!AA$11,'Maturing receivables'!$J:$J,Vertical_Cash_flow!AA$15,'Maturing receivables'!$A:$A,Vertical_Cash_flow!$C$14,'Maturing receivables'!$G:$G,Vertical_Cash_flow!$B41,'Maturing receivables'!$F:$F,Vertical_Cash_flow!$B$39)</f>
        <v>0</v>
      </c>
      <c r="AB41" s="32">
        <f>SUMIFS('Maturing receivables'!$K:$K,'Maturing receivables'!$S:$S,Vertical_Cash_flow!AA$11,'Maturing receivables'!$J:$J,Vertical_Cash_flow!AB$15,'Maturing receivables'!$A:$A,Vertical_Cash_flow!$D$14,'Maturing receivables'!$G:$G,Vertical_Cash_flow!$B41,'Maturing receivables'!$F:$F,Vertical_Cash_flow!$B$39)</f>
        <v>0</v>
      </c>
      <c r="AC41" s="32">
        <f>SUMIFS('Maturing receivables'!$K:$K,'Maturing receivables'!$S:$S,Vertical_Cash_flow!AA$11,'Maturing receivables'!$J:$J,Vertical_Cash_flow!AC$15,'Maturing receivables'!$A:$A,Vertical_Cash_flow!$E$14,'Maturing receivables'!$G:$G,Vertical_Cash_flow!$B41,'Maturing receivables'!$F:$F,Vertical_Cash_flow!$B$39)</f>
        <v>0</v>
      </c>
      <c r="AD41" s="32">
        <f>SUMIFS('Maturing receivables'!$K:$K,'Maturing receivables'!$S:$S,Vertical_Cash_flow!AA$11,'Maturing receivables'!$J:$J,Vertical_Cash_flow!AD$15,'Maturing receivables'!$A:$A,Vertical_Cash_flow!$F$14,'Maturing receivables'!$G:$G,Vertical_Cash_flow!$B41,'Maturing receivables'!$F:$F,Vertical_Cash_flow!$B$39)</f>
        <v>0</v>
      </c>
      <c r="AE41" s="195">
        <f t="shared" ref="AE41:AE43" si="21">AA41+AB41+AC41/$C$16+AD41/$F$16</f>
        <v>0</v>
      </c>
      <c r="AF41" s="195">
        <f t="shared" si="13"/>
        <v>0</v>
      </c>
      <c r="AG41" s="48">
        <f>SUMIFS('Maturing receivables'!$K:$K,'Maturing receivables'!$S:$S,Vertical_Cash_flow!AG$11,'Maturing receivables'!$J:$J,Vertical_Cash_flow!AG$15,'Maturing receivables'!$A:$A,Vertical_Cash_flow!$C$14,'Maturing receivables'!$G:$G,Vertical_Cash_flow!$B41,'Maturing receivables'!$F:$F,Vertical_Cash_flow!$B$39)</f>
        <v>0</v>
      </c>
      <c r="AH41" s="32">
        <f>SUMIFS('Maturing receivables'!$K:$K,'Maturing receivables'!$S:$S,Vertical_Cash_flow!AG$11,'Maturing receivables'!$J:$J,Vertical_Cash_flow!AH$15,'Maturing receivables'!$A:$A,Vertical_Cash_flow!$D$14,'Maturing receivables'!$G:$G,Vertical_Cash_flow!$B41,'Maturing receivables'!$F:$F,Vertical_Cash_flow!$B$39)</f>
        <v>0</v>
      </c>
      <c r="AI41" s="32">
        <f>SUMIFS('Maturing receivables'!$K:$K,'Maturing receivables'!$S:$S,Vertical_Cash_flow!AG$11,'Maturing receivables'!$J:$J,Vertical_Cash_flow!AI$15,'Maturing receivables'!$A:$A,Vertical_Cash_flow!$E$14,'Maturing receivables'!$G:$G,Vertical_Cash_flow!$B41,'Maturing receivables'!$F:$F,Vertical_Cash_flow!$B$39)</f>
        <v>0</v>
      </c>
      <c r="AJ41" s="32">
        <f>SUMIFS('Maturing receivables'!$K:$K,'Maturing receivables'!$S:$S,Vertical_Cash_flow!AG$11,'Maturing receivables'!$J:$J,Vertical_Cash_flow!AJ$15,'Maturing receivables'!$A:$A,Vertical_Cash_flow!$F$14,'Maturing receivables'!$G:$G,Vertical_Cash_flow!$B41,'Maturing receivables'!$F:$F,Vertical_Cash_flow!$B$39)</f>
        <v>0</v>
      </c>
      <c r="AK41" s="195">
        <f t="shared" ref="AK41:AK43" si="22">AG41+AH41+AI41/$C$16+AJ41/$F$16</f>
        <v>0</v>
      </c>
      <c r="AL41" s="195">
        <f t="shared" si="14"/>
        <v>0</v>
      </c>
      <c r="AM41" s="48">
        <f>SUMIFS('Maturing receivables'!$K:$K,'Maturing receivables'!$S:$S,Vertical_Cash_flow!AM$11,'Maturing receivables'!$J:$J,Vertical_Cash_flow!AM$15,'Maturing receivables'!$A:$A,Vertical_Cash_flow!$C$14,'Maturing receivables'!$G:$G,Vertical_Cash_flow!$B41,'Maturing receivables'!$F:$F,Vertical_Cash_flow!$B$39)</f>
        <v>0</v>
      </c>
      <c r="AN41" s="32">
        <f>SUMIFS('Maturing receivables'!$K:$K,'Maturing receivables'!$S:$S,Vertical_Cash_flow!AM$11,'Maturing receivables'!$J:$J,Vertical_Cash_flow!AN$15,'Maturing receivables'!$A:$A,Vertical_Cash_flow!$D$14,'Maturing receivables'!$G:$G,Vertical_Cash_flow!$B41,'Maturing receivables'!$F:$F,Vertical_Cash_flow!$B$39)</f>
        <v>0</v>
      </c>
      <c r="AO41" s="32">
        <f>SUMIFS('Maturing receivables'!$K:$K,'Maturing receivables'!$S:$S,Vertical_Cash_flow!AM$11,'Maturing receivables'!$J:$J,Vertical_Cash_flow!AO$15,'Maturing receivables'!$A:$A,Vertical_Cash_flow!$E$14,'Maturing receivables'!$G:$G,Vertical_Cash_flow!$B41,'Maturing receivables'!$F:$F,Vertical_Cash_flow!$B$39)</f>
        <v>0</v>
      </c>
      <c r="AP41" s="32">
        <f>SUMIFS('Maturing receivables'!$K:$K,'Maturing receivables'!$S:$S,Vertical_Cash_flow!AM$11,'Maturing receivables'!$J:$J,Vertical_Cash_flow!AP$15,'Maturing receivables'!$A:$A,Vertical_Cash_flow!$F$14,'Maturing receivables'!$G:$G,Vertical_Cash_flow!$B41,'Maturing receivables'!$F:$F,Vertical_Cash_flow!$B$39)</f>
        <v>0</v>
      </c>
      <c r="AQ41" s="195">
        <f t="shared" ref="AQ41:AQ43" si="23">AM41+AN41+AO41/$C$16+AP41/$F$16</f>
        <v>0</v>
      </c>
      <c r="AR41" s="195">
        <f t="shared" si="15"/>
        <v>0</v>
      </c>
      <c r="AS41" s="48">
        <f>SUMIFS('Maturing receivables'!$K:$K,'Maturing receivables'!$S:$S,Vertical_Cash_flow!AS$11,'Maturing receivables'!$J:$J,Vertical_Cash_flow!AS$15,'Maturing receivables'!$A:$A,Vertical_Cash_flow!$C$14,'Maturing receivables'!$G:$G,Vertical_Cash_flow!$B41,'Maturing receivables'!$F:$F,Vertical_Cash_flow!$B$39)</f>
        <v>0</v>
      </c>
      <c r="AT41" s="32">
        <f>SUMIFS('Maturing receivables'!$K:$K,'Maturing receivables'!$S:$S,Vertical_Cash_flow!AS$11,'Maturing receivables'!$J:$J,Vertical_Cash_flow!AT$15,'Maturing receivables'!$A:$A,Vertical_Cash_flow!$D$14,'Maturing receivables'!$G:$G,Vertical_Cash_flow!$B41,'Maturing receivables'!$F:$F,Vertical_Cash_flow!$B$39)</f>
        <v>0</v>
      </c>
      <c r="AU41" s="32">
        <f>SUMIFS('Maturing receivables'!$K:$K,'Maturing receivables'!$S:$S,Vertical_Cash_flow!AS$11,'Maturing receivables'!$J:$J,Vertical_Cash_flow!AU$15,'Maturing receivables'!$A:$A,Vertical_Cash_flow!$E$14,'Maturing receivables'!$G:$G,Vertical_Cash_flow!$B41,'Maturing receivables'!$F:$F,Vertical_Cash_flow!$B$39)</f>
        <v>0</v>
      </c>
      <c r="AV41" s="32">
        <f>SUMIFS('Maturing receivables'!$K:$K,'Maturing receivables'!$S:$S,Vertical_Cash_flow!AS$11,'Maturing receivables'!$J:$J,Vertical_Cash_flow!AV$15,'Maturing receivables'!$A:$A,Vertical_Cash_flow!$F$14,'Maturing receivables'!$G:$G,Vertical_Cash_flow!$B41,'Maturing receivables'!$F:$F,Vertical_Cash_flow!$B$39)</f>
        <v>0</v>
      </c>
      <c r="AW41" s="195">
        <f t="shared" ref="AW41:AW43" si="24">AS41+AT41+AU41/$C$16+AV41/$F$16</f>
        <v>0</v>
      </c>
      <c r="AX41" s="195">
        <f t="shared" si="16"/>
        <v>0</v>
      </c>
      <c r="AZ41" s="195">
        <f>SUM(G41,S41,Y41,AE41,AK41,AQ41,AW41,M41)</f>
        <v>0</v>
      </c>
    </row>
    <row r="42" spans="1:52" outlineLevel="2" x14ac:dyDescent="0.2">
      <c r="A42" s="655"/>
      <c r="B42" s="183" t="s">
        <v>49</v>
      </c>
      <c r="C42" s="48">
        <f>SUMIFS('Maturing receivables'!$K:$K,'Maturing receivables'!$S:$S,Vertical_Cash_flow!C$11,'Maturing receivables'!$J:$J,Vertical_Cash_flow!C$15,'Maturing receivables'!$A:$A,Vertical_Cash_flow!$C$14,'Maturing receivables'!$G:$G,Vertical_Cash_flow!$B42,'Maturing receivables'!$F:$F,Vertical_Cash_flow!$B$39)</f>
        <v>0</v>
      </c>
      <c r="D42" s="32">
        <f>SUMIFS('Maturing receivables'!$K:$K,'Maturing receivables'!$S:$S,Vertical_Cash_flow!C$11,'Maturing receivables'!$J:$J,Vertical_Cash_flow!D$15,'Maturing receivables'!$A:$A,Vertical_Cash_flow!$D$14,'Maturing receivables'!$G:$G,Vertical_Cash_flow!$B42,'Maturing receivables'!$F:$F,Vertical_Cash_flow!$B$39)</f>
        <v>0</v>
      </c>
      <c r="E42" s="32">
        <f>SUMIFS('Maturing receivables'!$K:$K,'Maturing receivables'!$S:$S,Vertical_Cash_flow!C$11,'Maturing receivables'!$J:$J,Vertical_Cash_flow!E$15,'Maturing receivables'!$A:$A,Vertical_Cash_flow!$E$14,'Maturing receivables'!$G:$G,Vertical_Cash_flow!$B42,'Maturing receivables'!$F:$F,Vertical_Cash_flow!$B$39)</f>
        <v>0</v>
      </c>
      <c r="F42" s="32">
        <f>SUMIFS('Maturing receivables'!$K:$K,'Maturing receivables'!$S:$S,Vertical_Cash_flow!C$11,'Maturing receivables'!$J:$J,Vertical_Cash_flow!F$15,'Maturing receivables'!$A:$A,Vertical_Cash_flow!$F$14,'Maturing receivables'!$G:$G,Vertical_Cash_flow!$B42,'Maturing receivables'!$F:$F,Vertical_Cash_flow!$B$39)</f>
        <v>0</v>
      </c>
      <c r="G42" s="195">
        <f t="shared" si="17"/>
        <v>0</v>
      </c>
      <c r="H42" s="195">
        <f t="shared" si="9"/>
        <v>0</v>
      </c>
      <c r="I42" s="48">
        <f>SUMIFS('Maturing receivables'!$K:$K,'Maturing receivables'!$S:$S,Vertical_Cash_flow!I$11,'Maturing receivables'!$J:$J,Vertical_Cash_flow!I$15,'Maturing receivables'!$A:$A,Vertical_Cash_flow!$C$14,'Maturing receivables'!$G:$G,Vertical_Cash_flow!$B42,'Maturing receivables'!$F:$F,Vertical_Cash_flow!$B$39)</f>
        <v>0</v>
      </c>
      <c r="J42" s="32">
        <f>SUMIFS('Maturing receivables'!$K:$K,'Maturing receivables'!$S:$S,Vertical_Cash_flow!I$11,'Maturing receivables'!$J:$J,Vertical_Cash_flow!J$15,'Maturing receivables'!$A:$A,Vertical_Cash_flow!$D$14,'Maturing receivables'!$G:$G,Vertical_Cash_flow!$B42,'Maturing receivables'!$F:$F,Vertical_Cash_flow!$B$39)</f>
        <v>0</v>
      </c>
      <c r="K42" s="32">
        <f>SUMIFS('Maturing receivables'!$K:$K,'Maturing receivables'!$S:$S,Vertical_Cash_flow!I$11,'Maturing receivables'!$J:$J,Vertical_Cash_flow!K$15,'Maturing receivables'!$A:$A,Vertical_Cash_flow!$E$14,'Maturing receivables'!$G:$G,Vertical_Cash_flow!$B42,'Maturing receivables'!$F:$F,Vertical_Cash_flow!$B$39)</f>
        <v>0</v>
      </c>
      <c r="L42" s="32">
        <f>SUMIFS('Maturing receivables'!$K:$K,'Maturing receivables'!$S:$S,Vertical_Cash_flow!I$11,'Maturing receivables'!$J:$J,Vertical_Cash_flow!L$15,'Maturing receivables'!$A:$A,Vertical_Cash_flow!$F$14,'Maturing receivables'!$G:$G,Vertical_Cash_flow!$B42,'Maturing receivables'!$F:$F,Vertical_Cash_flow!$B$39)</f>
        <v>0</v>
      </c>
      <c r="M42" s="195">
        <f t="shared" si="18"/>
        <v>0</v>
      </c>
      <c r="N42" s="195">
        <f t="shared" si="10"/>
        <v>0</v>
      </c>
      <c r="O42" s="48">
        <f>SUMIFS('Maturing receivables'!$K:$K,'Maturing receivables'!$S:$S,Vertical_Cash_flow!O$11,'Maturing receivables'!$J:$J,Vertical_Cash_flow!O$15,'Maturing receivables'!$A:$A,Vertical_Cash_flow!$C$14,'Maturing receivables'!$G:$G,Vertical_Cash_flow!$B42,'Maturing receivables'!$F:$F,Vertical_Cash_flow!$B$39)</f>
        <v>0</v>
      </c>
      <c r="P42" s="32">
        <f>SUMIFS('Maturing receivables'!$K:$K,'Maturing receivables'!$S:$S,Vertical_Cash_flow!O$11,'Maturing receivables'!$J:$J,Vertical_Cash_flow!P$15,'Maturing receivables'!$A:$A,Vertical_Cash_flow!$D$14,'Maturing receivables'!$G:$G,Vertical_Cash_flow!$B42,'Maturing receivables'!$F:$F,Vertical_Cash_flow!$B$39)</f>
        <v>0</v>
      </c>
      <c r="Q42" s="32">
        <f>SUMIFS('Maturing receivables'!$K:$K,'Maturing receivables'!$S:$S,Vertical_Cash_flow!O$11,'Maturing receivables'!$J:$J,Vertical_Cash_flow!Q$15,'Maturing receivables'!$A:$A,Vertical_Cash_flow!$E$14,'Maturing receivables'!$G:$G,Vertical_Cash_flow!$B42,'Maturing receivables'!$F:$F,Vertical_Cash_flow!$B$39)</f>
        <v>0</v>
      </c>
      <c r="R42" s="32">
        <f>SUMIFS('Maturing receivables'!$K:$K,'Maturing receivables'!$S:$S,Vertical_Cash_flow!O$11,'Maturing receivables'!$J:$J,Vertical_Cash_flow!R$15,'Maturing receivables'!$A:$A,Vertical_Cash_flow!$F$14,'Maturing receivables'!$G:$G,Vertical_Cash_flow!$B42,'Maturing receivables'!$F:$F,Vertical_Cash_flow!$B$39)</f>
        <v>0</v>
      </c>
      <c r="S42" s="195">
        <f t="shared" si="19"/>
        <v>0</v>
      </c>
      <c r="T42" s="195">
        <f t="shared" si="11"/>
        <v>0</v>
      </c>
      <c r="U42" s="48">
        <f>SUMIFS('Maturing receivables'!$K:$K,'Maturing receivables'!$S:$S,Vertical_Cash_flow!U$11,'Maturing receivables'!$J:$J,Vertical_Cash_flow!U$15,'Maturing receivables'!$A:$A,Vertical_Cash_flow!$C$14,'Maturing receivables'!$G:$G,Vertical_Cash_flow!$B42,'Maturing receivables'!$F:$F,Vertical_Cash_flow!$B$39)</f>
        <v>0</v>
      </c>
      <c r="V42" s="32">
        <f>SUMIFS('Maturing receivables'!$K:$K,'Maturing receivables'!$S:$S,Vertical_Cash_flow!U$11,'Maturing receivables'!$J:$J,Vertical_Cash_flow!V$15,'Maturing receivables'!$A:$A,Vertical_Cash_flow!$D$14,'Maturing receivables'!$G:$G,Vertical_Cash_flow!$B42,'Maturing receivables'!$F:$F,Vertical_Cash_flow!$B$39)</f>
        <v>0</v>
      </c>
      <c r="W42" s="32">
        <f>SUMIFS('Maturing receivables'!$K:$K,'Maturing receivables'!$S:$S,Vertical_Cash_flow!U$11,'Maturing receivables'!$J:$J,Vertical_Cash_flow!W$15,'Maturing receivables'!$A:$A,Vertical_Cash_flow!$E$14,'Maturing receivables'!$G:$G,Vertical_Cash_flow!$B42,'Maturing receivables'!$F:$F,Vertical_Cash_flow!$B$39)</f>
        <v>0</v>
      </c>
      <c r="X42" s="32">
        <f>SUMIFS('Maturing receivables'!$K:$K,'Maturing receivables'!$S:$S,Vertical_Cash_flow!U$11,'Maturing receivables'!$J:$J,Vertical_Cash_flow!X$15,'Maturing receivables'!$A:$A,Vertical_Cash_flow!$F$14,'Maturing receivables'!$G:$G,Vertical_Cash_flow!$B42,'Maturing receivables'!$F:$F,Vertical_Cash_flow!$B$39)</f>
        <v>0</v>
      </c>
      <c r="Y42" s="195">
        <f t="shared" si="20"/>
        <v>0</v>
      </c>
      <c r="Z42" s="195">
        <f t="shared" si="12"/>
        <v>0</v>
      </c>
      <c r="AA42" s="48">
        <f>SUMIFS('Maturing receivables'!$K:$K,'Maturing receivables'!$S:$S,Vertical_Cash_flow!AA$11,'Maturing receivables'!$J:$J,Vertical_Cash_flow!AA$15,'Maturing receivables'!$A:$A,Vertical_Cash_flow!$C$14,'Maturing receivables'!$G:$G,Vertical_Cash_flow!$B42,'Maturing receivables'!$F:$F,Vertical_Cash_flow!$B$39)</f>
        <v>0</v>
      </c>
      <c r="AB42" s="32">
        <f>SUMIFS('Maturing receivables'!$K:$K,'Maturing receivables'!$S:$S,Vertical_Cash_flow!AA$11,'Maturing receivables'!$J:$J,Vertical_Cash_flow!AB$15,'Maturing receivables'!$A:$A,Vertical_Cash_flow!$D$14,'Maturing receivables'!$G:$G,Vertical_Cash_flow!$B42,'Maturing receivables'!$F:$F,Vertical_Cash_flow!$B$39)</f>
        <v>0</v>
      </c>
      <c r="AC42" s="32">
        <f>SUMIFS('Maturing receivables'!$K:$K,'Maturing receivables'!$S:$S,Vertical_Cash_flow!AA$11,'Maturing receivables'!$J:$J,Vertical_Cash_flow!AC$15,'Maturing receivables'!$A:$A,Vertical_Cash_flow!$E$14,'Maturing receivables'!$G:$G,Vertical_Cash_flow!$B42,'Maturing receivables'!$F:$F,Vertical_Cash_flow!$B$39)</f>
        <v>0</v>
      </c>
      <c r="AD42" s="32">
        <f>SUMIFS('Maturing receivables'!$K:$K,'Maturing receivables'!$S:$S,Vertical_Cash_flow!AA$11,'Maturing receivables'!$J:$J,Vertical_Cash_flow!AD$15,'Maturing receivables'!$A:$A,Vertical_Cash_flow!$F$14,'Maturing receivables'!$G:$G,Vertical_Cash_flow!$B42,'Maturing receivables'!$F:$F,Vertical_Cash_flow!$B$39)</f>
        <v>0</v>
      </c>
      <c r="AE42" s="195">
        <f t="shared" si="21"/>
        <v>0</v>
      </c>
      <c r="AF42" s="195">
        <f t="shared" si="13"/>
        <v>0</v>
      </c>
      <c r="AG42" s="48">
        <f>SUMIFS('Maturing receivables'!$K:$K,'Maturing receivables'!$S:$S,Vertical_Cash_flow!AG$11,'Maturing receivables'!$J:$J,Vertical_Cash_flow!AG$15,'Maturing receivables'!$A:$A,Vertical_Cash_flow!$C$14,'Maturing receivables'!$G:$G,Vertical_Cash_flow!$B42,'Maturing receivables'!$F:$F,Vertical_Cash_flow!$B$39)</f>
        <v>0</v>
      </c>
      <c r="AH42" s="32">
        <f>SUMIFS('Maturing receivables'!$K:$K,'Maturing receivables'!$S:$S,Vertical_Cash_flow!AG$11,'Maturing receivables'!$J:$J,Vertical_Cash_flow!AH$15,'Maturing receivables'!$A:$A,Vertical_Cash_flow!$D$14,'Maturing receivables'!$G:$G,Vertical_Cash_flow!$B42,'Maturing receivables'!$F:$F,Vertical_Cash_flow!$B$39)</f>
        <v>0</v>
      </c>
      <c r="AI42" s="32">
        <f>SUMIFS('Maturing receivables'!$K:$K,'Maturing receivables'!$S:$S,Vertical_Cash_flow!AG$11,'Maturing receivables'!$J:$J,Vertical_Cash_flow!AI$15,'Maturing receivables'!$A:$A,Vertical_Cash_flow!$E$14,'Maturing receivables'!$G:$G,Vertical_Cash_flow!$B42,'Maturing receivables'!$F:$F,Vertical_Cash_flow!$B$39)</f>
        <v>0</v>
      </c>
      <c r="AJ42" s="32">
        <f>SUMIFS('Maturing receivables'!$K:$K,'Maturing receivables'!$S:$S,Vertical_Cash_flow!AG$11,'Maturing receivables'!$J:$J,Vertical_Cash_flow!AJ$15,'Maturing receivables'!$A:$A,Vertical_Cash_flow!$F$14,'Maturing receivables'!$G:$G,Vertical_Cash_flow!$B42,'Maturing receivables'!$F:$F,Vertical_Cash_flow!$B$39)</f>
        <v>0</v>
      </c>
      <c r="AK42" s="195">
        <f t="shared" si="22"/>
        <v>0</v>
      </c>
      <c r="AL42" s="195">
        <f t="shared" si="14"/>
        <v>0</v>
      </c>
      <c r="AM42" s="48">
        <f>SUMIFS('Maturing receivables'!$K:$K,'Maturing receivables'!$S:$S,Vertical_Cash_flow!AM$11,'Maturing receivables'!$J:$J,Vertical_Cash_flow!AM$15,'Maturing receivables'!$A:$A,Vertical_Cash_flow!$C$14,'Maturing receivables'!$G:$G,Vertical_Cash_flow!$B42,'Maturing receivables'!$F:$F,Vertical_Cash_flow!$B$39)</f>
        <v>0</v>
      </c>
      <c r="AN42" s="32">
        <f>SUMIFS('Maturing receivables'!$K:$K,'Maturing receivables'!$S:$S,Vertical_Cash_flow!AM$11,'Maturing receivables'!$J:$J,Vertical_Cash_flow!AN$15,'Maturing receivables'!$A:$A,Vertical_Cash_flow!$D$14,'Maturing receivables'!$G:$G,Vertical_Cash_flow!$B42,'Maturing receivables'!$F:$F,Vertical_Cash_flow!$B$39)</f>
        <v>0</v>
      </c>
      <c r="AO42" s="32">
        <f>SUMIFS('Maturing receivables'!$K:$K,'Maturing receivables'!$S:$S,Vertical_Cash_flow!AM$11,'Maturing receivables'!$J:$J,Vertical_Cash_flow!AO$15,'Maturing receivables'!$A:$A,Vertical_Cash_flow!$E$14,'Maturing receivables'!$G:$G,Vertical_Cash_flow!$B42,'Maturing receivables'!$F:$F,Vertical_Cash_flow!$B$39)</f>
        <v>0</v>
      </c>
      <c r="AP42" s="32">
        <f>SUMIFS('Maturing receivables'!$K:$K,'Maturing receivables'!$S:$S,Vertical_Cash_flow!AM$11,'Maturing receivables'!$J:$J,Vertical_Cash_flow!AP$15,'Maturing receivables'!$A:$A,Vertical_Cash_flow!$F$14,'Maturing receivables'!$G:$G,Vertical_Cash_flow!$B42,'Maturing receivables'!$F:$F,Vertical_Cash_flow!$B$39)</f>
        <v>0</v>
      </c>
      <c r="AQ42" s="195">
        <f t="shared" si="23"/>
        <v>0</v>
      </c>
      <c r="AR42" s="195">
        <f t="shared" si="15"/>
        <v>0</v>
      </c>
      <c r="AS42" s="48">
        <f>SUMIFS('Maturing receivables'!$K:$K,'Maturing receivables'!$S:$S,Vertical_Cash_flow!AS$11,'Maturing receivables'!$J:$J,Vertical_Cash_flow!AS$15,'Maturing receivables'!$A:$A,Vertical_Cash_flow!$C$14,'Maturing receivables'!$G:$G,Vertical_Cash_flow!$B42,'Maturing receivables'!$F:$F,Vertical_Cash_flow!$B$39)</f>
        <v>0</v>
      </c>
      <c r="AT42" s="32">
        <f>SUMIFS('Maturing receivables'!$K:$K,'Maturing receivables'!$S:$S,Vertical_Cash_flow!AS$11,'Maturing receivables'!$J:$J,Vertical_Cash_flow!AT$15,'Maturing receivables'!$A:$A,Vertical_Cash_flow!$D$14,'Maturing receivables'!$G:$G,Vertical_Cash_flow!$B42,'Maturing receivables'!$F:$F,Vertical_Cash_flow!$B$39)</f>
        <v>0</v>
      </c>
      <c r="AU42" s="32">
        <f>SUMIFS('Maturing receivables'!$K:$K,'Maturing receivables'!$S:$S,Vertical_Cash_flow!AS$11,'Maturing receivables'!$J:$J,Vertical_Cash_flow!AU$15,'Maturing receivables'!$A:$A,Vertical_Cash_flow!$E$14,'Maturing receivables'!$G:$G,Vertical_Cash_flow!$B42,'Maturing receivables'!$F:$F,Vertical_Cash_flow!$B$39)</f>
        <v>0</v>
      </c>
      <c r="AV42" s="32">
        <f>SUMIFS('Maturing receivables'!$K:$K,'Maturing receivables'!$S:$S,Vertical_Cash_flow!AS$11,'Maturing receivables'!$J:$J,Vertical_Cash_flow!AV$15,'Maturing receivables'!$A:$A,Vertical_Cash_flow!$F$14,'Maturing receivables'!$G:$G,Vertical_Cash_flow!$B42,'Maturing receivables'!$F:$F,Vertical_Cash_flow!$B$39)</f>
        <v>0</v>
      </c>
      <c r="AW42" s="195">
        <f t="shared" si="24"/>
        <v>0</v>
      </c>
      <c r="AX42" s="195">
        <f t="shared" si="16"/>
        <v>0</v>
      </c>
      <c r="AZ42" s="195">
        <f>SUM(G42,S42,Y42,AE42,AK42,AQ42,AW42,M42)</f>
        <v>0</v>
      </c>
    </row>
    <row r="43" spans="1:52" outlineLevel="2" x14ac:dyDescent="0.2">
      <c r="A43" s="655"/>
      <c r="B43" s="183" t="s">
        <v>50</v>
      </c>
      <c r="C43" s="48">
        <f>SUMIFS('Maturing receivables'!$K:$K,'Maturing receivables'!$S:$S,Vertical_Cash_flow!C$11,'Maturing receivables'!$J:$J,Vertical_Cash_flow!C$15,'Maturing receivables'!$A:$A,Vertical_Cash_flow!$C$14,'Maturing receivables'!$G:$G,Vertical_Cash_flow!$B43,'Maturing receivables'!$F:$F,Vertical_Cash_flow!$B$39)</f>
        <v>0</v>
      </c>
      <c r="D43" s="32">
        <f>SUMIFS('Maturing receivables'!$K:$K,'Maturing receivables'!$S:$S,Vertical_Cash_flow!C$11,'Maturing receivables'!$J:$J,Vertical_Cash_flow!D$15,'Maturing receivables'!$A:$A,Vertical_Cash_flow!$D$14,'Maturing receivables'!$G:$G,Vertical_Cash_flow!$B43,'Maturing receivables'!$F:$F,Vertical_Cash_flow!$B$39)</f>
        <v>0</v>
      </c>
      <c r="E43" s="32">
        <f>SUMIFS('Maturing receivables'!$K:$K,'Maturing receivables'!$S:$S,Vertical_Cash_flow!C$11,'Maturing receivables'!$J:$J,Vertical_Cash_flow!E$15,'Maturing receivables'!$A:$A,Vertical_Cash_flow!$E$14,'Maturing receivables'!$G:$G,Vertical_Cash_flow!$B43,'Maturing receivables'!$F:$F,Vertical_Cash_flow!$B$39)</f>
        <v>0</v>
      </c>
      <c r="F43" s="32">
        <f>SUMIFS('Maturing receivables'!$K:$K,'Maturing receivables'!$S:$S,Vertical_Cash_flow!C$11,'Maturing receivables'!$J:$J,Vertical_Cash_flow!F$15,'Maturing receivables'!$A:$A,Vertical_Cash_flow!$F$14,'Maturing receivables'!$G:$G,Vertical_Cash_flow!$B43,'Maturing receivables'!$F:$F,Vertical_Cash_flow!$B$39)</f>
        <v>0</v>
      </c>
      <c r="G43" s="195">
        <f t="shared" si="17"/>
        <v>0</v>
      </c>
      <c r="H43" s="195">
        <f t="shared" si="9"/>
        <v>0</v>
      </c>
      <c r="I43" s="48">
        <f>SUMIFS('Maturing receivables'!$K:$K,'Maturing receivables'!$S:$S,Vertical_Cash_flow!I$11,'Maturing receivables'!$J:$J,Vertical_Cash_flow!I$15,'Maturing receivables'!$A:$A,Vertical_Cash_flow!$C$14,'Maturing receivables'!$G:$G,Vertical_Cash_flow!$B43,'Maturing receivables'!$F:$F,Vertical_Cash_flow!$B$39)</f>
        <v>0</v>
      </c>
      <c r="J43" s="32">
        <f>SUMIFS('Maturing receivables'!$K:$K,'Maturing receivables'!$S:$S,Vertical_Cash_flow!I$11,'Maturing receivables'!$J:$J,Vertical_Cash_flow!J$15,'Maturing receivables'!$A:$A,Vertical_Cash_flow!$D$14,'Maturing receivables'!$G:$G,Vertical_Cash_flow!$B43,'Maturing receivables'!$F:$F,Vertical_Cash_flow!$B$39)</f>
        <v>0</v>
      </c>
      <c r="K43" s="32">
        <f>SUMIFS('Maturing receivables'!$K:$K,'Maturing receivables'!$S:$S,Vertical_Cash_flow!I$11,'Maturing receivables'!$J:$J,Vertical_Cash_flow!K$15,'Maturing receivables'!$A:$A,Vertical_Cash_flow!$E$14,'Maturing receivables'!$G:$G,Vertical_Cash_flow!$B43,'Maturing receivables'!$F:$F,Vertical_Cash_flow!$B$39)</f>
        <v>0</v>
      </c>
      <c r="L43" s="32">
        <f>SUMIFS('Maturing receivables'!$K:$K,'Maturing receivables'!$S:$S,Vertical_Cash_flow!I$11,'Maturing receivables'!$J:$J,Vertical_Cash_flow!L$15,'Maturing receivables'!$A:$A,Vertical_Cash_flow!$F$14,'Maturing receivables'!$G:$G,Vertical_Cash_flow!$B43,'Maturing receivables'!$F:$F,Vertical_Cash_flow!$B$39)</f>
        <v>0</v>
      </c>
      <c r="M43" s="195">
        <f t="shared" si="18"/>
        <v>0</v>
      </c>
      <c r="N43" s="195">
        <f t="shared" si="10"/>
        <v>0</v>
      </c>
      <c r="O43" s="48">
        <f>SUMIFS('Maturing receivables'!$K:$K,'Maturing receivables'!$S:$S,Vertical_Cash_flow!O$11,'Maturing receivables'!$J:$J,Vertical_Cash_flow!O$15,'Maturing receivables'!$A:$A,Vertical_Cash_flow!$C$14,'Maturing receivables'!$G:$G,Vertical_Cash_flow!$B43,'Maturing receivables'!$F:$F,Vertical_Cash_flow!$B$39)</f>
        <v>0</v>
      </c>
      <c r="P43" s="32">
        <f>SUMIFS('Maturing receivables'!$K:$K,'Maturing receivables'!$S:$S,Vertical_Cash_flow!O$11,'Maturing receivables'!$J:$J,Vertical_Cash_flow!P$15,'Maturing receivables'!$A:$A,Vertical_Cash_flow!$D$14,'Maturing receivables'!$G:$G,Vertical_Cash_flow!$B43,'Maturing receivables'!$F:$F,Vertical_Cash_flow!$B$39)</f>
        <v>0</v>
      </c>
      <c r="Q43" s="32">
        <f>SUMIFS('Maturing receivables'!$K:$K,'Maturing receivables'!$S:$S,Vertical_Cash_flow!O$11,'Maturing receivables'!$J:$J,Vertical_Cash_flow!Q$15,'Maturing receivables'!$A:$A,Vertical_Cash_flow!$E$14,'Maturing receivables'!$G:$G,Vertical_Cash_flow!$B43,'Maturing receivables'!$F:$F,Vertical_Cash_flow!$B$39)</f>
        <v>0</v>
      </c>
      <c r="R43" s="32">
        <f>SUMIFS('Maturing receivables'!$K:$K,'Maturing receivables'!$S:$S,Vertical_Cash_flow!O$11,'Maturing receivables'!$J:$J,Vertical_Cash_flow!R$15,'Maturing receivables'!$A:$A,Vertical_Cash_flow!$F$14,'Maturing receivables'!$G:$G,Vertical_Cash_flow!$B43,'Maturing receivables'!$F:$F,Vertical_Cash_flow!$B$39)</f>
        <v>0</v>
      </c>
      <c r="S43" s="195">
        <f t="shared" si="19"/>
        <v>0</v>
      </c>
      <c r="T43" s="195">
        <f t="shared" si="11"/>
        <v>0</v>
      </c>
      <c r="U43" s="48">
        <f>SUMIFS('Maturing receivables'!$K:$K,'Maturing receivables'!$S:$S,Vertical_Cash_flow!U$11,'Maturing receivables'!$J:$J,Vertical_Cash_flow!U$15,'Maturing receivables'!$A:$A,Vertical_Cash_flow!$C$14,'Maturing receivables'!$G:$G,Vertical_Cash_flow!$B43,'Maturing receivables'!$F:$F,Vertical_Cash_flow!$B$39)</f>
        <v>0</v>
      </c>
      <c r="V43" s="32">
        <f>SUMIFS('Maturing receivables'!$K:$K,'Maturing receivables'!$S:$S,Vertical_Cash_flow!U$11,'Maturing receivables'!$J:$J,Vertical_Cash_flow!V$15,'Maturing receivables'!$A:$A,Vertical_Cash_flow!$D$14,'Maturing receivables'!$G:$G,Vertical_Cash_flow!$B43,'Maturing receivables'!$F:$F,Vertical_Cash_flow!$B$39)</f>
        <v>0</v>
      </c>
      <c r="W43" s="32">
        <f>SUMIFS('Maturing receivables'!$K:$K,'Maturing receivables'!$S:$S,Vertical_Cash_flow!U$11,'Maturing receivables'!$J:$J,Vertical_Cash_flow!W$15,'Maturing receivables'!$A:$A,Vertical_Cash_flow!$E$14,'Maturing receivables'!$G:$G,Vertical_Cash_flow!$B43,'Maturing receivables'!$F:$F,Vertical_Cash_flow!$B$39)</f>
        <v>0</v>
      </c>
      <c r="X43" s="32">
        <f>SUMIFS('Maturing receivables'!$K:$K,'Maturing receivables'!$S:$S,Vertical_Cash_flow!U$11,'Maturing receivables'!$J:$J,Vertical_Cash_flow!X$15,'Maturing receivables'!$A:$A,Vertical_Cash_flow!$F$14,'Maturing receivables'!$G:$G,Vertical_Cash_flow!$B43,'Maturing receivables'!$F:$F,Vertical_Cash_flow!$B$39)</f>
        <v>0</v>
      </c>
      <c r="Y43" s="195">
        <f t="shared" si="20"/>
        <v>0</v>
      </c>
      <c r="Z43" s="195">
        <f t="shared" si="12"/>
        <v>0</v>
      </c>
      <c r="AA43" s="48">
        <f>SUMIFS('Maturing receivables'!$K:$K,'Maturing receivables'!$S:$S,Vertical_Cash_flow!AA$11,'Maturing receivables'!$J:$J,Vertical_Cash_flow!AA$15,'Maturing receivables'!$A:$A,Vertical_Cash_flow!$C$14,'Maturing receivables'!$G:$G,Vertical_Cash_flow!$B43,'Maturing receivables'!$F:$F,Vertical_Cash_flow!$B$39)</f>
        <v>0</v>
      </c>
      <c r="AB43" s="32">
        <f>SUMIFS('Maturing receivables'!$K:$K,'Maturing receivables'!$S:$S,Vertical_Cash_flow!AA$11,'Maturing receivables'!$J:$J,Vertical_Cash_flow!AB$15,'Maturing receivables'!$A:$A,Vertical_Cash_flow!$D$14,'Maturing receivables'!$G:$G,Vertical_Cash_flow!$B43,'Maturing receivables'!$F:$F,Vertical_Cash_flow!$B$39)</f>
        <v>0</v>
      </c>
      <c r="AC43" s="32">
        <f>SUMIFS('Maturing receivables'!$K:$K,'Maturing receivables'!$S:$S,Vertical_Cash_flow!AA$11,'Maturing receivables'!$J:$J,Vertical_Cash_flow!AC$15,'Maturing receivables'!$A:$A,Vertical_Cash_flow!$E$14,'Maturing receivables'!$G:$G,Vertical_Cash_flow!$B43,'Maturing receivables'!$F:$F,Vertical_Cash_flow!$B$39)</f>
        <v>0</v>
      </c>
      <c r="AD43" s="32">
        <f>SUMIFS('Maturing receivables'!$K:$K,'Maturing receivables'!$S:$S,Vertical_Cash_flow!AA$11,'Maturing receivables'!$J:$J,Vertical_Cash_flow!AD$15,'Maturing receivables'!$A:$A,Vertical_Cash_flow!$F$14,'Maturing receivables'!$G:$G,Vertical_Cash_flow!$B43,'Maturing receivables'!$F:$F,Vertical_Cash_flow!$B$39)</f>
        <v>0</v>
      </c>
      <c r="AE43" s="195">
        <f t="shared" si="21"/>
        <v>0</v>
      </c>
      <c r="AF43" s="195">
        <f t="shared" si="13"/>
        <v>0</v>
      </c>
      <c r="AG43" s="48">
        <f>SUMIFS('Maturing receivables'!$K:$K,'Maturing receivables'!$S:$S,Vertical_Cash_flow!AG$11,'Maturing receivables'!$J:$J,Vertical_Cash_flow!AG$15,'Maturing receivables'!$A:$A,Vertical_Cash_flow!$C$14,'Maturing receivables'!$G:$G,Vertical_Cash_flow!$B43,'Maturing receivables'!$F:$F,Vertical_Cash_flow!$B$39)</f>
        <v>0</v>
      </c>
      <c r="AH43" s="32">
        <f>SUMIFS('Maturing receivables'!$K:$K,'Maturing receivables'!$S:$S,Vertical_Cash_flow!AG$11,'Maturing receivables'!$J:$J,Vertical_Cash_flow!AH$15,'Maturing receivables'!$A:$A,Vertical_Cash_flow!$D$14,'Maturing receivables'!$G:$G,Vertical_Cash_flow!$B43,'Maturing receivables'!$F:$F,Vertical_Cash_flow!$B$39)</f>
        <v>0</v>
      </c>
      <c r="AI43" s="32">
        <f>SUMIFS('Maturing receivables'!$K:$K,'Maturing receivables'!$S:$S,Vertical_Cash_flow!AG$11,'Maturing receivables'!$J:$J,Vertical_Cash_flow!AI$15,'Maturing receivables'!$A:$A,Vertical_Cash_flow!$E$14,'Maturing receivables'!$G:$G,Vertical_Cash_flow!$B43,'Maturing receivables'!$F:$F,Vertical_Cash_flow!$B$39)</f>
        <v>0</v>
      </c>
      <c r="AJ43" s="32">
        <f>SUMIFS('Maturing receivables'!$K:$K,'Maturing receivables'!$S:$S,Vertical_Cash_flow!AG$11,'Maturing receivables'!$J:$J,Vertical_Cash_flow!AJ$15,'Maturing receivables'!$A:$A,Vertical_Cash_flow!$F$14,'Maturing receivables'!$G:$G,Vertical_Cash_flow!$B43,'Maturing receivables'!$F:$F,Vertical_Cash_flow!$B$39)</f>
        <v>0</v>
      </c>
      <c r="AK43" s="195">
        <f t="shared" si="22"/>
        <v>0</v>
      </c>
      <c r="AL43" s="195">
        <f t="shared" si="14"/>
        <v>0</v>
      </c>
      <c r="AM43" s="48">
        <f>SUMIFS('Maturing receivables'!$K:$K,'Maturing receivables'!$S:$S,Vertical_Cash_flow!AM$11,'Maturing receivables'!$J:$J,Vertical_Cash_flow!AM$15,'Maturing receivables'!$A:$A,Vertical_Cash_flow!$C$14,'Maturing receivables'!$G:$G,Vertical_Cash_flow!$B43,'Maturing receivables'!$F:$F,Vertical_Cash_flow!$B$39)</f>
        <v>0</v>
      </c>
      <c r="AN43" s="32">
        <f>SUMIFS('Maturing receivables'!$K:$K,'Maturing receivables'!$S:$S,Vertical_Cash_flow!AM$11,'Maturing receivables'!$J:$J,Vertical_Cash_flow!AN$15,'Maturing receivables'!$A:$A,Vertical_Cash_flow!$D$14,'Maturing receivables'!$G:$G,Vertical_Cash_flow!$B43,'Maturing receivables'!$F:$F,Vertical_Cash_flow!$B$39)</f>
        <v>0</v>
      </c>
      <c r="AO43" s="32">
        <f>SUMIFS('Maturing receivables'!$K:$K,'Maturing receivables'!$S:$S,Vertical_Cash_flow!AM$11,'Maturing receivables'!$J:$J,Vertical_Cash_flow!AO$15,'Maturing receivables'!$A:$A,Vertical_Cash_flow!$E$14,'Maturing receivables'!$G:$G,Vertical_Cash_flow!$B43,'Maturing receivables'!$F:$F,Vertical_Cash_flow!$B$39)</f>
        <v>0</v>
      </c>
      <c r="AP43" s="32">
        <f>SUMIFS('Maturing receivables'!$K:$K,'Maturing receivables'!$S:$S,Vertical_Cash_flow!AM$11,'Maturing receivables'!$J:$J,Vertical_Cash_flow!AP$15,'Maturing receivables'!$A:$A,Vertical_Cash_flow!$F$14,'Maturing receivables'!$G:$G,Vertical_Cash_flow!$B43,'Maturing receivables'!$F:$F,Vertical_Cash_flow!$B$39)</f>
        <v>0</v>
      </c>
      <c r="AQ43" s="195">
        <f t="shared" si="23"/>
        <v>0</v>
      </c>
      <c r="AR43" s="195">
        <f t="shared" si="15"/>
        <v>0</v>
      </c>
      <c r="AS43" s="48">
        <f>SUMIFS('Maturing receivables'!$K:$K,'Maturing receivables'!$S:$S,Vertical_Cash_flow!AS$11,'Maturing receivables'!$J:$J,Vertical_Cash_flow!AS$15,'Maturing receivables'!$A:$A,Vertical_Cash_flow!$C$14,'Maturing receivables'!$G:$G,Vertical_Cash_flow!$B43,'Maturing receivables'!$F:$F,Vertical_Cash_flow!$B$39)</f>
        <v>0</v>
      </c>
      <c r="AT43" s="32">
        <f>SUMIFS('Maturing receivables'!$K:$K,'Maturing receivables'!$S:$S,Vertical_Cash_flow!AS$11,'Maturing receivables'!$J:$J,Vertical_Cash_flow!AT$15,'Maturing receivables'!$A:$A,Vertical_Cash_flow!$D$14,'Maturing receivables'!$G:$G,Vertical_Cash_flow!$B43,'Maturing receivables'!$F:$F,Vertical_Cash_flow!$B$39)</f>
        <v>0</v>
      </c>
      <c r="AU43" s="32">
        <f>SUMIFS('Maturing receivables'!$K:$K,'Maturing receivables'!$S:$S,Vertical_Cash_flow!AS$11,'Maturing receivables'!$J:$J,Vertical_Cash_flow!AU$15,'Maturing receivables'!$A:$A,Vertical_Cash_flow!$E$14,'Maturing receivables'!$G:$G,Vertical_Cash_flow!$B43,'Maturing receivables'!$F:$F,Vertical_Cash_flow!$B$39)</f>
        <v>0</v>
      </c>
      <c r="AV43" s="32">
        <f>SUMIFS('Maturing receivables'!$K:$K,'Maturing receivables'!$S:$S,Vertical_Cash_flow!AS$11,'Maturing receivables'!$J:$J,Vertical_Cash_flow!AV$15,'Maturing receivables'!$A:$A,Vertical_Cash_flow!$F$14,'Maturing receivables'!$G:$G,Vertical_Cash_flow!$B43,'Maturing receivables'!$F:$F,Vertical_Cash_flow!$B$39)</f>
        <v>0</v>
      </c>
      <c r="AW43" s="195">
        <f t="shared" si="24"/>
        <v>0</v>
      </c>
      <c r="AX43" s="195">
        <f t="shared" si="16"/>
        <v>0</v>
      </c>
      <c r="AZ43" s="195">
        <f>SUM(G43,S43,Y43,AE43,AK43,AQ43,AW43,M43)</f>
        <v>0</v>
      </c>
    </row>
    <row r="44" spans="1:52" x14ac:dyDescent="0.2">
      <c r="A44" s="655"/>
      <c r="B44" s="184"/>
      <c r="C44" s="45"/>
      <c r="D44" s="25"/>
      <c r="E44" s="25"/>
      <c r="F44" s="25"/>
      <c r="G44" s="45"/>
      <c r="H44" s="45"/>
      <c r="I44" s="45"/>
      <c r="J44" s="25"/>
      <c r="K44" s="25"/>
      <c r="L44" s="25"/>
      <c r="M44" s="45"/>
      <c r="N44" s="45"/>
      <c r="O44" s="45"/>
      <c r="P44" s="25"/>
      <c r="Q44" s="25"/>
      <c r="R44" s="25"/>
      <c r="S44" s="45"/>
      <c r="T44" s="45"/>
      <c r="U44" s="45"/>
      <c r="V44" s="25"/>
      <c r="W44" s="25"/>
      <c r="X44" s="25"/>
      <c r="Y44" s="45"/>
      <c r="Z44" s="45"/>
      <c r="AA44" s="45"/>
      <c r="AB44" s="25"/>
      <c r="AC44" s="25"/>
      <c r="AD44" s="25"/>
      <c r="AE44" s="45"/>
      <c r="AF44" s="45"/>
      <c r="AG44" s="45"/>
      <c r="AH44" s="25"/>
      <c r="AI44" s="25"/>
      <c r="AJ44" s="25"/>
      <c r="AK44" s="45"/>
      <c r="AL44" s="45"/>
      <c r="AM44" s="45"/>
      <c r="AN44" s="25"/>
      <c r="AO44" s="25"/>
      <c r="AP44" s="25"/>
      <c r="AQ44" s="45"/>
      <c r="AR44" s="45"/>
      <c r="AS44" s="45"/>
      <c r="AT44" s="25"/>
      <c r="AU44" s="25"/>
      <c r="AV44" s="25"/>
      <c r="AW44" s="45"/>
      <c r="AX44" s="45"/>
      <c r="AZ44" s="45"/>
    </row>
    <row r="45" spans="1:52" s="3" customFormat="1" x14ac:dyDescent="0.2">
      <c r="A45" s="655"/>
      <c r="B45" s="182" t="s">
        <v>90</v>
      </c>
      <c r="C45" s="54">
        <f>SUM(C46:C51)</f>
        <v>658353.82899999991</v>
      </c>
      <c r="D45" s="31">
        <f t="shared" ref="D45:F45" si="25">SUM(D46:D51)</f>
        <v>0</v>
      </c>
      <c r="E45" s="31">
        <f t="shared" si="25"/>
        <v>0</v>
      </c>
      <c r="F45" s="31">
        <f t="shared" si="25"/>
        <v>0</v>
      </c>
      <c r="G45" s="54">
        <f>SUM(G46:G51)</f>
        <v>658353.82899999991</v>
      </c>
      <c r="H45" s="54">
        <f>SUM(H46:H51)</f>
        <v>197506.14869999996</v>
      </c>
      <c r="I45" s="54">
        <f>SUM(I46:I51)</f>
        <v>1050844.3559999997</v>
      </c>
      <c r="J45" s="31">
        <f t="shared" ref="J45:N45" si="26">SUM(J46:J51)</f>
        <v>0</v>
      </c>
      <c r="K45" s="31">
        <f t="shared" si="26"/>
        <v>0</v>
      </c>
      <c r="L45" s="31">
        <f t="shared" si="26"/>
        <v>0</v>
      </c>
      <c r="M45" s="54">
        <f>SUM(M46:M51)</f>
        <v>1050844.3559999997</v>
      </c>
      <c r="N45" s="54">
        <f t="shared" si="26"/>
        <v>315253.3067999999</v>
      </c>
      <c r="O45" s="54">
        <f>SUM(O46:O51)</f>
        <v>411406.84100000007</v>
      </c>
      <c r="P45" s="31">
        <f t="shared" ref="P45:T45" si="27">SUM(P46:P51)</f>
        <v>0</v>
      </c>
      <c r="Q45" s="31">
        <f t="shared" si="27"/>
        <v>0</v>
      </c>
      <c r="R45" s="31">
        <f t="shared" si="27"/>
        <v>0</v>
      </c>
      <c r="S45" s="54">
        <f t="shared" si="27"/>
        <v>411406.84100000007</v>
      </c>
      <c r="T45" s="54">
        <f t="shared" si="27"/>
        <v>123422.05230000001</v>
      </c>
      <c r="U45" s="54">
        <f>SUM(U46:U51)</f>
        <v>642203.0959999999</v>
      </c>
      <c r="V45" s="31">
        <f t="shared" ref="V45:Z45" si="28">SUM(V46:V51)</f>
        <v>0</v>
      </c>
      <c r="W45" s="31">
        <f t="shared" si="28"/>
        <v>0</v>
      </c>
      <c r="X45" s="31">
        <f t="shared" si="28"/>
        <v>0</v>
      </c>
      <c r="Y45" s="54">
        <f t="shared" si="28"/>
        <v>642203.0959999999</v>
      </c>
      <c r="Z45" s="54">
        <f t="shared" si="28"/>
        <v>192660.92879999997</v>
      </c>
      <c r="AA45" s="54">
        <f>SUM(AA46:AA51)</f>
        <v>776832.96399999992</v>
      </c>
      <c r="AB45" s="31">
        <f t="shared" ref="AB45:AF45" si="29">SUM(AB46:AB51)</f>
        <v>0</v>
      </c>
      <c r="AC45" s="31">
        <f t="shared" si="29"/>
        <v>0</v>
      </c>
      <c r="AD45" s="31">
        <f t="shared" si="29"/>
        <v>0</v>
      </c>
      <c r="AE45" s="54">
        <f t="shared" si="29"/>
        <v>776832.96399999992</v>
      </c>
      <c r="AF45" s="54">
        <f t="shared" si="29"/>
        <v>233049.88919999998</v>
      </c>
      <c r="AG45" s="54">
        <f>SUM(AG46:AG51)</f>
        <v>507245.63199999998</v>
      </c>
      <c r="AH45" s="31">
        <f t="shared" ref="AH45:AL45" si="30">SUM(AH46:AH51)</f>
        <v>0</v>
      </c>
      <c r="AI45" s="31">
        <f t="shared" si="30"/>
        <v>0</v>
      </c>
      <c r="AJ45" s="31">
        <f t="shared" si="30"/>
        <v>0</v>
      </c>
      <c r="AK45" s="54">
        <f t="shared" si="30"/>
        <v>507245.63199999998</v>
      </c>
      <c r="AL45" s="54">
        <f t="shared" si="30"/>
        <v>152173.68960000001</v>
      </c>
      <c r="AM45" s="54">
        <f>SUM(AM46:AM51)</f>
        <v>962496.23599999992</v>
      </c>
      <c r="AN45" s="31">
        <f t="shared" ref="AN45:AR45" si="31">SUM(AN46:AN51)</f>
        <v>0</v>
      </c>
      <c r="AO45" s="31">
        <f t="shared" si="31"/>
        <v>0</v>
      </c>
      <c r="AP45" s="31">
        <f t="shared" si="31"/>
        <v>0</v>
      </c>
      <c r="AQ45" s="54">
        <f t="shared" si="31"/>
        <v>962496.23599999992</v>
      </c>
      <c r="AR45" s="54">
        <f t="shared" si="31"/>
        <v>288748.87079999998</v>
      </c>
      <c r="AS45" s="54">
        <f>SUM(AS46:AS51)</f>
        <v>521899.30700000003</v>
      </c>
      <c r="AT45" s="31">
        <f t="shared" ref="AT45:AX45" si="32">SUM(AT46:AT51)</f>
        <v>0</v>
      </c>
      <c r="AU45" s="31">
        <f t="shared" si="32"/>
        <v>0</v>
      </c>
      <c r="AV45" s="31">
        <f t="shared" si="32"/>
        <v>0</v>
      </c>
      <c r="AW45" s="54">
        <f t="shared" si="32"/>
        <v>521899.30700000003</v>
      </c>
      <c r="AX45" s="54">
        <f t="shared" si="32"/>
        <v>156569.79209999999</v>
      </c>
      <c r="AZ45" s="54">
        <f t="shared" ref="AZ45:AZ50" si="33">SUM(G45,S45,Y45,AE45,AK45,AQ45,AW45,M45)</f>
        <v>5531282.260999999</v>
      </c>
    </row>
    <row r="46" spans="1:52" s="38" customFormat="1" x14ac:dyDescent="0.2">
      <c r="A46" s="655"/>
      <c r="B46" s="185" t="s">
        <v>91</v>
      </c>
      <c r="C46" s="125">
        <f>SUMIFS('Maturing receivables'!$K:$K,'Maturing receivables'!$S:$S,Vertical_Cash_flow!C$11,'Maturing receivables'!$J:$J,Vertical_Cash_flow!C$15,'Maturing receivables'!$A:$A,Vertical_Cash_flow!$C$14,'Maturing receivables'!$G:$G,Vertical_Cash_flow!$B46,'Maturing receivables'!$F:$F,Vertical_Cash_flow!$B$45)</f>
        <v>0</v>
      </c>
      <c r="D46" s="32">
        <f>SUMIFS('Maturing receivables'!$K:$K,'Maturing receivables'!$S:$S,Vertical_Cash_flow!C$11,'Maturing receivables'!$J:$J,Vertical_Cash_flow!D$15,'Maturing receivables'!$A:$A,Vertical_Cash_flow!$D$14,'Maturing receivables'!$G:$G,Vertical_Cash_flow!$B46,'Maturing receivables'!$F:$F,Vertical_Cash_flow!$B$45)</f>
        <v>0</v>
      </c>
      <c r="E46" s="32">
        <f>SUMIFS('Maturing receivables'!$K:$K,'Maturing receivables'!$S:$S,Vertical_Cash_flow!C$11,'Maturing receivables'!$J:$J,Vertical_Cash_flow!E$15,'Maturing receivables'!$A:$A,Vertical_Cash_flow!$E$14,'Maturing receivables'!$G:$G,Vertical_Cash_flow!$B46,'Maturing receivables'!$F:$F,Vertical_Cash_flow!$B$45)</f>
        <v>0</v>
      </c>
      <c r="F46" s="32">
        <f>SUMIFS('Maturing receivables'!$K:$K,'Maturing receivables'!$S:$S,Vertical_Cash_flow!C$11,'Maturing receivables'!$J:$J,Vertical_Cash_flow!F$15,'Maturing receivables'!$A:$A,Vertical_Cash_flow!$F$14,'Maturing receivables'!$G:$G,Vertical_Cash_flow!$B46,'Maturing receivables'!$F:$F,Vertical_Cash_flow!$B$45)</f>
        <v>0</v>
      </c>
      <c r="G46" s="195">
        <f>C46+D46+E46/$C$16+F46/$F$16</f>
        <v>0</v>
      </c>
      <c r="H46" s="195">
        <f t="shared" ref="H46:H50" si="34">G46*$C$16</f>
        <v>0</v>
      </c>
      <c r="I46" s="125">
        <f>SUMIFS('Maturing receivables'!$K:$K,'Maturing receivables'!$S:$S,Vertical_Cash_flow!I$11,'Maturing receivables'!$J:$J,Vertical_Cash_flow!I$15,'Maturing receivables'!$A:$A,Vertical_Cash_flow!$C$14,'Maturing receivables'!$G:$G,Vertical_Cash_flow!$B46,'Maturing receivables'!$F:$F,Vertical_Cash_flow!$B$45)</f>
        <v>0</v>
      </c>
      <c r="J46" s="32">
        <f>SUMIFS('Maturing receivables'!$K:$K,'Maturing receivables'!$S:$S,Vertical_Cash_flow!I$11,'Maturing receivables'!$J:$J,Vertical_Cash_flow!J$15,'Maturing receivables'!$A:$A,Vertical_Cash_flow!$D$14,'Maturing receivables'!$G:$G,Vertical_Cash_flow!$B46,'Maturing receivables'!$F:$F,Vertical_Cash_flow!$B$45)</f>
        <v>0</v>
      </c>
      <c r="K46" s="32">
        <f>SUMIFS('Maturing receivables'!$K:$K,'Maturing receivables'!$S:$S,Vertical_Cash_flow!I$11,'Maturing receivables'!$J:$J,Vertical_Cash_flow!K$15,'Maturing receivables'!$A:$A,Vertical_Cash_flow!$E$14,'Maturing receivables'!$G:$G,Vertical_Cash_flow!$B46,'Maturing receivables'!$F:$F,Vertical_Cash_flow!$B$45)</f>
        <v>0</v>
      </c>
      <c r="L46" s="32">
        <f>SUMIFS('Maturing receivables'!$K:$K,'Maturing receivables'!$S:$S,Vertical_Cash_flow!I$11,'Maturing receivables'!$J:$J,Vertical_Cash_flow!L$15,'Maturing receivables'!$A:$A,Vertical_Cash_flow!$F$14,'Maturing receivables'!$G:$G,Vertical_Cash_flow!$B46,'Maturing receivables'!$F:$F,Vertical_Cash_flow!$B$45)</f>
        <v>0</v>
      </c>
      <c r="M46" s="195">
        <f>I46+J46+K46/$C$16+L46/$F$16</f>
        <v>0</v>
      </c>
      <c r="N46" s="195">
        <f t="shared" ref="N46:N50" si="35">M46*$C$16</f>
        <v>0</v>
      </c>
      <c r="O46" s="125">
        <f>SUMIFS('Maturing receivables'!$K:$K,'Maturing receivables'!$S:$S,Vertical_Cash_flow!O$11,'Maturing receivables'!$J:$J,Vertical_Cash_flow!O$15,'Maturing receivables'!$A:$A,Vertical_Cash_flow!$C$14,'Maturing receivables'!$G:$G,Vertical_Cash_flow!$B46,'Maturing receivables'!$F:$F,Vertical_Cash_flow!$B$45)</f>
        <v>0</v>
      </c>
      <c r="P46" s="32">
        <f>SUMIFS('Maturing receivables'!$K:$K,'Maturing receivables'!$S:$S,Vertical_Cash_flow!O$11,'Maturing receivables'!$J:$J,Vertical_Cash_flow!P$15,'Maturing receivables'!$A:$A,Vertical_Cash_flow!$D$14,'Maturing receivables'!$G:$G,Vertical_Cash_flow!$B46,'Maturing receivables'!$F:$F,Vertical_Cash_flow!$B$45)</f>
        <v>0</v>
      </c>
      <c r="Q46" s="32">
        <f>SUMIFS('Maturing receivables'!$K:$K,'Maturing receivables'!$S:$S,Vertical_Cash_flow!O$11,'Maturing receivables'!$J:$J,Vertical_Cash_flow!Q$15,'Maturing receivables'!$A:$A,Vertical_Cash_flow!$E$14,'Maturing receivables'!$G:$G,Vertical_Cash_flow!$B46,'Maturing receivables'!$F:$F,Vertical_Cash_flow!$B$45)</f>
        <v>0</v>
      </c>
      <c r="R46" s="32">
        <f>SUMIFS('Maturing receivables'!$K:$K,'Maturing receivables'!$S:$S,Vertical_Cash_flow!O$11,'Maturing receivables'!$J:$J,Vertical_Cash_flow!R$15,'Maturing receivables'!$A:$A,Vertical_Cash_flow!$F$14,'Maturing receivables'!$G:$G,Vertical_Cash_flow!$B46,'Maturing receivables'!$F:$F,Vertical_Cash_flow!$B$45)</f>
        <v>0</v>
      </c>
      <c r="S46" s="195">
        <f>O46+P46+Q46/$C$16+R46/$F$16</f>
        <v>0</v>
      </c>
      <c r="T46" s="195">
        <f t="shared" ref="T46:T50" si="36">S46*$C$16</f>
        <v>0</v>
      </c>
      <c r="U46" s="125">
        <f>SUMIFS('Maturing receivables'!$K:$K,'Maturing receivables'!$S:$S,Vertical_Cash_flow!U$11,'Maturing receivables'!$J:$J,Vertical_Cash_flow!U$15,'Maturing receivables'!$A:$A,Vertical_Cash_flow!$C$14,'Maturing receivables'!$G:$G,Vertical_Cash_flow!$B46,'Maturing receivables'!$F:$F,Vertical_Cash_flow!$B$45)</f>
        <v>0</v>
      </c>
      <c r="V46" s="32">
        <f>SUMIFS('Maturing receivables'!$K:$K,'Maturing receivables'!$S:$S,Vertical_Cash_flow!U$11,'Maturing receivables'!$J:$J,Vertical_Cash_flow!V$15,'Maturing receivables'!$A:$A,Vertical_Cash_flow!$D$14,'Maturing receivables'!$G:$G,Vertical_Cash_flow!$B46,'Maturing receivables'!$F:$F,Vertical_Cash_flow!$B$45)</f>
        <v>0</v>
      </c>
      <c r="W46" s="32">
        <f>SUMIFS('Maturing receivables'!$K:$K,'Maturing receivables'!$S:$S,Vertical_Cash_flow!U$11,'Maturing receivables'!$J:$J,Vertical_Cash_flow!W$15,'Maturing receivables'!$A:$A,Vertical_Cash_flow!$E$14,'Maturing receivables'!$G:$G,Vertical_Cash_flow!$B46,'Maturing receivables'!$F:$F,Vertical_Cash_flow!$B$45)</f>
        <v>0</v>
      </c>
      <c r="X46" s="32">
        <f>SUMIFS('Maturing receivables'!$K:$K,'Maturing receivables'!$S:$S,Vertical_Cash_flow!U$11,'Maturing receivables'!$J:$J,Vertical_Cash_flow!X$15,'Maturing receivables'!$A:$A,Vertical_Cash_flow!$F$14,'Maturing receivables'!$G:$G,Vertical_Cash_flow!$B46,'Maturing receivables'!$F:$F,Vertical_Cash_flow!$B$45)</f>
        <v>0</v>
      </c>
      <c r="Y46" s="195">
        <f>U46+V46+W46/$C$16+X46/$F$16</f>
        <v>0</v>
      </c>
      <c r="Z46" s="195">
        <f t="shared" ref="Z46:Z50" si="37">Y46*$C$16</f>
        <v>0</v>
      </c>
      <c r="AA46" s="125">
        <f>SUMIFS('Maturing receivables'!$K:$K,'Maturing receivables'!$S:$S,Vertical_Cash_flow!AA$11,'Maturing receivables'!$J:$J,Vertical_Cash_flow!AA$15,'Maturing receivables'!$A:$A,Vertical_Cash_flow!$C$14,'Maturing receivables'!$G:$G,Vertical_Cash_flow!$B46,'Maturing receivables'!$F:$F,Vertical_Cash_flow!$B$45)</f>
        <v>0</v>
      </c>
      <c r="AB46" s="32">
        <f>SUMIFS('Maturing receivables'!$K:$K,'Maturing receivables'!$S:$S,Vertical_Cash_flow!AA$11,'Maturing receivables'!$J:$J,Vertical_Cash_flow!AB$15,'Maturing receivables'!$A:$A,Vertical_Cash_flow!$D$14,'Maturing receivables'!$G:$G,Vertical_Cash_flow!$B46,'Maturing receivables'!$F:$F,Vertical_Cash_flow!$B$45)</f>
        <v>0</v>
      </c>
      <c r="AC46" s="32">
        <f>SUMIFS('Maturing receivables'!$K:$K,'Maturing receivables'!$S:$S,Vertical_Cash_flow!AA$11,'Maturing receivables'!$J:$J,Vertical_Cash_flow!AC$15,'Maturing receivables'!$A:$A,Vertical_Cash_flow!$E$14,'Maturing receivables'!$G:$G,Vertical_Cash_flow!$B46,'Maturing receivables'!$F:$F,Vertical_Cash_flow!$B$45)</f>
        <v>0</v>
      </c>
      <c r="AD46" s="32">
        <f>SUMIFS('Maturing receivables'!$K:$K,'Maturing receivables'!$S:$S,Vertical_Cash_flow!AA$11,'Maturing receivables'!$J:$J,Vertical_Cash_flow!AD$15,'Maturing receivables'!$A:$A,Vertical_Cash_flow!$F$14,'Maturing receivables'!$G:$G,Vertical_Cash_flow!$B46,'Maturing receivables'!$F:$F,Vertical_Cash_flow!$B$45)</f>
        <v>0</v>
      </c>
      <c r="AE46" s="195">
        <f>AA46+AB46+AC46/$C$16+AD46/$F$16</f>
        <v>0</v>
      </c>
      <c r="AF46" s="195">
        <f t="shared" ref="AF46:AF50" si="38">AE46*$C$16</f>
        <v>0</v>
      </c>
      <c r="AG46" s="125">
        <f>SUMIFS('Maturing receivables'!$K:$K,'Maturing receivables'!$S:$S,Vertical_Cash_flow!AG$11,'Maturing receivables'!$J:$J,Vertical_Cash_flow!AG$15,'Maturing receivables'!$A:$A,Vertical_Cash_flow!$C$14,'Maturing receivables'!$G:$G,Vertical_Cash_flow!$B46,'Maturing receivables'!$F:$F,Vertical_Cash_flow!$B$45)</f>
        <v>0</v>
      </c>
      <c r="AH46" s="32">
        <f>SUMIFS('Maturing receivables'!$K:$K,'Maturing receivables'!$S:$S,Vertical_Cash_flow!AG$11,'Maturing receivables'!$J:$J,Vertical_Cash_flow!AH$15,'Maturing receivables'!$A:$A,Vertical_Cash_flow!$D$14,'Maturing receivables'!$G:$G,Vertical_Cash_flow!$B46,'Maturing receivables'!$F:$F,Vertical_Cash_flow!$B$45)</f>
        <v>0</v>
      </c>
      <c r="AI46" s="32">
        <f>SUMIFS('Maturing receivables'!$K:$K,'Maturing receivables'!$S:$S,Vertical_Cash_flow!AG$11,'Maturing receivables'!$J:$J,Vertical_Cash_flow!AI$15,'Maturing receivables'!$A:$A,Vertical_Cash_flow!$E$14,'Maturing receivables'!$G:$G,Vertical_Cash_flow!$B46,'Maturing receivables'!$F:$F,Vertical_Cash_flow!$B$45)</f>
        <v>0</v>
      </c>
      <c r="AJ46" s="32">
        <f>SUMIFS('Maturing receivables'!$K:$K,'Maturing receivables'!$S:$S,Vertical_Cash_flow!AG$11,'Maturing receivables'!$J:$J,Vertical_Cash_flow!AJ$15,'Maturing receivables'!$A:$A,Vertical_Cash_flow!$F$14,'Maturing receivables'!$G:$G,Vertical_Cash_flow!$B46,'Maturing receivables'!$F:$F,Vertical_Cash_flow!$B$45)</f>
        <v>0</v>
      </c>
      <c r="AK46" s="195">
        <f>AG46+AH46+AI46/$C$16+AJ46/$F$16</f>
        <v>0</v>
      </c>
      <c r="AL46" s="195">
        <f t="shared" ref="AL46:AL50" si="39">AK46*$C$16</f>
        <v>0</v>
      </c>
      <c r="AM46" s="125">
        <f>SUMIFS('Maturing receivables'!$K:$K,'Maturing receivables'!$S:$S,Vertical_Cash_flow!AM$11,'Maturing receivables'!$J:$J,Vertical_Cash_flow!AM$15,'Maturing receivables'!$A:$A,Vertical_Cash_flow!$C$14,'Maturing receivables'!$G:$G,Vertical_Cash_flow!$B46,'Maturing receivables'!$F:$F,Vertical_Cash_flow!$B$45)</f>
        <v>0</v>
      </c>
      <c r="AN46" s="32">
        <f>SUMIFS('Maturing receivables'!$K:$K,'Maturing receivables'!$S:$S,Vertical_Cash_flow!AM$11,'Maturing receivables'!$J:$J,Vertical_Cash_flow!AN$15,'Maturing receivables'!$A:$A,Vertical_Cash_flow!$D$14,'Maturing receivables'!$G:$G,Vertical_Cash_flow!$B46,'Maturing receivables'!$F:$F,Vertical_Cash_flow!$B$45)</f>
        <v>0</v>
      </c>
      <c r="AO46" s="32">
        <f>SUMIFS('Maturing receivables'!$K:$K,'Maturing receivables'!$S:$S,Vertical_Cash_flow!AM$11,'Maturing receivables'!$J:$J,Vertical_Cash_flow!AO$15,'Maturing receivables'!$A:$A,Vertical_Cash_flow!$E$14,'Maturing receivables'!$G:$G,Vertical_Cash_flow!$B46,'Maturing receivables'!$F:$F,Vertical_Cash_flow!$B$45)</f>
        <v>0</v>
      </c>
      <c r="AP46" s="32">
        <f>SUMIFS('Maturing receivables'!$K:$K,'Maturing receivables'!$S:$S,Vertical_Cash_flow!AM$11,'Maturing receivables'!$J:$J,Vertical_Cash_flow!AP$15,'Maturing receivables'!$A:$A,Vertical_Cash_flow!$F$14,'Maturing receivables'!$G:$G,Vertical_Cash_flow!$B46,'Maturing receivables'!$F:$F,Vertical_Cash_flow!$B$45)</f>
        <v>0</v>
      </c>
      <c r="AQ46" s="195">
        <f>AM46+AN46+AO46/$C$16+AP46/$F$16</f>
        <v>0</v>
      </c>
      <c r="AR46" s="195">
        <f t="shared" ref="AR46:AR50" si="40">AQ46*$C$16</f>
        <v>0</v>
      </c>
      <c r="AS46" s="125">
        <f>SUMIFS('Maturing receivables'!$K:$K,'Maturing receivables'!$S:$S,Vertical_Cash_flow!AS$11,'Maturing receivables'!$J:$J,Vertical_Cash_flow!AS$15,'Maturing receivables'!$A:$A,Vertical_Cash_flow!$C$14,'Maturing receivables'!$G:$G,Vertical_Cash_flow!$B46,'Maturing receivables'!$F:$F,Vertical_Cash_flow!$B$45)</f>
        <v>0</v>
      </c>
      <c r="AT46" s="32">
        <f>SUMIFS('Maturing receivables'!$K:$K,'Maturing receivables'!$S:$S,Vertical_Cash_flow!AS$11,'Maturing receivables'!$J:$J,Vertical_Cash_flow!AT$15,'Maturing receivables'!$A:$A,Vertical_Cash_flow!$D$14,'Maturing receivables'!$G:$G,Vertical_Cash_flow!$B46,'Maturing receivables'!$F:$F,Vertical_Cash_flow!$B$45)</f>
        <v>0</v>
      </c>
      <c r="AU46" s="32">
        <f>SUMIFS('Maturing receivables'!$K:$K,'Maturing receivables'!$S:$S,Vertical_Cash_flow!AS$11,'Maturing receivables'!$J:$J,Vertical_Cash_flow!AU$15,'Maturing receivables'!$A:$A,Vertical_Cash_flow!$E$14,'Maturing receivables'!$G:$G,Vertical_Cash_flow!$B46,'Maturing receivables'!$F:$F,Vertical_Cash_flow!$B$45)</f>
        <v>0</v>
      </c>
      <c r="AV46" s="32">
        <f>SUMIFS('Maturing receivables'!$K:$K,'Maturing receivables'!$S:$S,Vertical_Cash_flow!AS$11,'Maturing receivables'!$J:$J,Vertical_Cash_flow!AV$15,'Maturing receivables'!$A:$A,Vertical_Cash_flow!$F$14,'Maturing receivables'!$G:$G,Vertical_Cash_flow!$B46,'Maturing receivables'!$F:$F,Vertical_Cash_flow!$B$45)</f>
        <v>0</v>
      </c>
      <c r="AW46" s="195">
        <f>AS46+AT46+AU46/$C$16+AV46/$F$16</f>
        <v>0</v>
      </c>
      <c r="AX46" s="195">
        <f t="shared" ref="AX46:AX50" si="41">AW46*$C$16</f>
        <v>0</v>
      </c>
      <c r="AZ46" s="195">
        <f t="shared" si="33"/>
        <v>0</v>
      </c>
    </row>
    <row r="47" spans="1:52" outlineLevel="2" x14ac:dyDescent="0.2">
      <c r="A47" s="655"/>
      <c r="B47" s="183" t="s">
        <v>51</v>
      </c>
      <c r="C47" s="48">
        <f>SUMIFS('Maturing receivables'!$K:$K,'Maturing receivables'!$S:$S,Vertical_Cash_flow!C$11,'Maturing receivables'!$J:$J,Vertical_Cash_flow!C$15,'Maturing receivables'!$A:$A,Vertical_Cash_flow!$C$14,'Maturing receivables'!$G:$G,Vertical_Cash_flow!$B47,'Maturing receivables'!$F:$F,Vertical_Cash_flow!$B$45)</f>
        <v>343220.27599999995</v>
      </c>
      <c r="D47" s="32">
        <f>SUMIFS('Maturing receivables'!$K:$K,'Maturing receivables'!$S:$S,Vertical_Cash_flow!C$11,'Maturing receivables'!$J:$J,Vertical_Cash_flow!D$15,'Maturing receivables'!$A:$A,Vertical_Cash_flow!$D$14,'Maturing receivables'!$G:$G,Vertical_Cash_flow!$B47,'Maturing receivables'!$F:$F,Vertical_Cash_flow!$B$45)</f>
        <v>0</v>
      </c>
      <c r="E47" s="32">
        <f>SUMIFS('Maturing receivables'!$K:$K,'Maturing receivables'!$S:$S,Vertical_Cash_flow!C$11,'Maturing receivables'!$J:$J,Vertical_Cash_flow!E$15,'Maturing receivables'!$A:$A,Vertical_Cash_flow!$E$14,'Maturing receivables'!$G:$G,Vertical_Cash_flow!$B47,'Maturing receivables'!$F:$F,Vertical_Cash_flow!$B$45)</f>
        <v>0</v>
      </c>
      <c r="F47" s="32">
        <f>SUMIFS('Maturing receivables'!$K:$K,'Maturing receivables'!$S:$S,Vertical_Cash_flow!C$11,'Maturing receivables'!$J:$J,Vertical_Cash_flow!F$15,'Maturing receivables'!$A:$A,Vertical_Cash_flow!$F$14,'Maturing receivables'!$G:$G,Vertical_Cash_flow!$B47,'Maturing receivables'!$F:$F,Vertical_Cash_flow!$B$45)</f>
        <v>0</v>
      </c>
      <c r="G47" s="195">
        <f t="shared" ref="G47:G50" si="42">C47+D47+E47/$C$16+F47/$F$16</f>
        <v>343220.27599999995</v>
      </c>
      <c r="H47" s="195">
        <f t="shared" si="34"/>
        <v>102966.08279999999</v>
      </c>
      <c r="I47" s="48">
        <f>SUMIFS('Maturing receivables'!$K:$K,'Maturing receivables'!$S:$S,Vertical_Cash_flow!I$11,'Maturing receivables'!$J:$J,Vertical_Cash_flow!I$15,'Maturing receivables'!$A:$A,Vertical_Cash_flow!$C$14,'Maturing receivables'!$G:$G,Vertical_Cash_flow!$B47,'Maturing receivables'!$F:$F,Vertical_Cash_flow!$B$45)</f>
        <v>694844.3559999998</v>
      </c>
      <c r="J47" s="32">
        <f>SUMIFS('Maturing receivables'!$K:$K,'Maturing receivables'!$S:$S,Vertical_Cash_flow!I$11,'Maturing receivables'!$J:$J,Vertical_Cash_flow!J$15,'Maturing receivables'!$A:$A,Vertical_Cash_flow!$D$14,'Maturing receivables'!$G:$G,Vertical_Cash_flow!$B47,'Maturing receivables'!$F:$F,Vertical_Cash_flow!$B$45)</f>
        <v>0</v>
      </c>
      <c r="K47" s="32">
        <f>SUMIFS('Maturing receivables'!$K:$K,'Maturing receivables'!$S:$S,Vertical_Cash_flow!I$11,'Maturing receivables'!$J:$J,Vertical_Cash_flow!K$15,'Maturing receivables'!$A:$A,Vertical_Cash_flow!$E$14,'Maturing receivables'!$G:$G,Vertical_Cash_flow!$B47,'Maturing receivables'!$F:$F,Vertical_Cash_flow!$B$45)</f>
        <v>0</v>
      </c>
      <c r="L47" s="32">
        <f>SUMIFS('Maturing receivables'!$K:$K,'Maturing receivables'!$S:$S,Vertical_Cash_flow!I$11,'Maturing receivables'!$J:$J,Vertical_Cash_flow!L$15,'Maturing receivables'!$A:$A,Vertical_Cash_flow!$F$14,'Maturing receivables'!$G:$G,Vertical_Cash_flow!$B47,'Maturing receivables'!$F:$F,Vertical_Cash_flow!$B$45)</f>
        <v>0</v>
      </c>
      <c r="M47" s="195">
        <f t="shared" ref="M47:M50" si="43">I47+J47+K47/$C$16+L47/$F$16</f>
        <v>694844.3559999998</v>
      </c>
      <c r="N47" s="195">
        <f t="shared" si="35"/>
        <v>208453.30679999993</v>
      </c>
      <c r="O47" s="48">
        <f>SUMIFS('Maturing receivables'!$K:$K,'Maturing receivables'!$S:$S,Vertical_Cash_flow!O$11,'Maturing receivables'!$J:$J,Vertical_Cash_flow!O$15,'Maturing receivables'!$A:$A,Vertical_Cash_flow!$C$14,'Maturing receivables'!$G:$G,Vertical_Cash_flow!$B47,'Maturing receivables'!$F:$F,Vertical_Cash_flow!$B$45)</f>
        <v>179406.84100000007</v>
      </c>
      <c r="P47" s="32">
        <f>SUMIFS('Maturing receivables'!$K:$K,'Maturing receivables'!$S:$S,Vertical_Cash_flow!O$11,'Maturing receivables'!$J:$J,Vertical_Cash_flow!P$15,'Maturing receivables'!$A:$A,Vertical_Cash_flow!$D$14,'Maturing receivables'!$G:$G,Vertical_Cash_flow!$B47,'Maturing receivables'!$F:$F,Vertical_Cash_flow!$B$45)</f>
        <v>0</v>
      </c>
      <c r="Q47" s="32">
        <f>SUMIFS('Maturing receivables'!$K:$K,'Maturing receivables'!$S:$S,Vertical_Cash_flow!O$11,'Maturing receivables'!$J:$J,Vertical_Cash_flow!Q$15,'Maturing receivables'!$A:$A,Vertical_Cash_flow!$E$14,'Maturing receivables'!$G:$G,Vertical_Cash_flow!$B47,'Maturing receivables'!$F:$F,Vertical_Cash_flow!$B$45)</f>
        <v>0</v>
      </c>
      <c r="R47" s="32">
        <f>SUMIFS('Maturing receivables'!$K:$K,'Maturing receivables'!$S:$S,Vertical_Cash_flow!O$11,'Maturing receivables'!$J:$J,Vertical_Cash_flow!R$15,'Maturing receivables'!$A:$A,Vertical_Cash_flow!$F$14,'Maturing receivables'!$G:$G,Vertical_Cash_flow!$B47,'Maturing receivables'!$F:$F,Vertical_Cash_flow!$B$45)</f>
        <v>0</v>
      </c>
      <c r="S47" s="195">
        <f t="shared" ref="S47:S50" si="44">O47+P47+Q47/$C$16+R47/$F$16</f>
        <v>179406.84100000007</v>
      </c>
      <c r="T47" s="195">
        <f t="shared" si="36"/>
        <v>53822.052300000018</v>
      </c>
      <c r="U47" s="48">
        <f>SUMIFS('Maturing receivables'!$K:$K,'Maturing receivables'!$S:$S,Vertical_Cash_flow!U$11,'Maturing receivables'!$J:$J,Vertical_Cash_flow!U$15,'Maturing receivables'!$A:$A,Vertical_Cash_flow!$C$14,'Maturing receivables'!$G:$G,Vertical_Cash_flow!$B47,'Maturing receivables'!$F:$F,Vertical_Cash_flow!$B$45)</f>
        <v>235203.0959999999</v>
      </c>
      <c r="V47" s="32">
        <f>SUMIFS('Maturing receivables'!$K:$K,'Maturing receivables'!$S:$S,Vertical_Cash_flow!U$11,'Maturing receivables'!$J:$J,Vertical_Cash_flow!V$15,'Maturing receivables'!$A:$A,Vertical_Cash_flow!$D$14,'Maturing receivables'!$G:$G,Vertical_Cash_flow!$B47,'Maturing receivables'!$F:$F,Vertical_Cash_flow!$B$45)</f>
        <v>0</v>
      </c>
      <c r="W47" s="32">
        <f>SUMIFS('Maturing receivables'!$K:$K,'Maturing receivables'!$S:$S,Vertical_Cash_flow!U$11,'Maturing receivables'!$J:$J,Vertical_Cash_flow!W$15,'Maturing receivables'!$A:$A,Vertical_Cash_flow!$E$14,'Maturing receivables'!$G:$G,Vertical_Cash_flow!$B47,'Maturing receivables'!$F:$F,Vertical_Cash_flow!$B$45)</f>
        <v>0</v>
      </c>
      <c r="X47" s="32">
        <f>SUMIFS('Maturing receivables'!$K:$K,'Maturing receivables'!$S:$S,Vertical_Cash_flow!U$11,'Maturing receivables'!$J:$J,Vertical_Cash_flow!X$15,'Maturing receivables'!$A:$A,Vertical_Cash_flow!$F$14,'Maturing receivables'!$G:$G,Vertical_Cash_flow!$B47,'Maturing receivables'!$F:$F,Vertical_Cash_flow!$B$45)</f>
        <v>0</v>
      </c>
      <c r="Y47" s="195">
        <f t="shared" ref="Y47:Y50" si="45">U47+V47+W47/$C$16+X47/$F$16</f>
        <v>235203.0959999999</v>
      </c>
      <c r="Z47" s="195">
        <f t="shared" si="37"/>
        <v>70560.928799999965</v>
      </c>
      <c r="AA47" s="48">
        <f>SUMIFS('Maturing receivables'!$K:$K,'Maturing receivables'!$S:$S,Vertical_Cash_flow!AA$11,'Maturing receivables'!$J:$J,Vertical_Cash_flow!AA$15,'Maturing receivables'!$A:$A,Vertical_Cash_flow!$C$14,'Maturing receivables'!$G:$G,Vertical_Cash_flow!$B47,'Maturing receivables'!$F:$F,Vertical_Cash_flow!$B$45)</f>
        <v>442832.96399999992</v>
      </c>
      <c r="AB47" s="32">
        <f>SUMIFS('Maturing receivables'!$K:$K,'Maturing receivables'!$S:$S,Vertical_Cash_flow!AA$11,'Maturing receivables'!$J:$J,Vertical_Cash_flow!AB$15,'Maturing receivables'!$A:$A,Vertical_Cash_flow!$D$14,'Maturing receivables'!$G:$G,Vertical_Cash_flow!$B47,'Maturing receivables'!$F:$F,Vertical_Cash_flow!$B$45)</f>
        <v>0</v>
      </c>
      <c r="AC47" s="32">
        <f>SUMIFS('Maturing receivables'!$K:$K,'Maturing receivables'!$S:$S,Vertical_Cash_flow!AA$11,'Maturing receivables'!$J:$J,Vertical_Cash_flow!AC$15,'Maturing receivables'!$A:$A,Vertical_Cash_flow!$E$14,'Maturing receivables'!$G:$G,Vertical_Cash_flow!$B47,'Maturing receivables'!$F:$F,Vertical_Cash_flow!$B$45)</f>
        <v>0</v>
      </c>
      <c r="AD47" s="32">
        <f>SUMIFS('Maturing receivables'!$K:$K,'Maturing receivables'!$S:$S,Vertical_Cash_flow!AA$11,'Maturing receivables'!$J:$J,Vertical_Cash_flow!AD$15,'Maturing receivables'!$A:$A,Vertical_Cash_flow!$F$14,'Maturing receivables'!$G:$G,Vertical_Cash_flow!$B47,'Maturing receivables'!$F:$F,Vertical_Cash_flow!$B$45)</f>
        <v>0</v>
      </c>
      <c r="AE47" s="195">
        <f t="shared" ref="AE47:AE50" si="46">AA47+AB47+AC47/$C$16+AD47/$F$16</f>
        <v>442832.96399999992</v>
      </c>
      <c r="AF47" s="195">
        <f t="shared" si="38"/>
        <v>132849.88919999998</v>
      </c>
      <c r="AG47" s="48">
        <f>SUMIFS('Maturing receivables'!$K:$K,'Maturing receivables'!$S:$S,Vertical_Cash_flow!AG$11,'Maturing receivables'!$J:$J,Vertical_Cash_flow!AG$15,'Maturing receivables'!$A:$A,Vertical_Cash_flow!$C$14,'Maturing receivables'!$G:$G,Vertical_Cash_flow!$B47,'Maturing receivables'!$F:$F,Vertical_Cash_flow!$B$45)</f>
        <v>162245.63200000001</v>
      </c>
      <c r="AH47" s="32">
        <f>SUMIFS('Maturing receivables'!$K:$K,'Maturing receivables'!$S:$S,Vertical_Cash_flow!AG$11,'Maturing receivables'!$J:$J,Vertical_Cash_flow!AH$15,'Maturing receivables'!$A:$A,Vertical_Cash_flow!$D$14,'Maturing receivables'!$G:$G,Vertical_Cash_flow!$B47,'Maturing receivables'!$F:$F,Vertical_Cash_flow!$B$45)</f>
        <v>0</v>
      </c>
      <c r="AI47" s="32">
        <f>SUMIFS('Maturing receivables'!$K:$K,'Maturing receivables'!$S:$S,Vertical_Cash_flow!AG$11,'Maturing receivables'!$J:$J,Vertical_Cash_flow!AI$15,'Maturing receivables'!$A:$A,Vertical_Cash_flow!$E$14,'Maturing receivables'!$G:$G,Vertical_Cash_flow!$B47,'Maturing receivables'!$F:$F,Vertical_Cash_flow!$B$45)</f>
        <v>0</v>
      </c>
      <c r="AJ47" s="32">
        <f>SUMIFS('Maturing receivables'!$K:$K,'Maturing receivables'!$S:$S,Vertical_Cash_flow!AG$11,'Maturing receivables'!$J:$J,Vertical_Cash_flow!AJ$15,'Maturing receivables'!$A:$A,Vertical_Cash_flow!$F$14,'Maturing receivables'!$G:$G,Vertical_Cash_flow!$B47,'Maturing receivables'!$F:$F,Vertical_Cash_flow!$B$45)</f>
        <v>0</v>
      </c>
      <c r="AK47" s="195">
        <f t="shared" ref="AK47:AK50" si="47">AG47+AH47+AI47/$C$16+AJ47/$F$16</f>
        <v>162245.63200000001</v>
      </c>
      <c r="AL47" s="195">
        <f t="shared" si="39"/>
        <v>48673.689600000005</v>
      </c>
      <c r="AM47" s="48">
        <f>SUMIFS('Maturing receivables'!$K:$K,'Maturing receivables'!$S:$S,Vertical_Cash_flow!AM$11,'Maturing receivables'!$J:$J,Vertical_Cash_flow!AM$15,'Maturing receivables'!$A:$A,Vertical_Cash_flow!$C$14,'Maturing receivables'!$G:$G,Vertical_Cash_flow!$B47,'Maturing receivables'!$F:$F,Vertical_Cash_flow!$B$45)</f>
        <v>620496.23599999992</v>
      </c>
      <c r="AN47" s="32">
        <f>SUMIFS('Maturing receivables'!$K:$K,'Maturing receivables'!$S:$S,Vertical_Cash_flow!AM$11,'Maturing receivables'!$J:$J,Vertical_Cash_flow!AN$15,'Maturing receivables'!$A:$A,Vertical_Cash_flow!$D$14,'Maturing receivables'!$G:$G,Vertical_Cash_flow!$B47,'Maturing receivables'!$F:$F,Vertical_Cash_flow!$B$45)</f>
        <v>0</v>
      </c>
      <c r="AO47" s="32">
        <f>SUMIFS('Maturing receivables'!$K:$K,'Maturing receivables'!$S:$S,Vertical_Cash_flow!AM$11,'Maturing receivables'!$J:$J,Vertical_Cash_flow!AO$15,'Maturing receivables'!$A:$A,Vertical_Cash_flow!$E$14,'Maturing receivables'!$G:$G,Vertical_Cash_flow!$B47,'Maturing receivables'!$F:$F,Vertical_Cash_flow!$B$45)</f>
        <v>0</v>
      </c>
      <c r="AP47" s="32">
        <f>SUMIFS('Maturing receivables'!$K:$K,'Maturing receivables'!$S:$S,Vertical_Cash_flow!AM$11,'Maturing receivables'!$J:$J,Vertical_Cash_flow!AP$15,'Maturing receivables'!$A:$A,Vertical_Cash_flow!$F$14,'Maturing receivables'!$G:$G,Vertical_Cash_flow!$B47,'Maturing receivables'!$F:$F,Vertical_Cash_flow!$B$45)</f>
        <v>0</v>
      </c>
      <c r="AQ47" s="195">
        <f t="shared" ref="AQ47:AQ50" si="48">AM47+AN47+AO47/$C$16+AP47/$F$16</f>
        <v>620496.23599999992</v>
      </c>
      <c r="AR47" s="195">
        <f t="shared" si="40"/>
        <v>186148.87079999998</v>
      </c>
      <c r="AS47" s="48">
        <f>SUMIFS('Maturing receivables'!$K:$K,'Maturing receivables'!$S:$S,Vertical_Cash_flow!AS$11,'Maturing receivables'!$J:$J,Vertical_Cash_flow!AS$15,'Maturing receivables'!$A:$A,Vertical_Cash_flow!$C$14,'Maturing receivables'!$G:$G,Vertical_Cash_flow!$B47,'Maturing receivables'!$F:$F,Vertical_Cash_flow!$B$45)</f>
        <v>141899.307</v>
      </c>
      <c r="AT47" s="32">
        <f>SUMIFS('Maturing receivables'!$K:$K,'Maturing receivables'!$S:$S,Vertical_Cash_flow!AS$11,'Maturing receivables'!$J:$J,Vertical_Cash_flow!AT$15,'Maturing receivables'!$A:$A,Vertical_Cash_flow!$D$14,'Maturing receivables'!$G:$G,Vertical_Cash_flow!$B47,'Maturing receivables'!$F:$F,Vertical_Cash_flow!$B$45)</f>
        <v>0</v>
      </c>
      <c r="AU47" s="32">
        <f>SUMIFS('Maturing receivables'!$K:$K,'Maturing receivables'!$S:$S,Vertical_Cash_flow!AS$11,'Maturing receivables'!$J:$J,Vertical_Cash_flow!AU$15,'Maturing receivables'!$A:$A,Vertical_Cash_flow!$E$14,'Maturing receivables'!$G:$G,Vertical_Cash_flow!$B47,'Maturing receivables'!$F:$F,Vertical_Cash_flow!$B$45)</f>
        <v>0</v>
      </c>
      <c r="AV47" s="32">
        <f>SUMIFS('Maturing receivables'!$K:$K,'Maturing receivables'!$S:$S,Vertical_Cash_flow!AS$11,'Maturing receivables'!$J:$J,Vertical_Cash_flow!AV$15,'Maturing receivables'!$A:$A,Vertical_Cash_flow!$F$14,'Maturing receivables'!$G:$G,Vertical_Cash_flow!$B47,'Maturing receivables'!$F:$F,Vertical_Cash_flow!$B$45)</f>
        <v>0</v>
      </c>
      <c r="AW47" s="195">
        <f t="shared" ref="AW47:AW50" si="49">AS47+AT47+AU47/$C$16+AV47/$F$16</f>
        <v>141899.307</v>
      </c>
      <c r="AX47" s="195">
        <f t="shared" si="41"/>
        <v>42569.792099999999</v>
      </c>
      <c r="AZ47" s="195">
        <f t="shared" si="33"/>
        <v>2820148.7079999996</v>
      </c>
    </row>
    <row r="48" spans="1:52" outlineLevel="2" x14ac:dyDescent="0.2">
      <c r="A48" s="655"/>
      <c r="B48" s="183" t="s">
        <v>49</v>
      </c>
      <c r="C48" s="48">
        <f>SUMIFS('Maturing receivables'!$K:$K,'Maturing receivables'!$S:$S,Vertical_Cash_flow!C$11,'Maturing receivables'!$J:$J,Vertical_Cash_flow!C$15,'Maturing receivables'!$A:$A,Vertical_Cash_flow!$C$14,'Maturing receivables'!$G:$G,Vertical_Cash_flow!$B48,'Maturing receivables'!$F:$F,Vertical_Cash_flow!$B$45)</f>
        <v>124000</v>
      </c>
      <c r="D48" s="32">
        <f>SUMIFS('Maturing receivables'!$K:$K,'Maturing receivables'!$S:$S,Vertical_Cash_flow!C$11,'Maturing receivables'!$J:$J,Vertical_Cash_flow!D$15,'Maturing receivables'!$A:$A,Vertical_Cash_flow!$D$14,'Maturing receivables'!$G:$G,Vertical_Cash_flow!$B48,'Maturing receivables'!$F:$F,Vertical_Cash_flow!$B$45)</f>
        <v>0</v>
      </c>
      <c r="E48" s="32">
        <f>SUMIFS('Maturing receivables'!$K:$K,'Maturing receivables'!$S:$S,Vertical_Cash_flow!C$11,'Maturing receivables'!$J:$J,Vertical_Cash_flow!E$15,'Maturing receivables'!$A:$A,Vertical_Cash_flow!$E$14,'Maturing receivables'!$G:$G,Vertical_Cash_flow!$B48,'Maturing receivables'!$F:$F,Vertical_Cash_flow!$B$45)</f>
        <v>0</v>
      </c>
      <c r="F48" s="32">
        <f>SUMIFS('Maturing receivables'!$K:$K,'Maturing receivables'!$S:$S,Vertical_Cash_flow!C$11,'Maturing receivables'!$J:$J,Vertical_Cash_flow!F$15,'Maturing receivables'!$A:$A,Vertical_Cash_flow!$F$14,'Maturing receivables'!$G:$G,Vertical_Cash_flow!$B48,'Maturing receivables'!$F:$F,Vertical_Cash_flow!$B$45)</f>
        <v>0</v>
      </c>
      <c r="G48" s="195">
        <f t="shared" si="42"/>
        <v>124000</v>
      </c>
      <c r="H48" s="195">
        <f t="shared" si="34"/>
        <v>37200</v>
      </c>
      <c r="I48" s="125">
        <f>SUMIFS('Maturing receivables'!$K:$K,'Maturing receivables'!$S:$S,Vertical_Cash_flow!I$11,'Maturing receivables'!$J:$J,Vertical_Cash_flow!I$15,'Maturing receivables'!$A:$A,Vertical_Cash_flow!$C$14,'Maturing receivables'!$G:$G,Vertical_Cash_flow!$B48,'Maturing receivables'!$F:$F,Vertical_Cash_flow!$B$45)</f>
        <v>137000</v>
      </c>
      <c r="J48" s="32">
        <f>SUMIFS('Maturing receivables'!$K:$K,'Maturing receivables'!$S:$S,Vertical_Cash_flow!I$11,'Maturing receivables'!$J:$J,Vertical_Cash_flow!J$15,'Maturing receivables'!$A:$A,Vertical_Cash_flow!$D$14,'Maturing receivables'!$G:$G,Vertical_Cash_flow!$B48,'Maturing receivables'!$F:$F,Vertical_Cash_flow!$B$45)</f>
        <v>0</v>
      </c>
      <c r="K48" s="32">
        <f>SUMIFS('Maturing receivables'!$K:$K,'Maturing receivables'!$S:$S,Vertical_Cash_flow!I$11,'Maturing receivables'!$J:$J,Vertical_Cash_flow!K$15,'Maturing receivables'!$A:$A,Vertical_Cash_flow!$E$14,'Maturing receivables'!$G:$G,Vertical_Cash_flow!$B48,'Maturing receivables'!$F:$F,Vertical_Cash_flow!$B$45)</f>
        <v>0</v>
      </c>
      <c r="L48" s="32">
        <f>SUMIFS('Maturing receivables'!$K:$K,'Maturing receivables'!$S:$S,Vertical_Cash_flow!I$11,'Maturing receivables'!$J:$J,Vertical_Cash_flow!L$15,'Maturing receivables'!$A:$A,Vertical_Cash_flow!$F$14,'Maturing receivables'!$G:$G,Vertical_Cash_flow!$B48,'Maturing receivables'!$F:$F,Vertical_Cash_flow!$B$45)</f>
        <v>0</v>
      </c>
      <c r="M48" s="195">
        <f t="shared" si="43"/>
        <v>137000</v>
      </c>
      <c r="N48" s="195">
        <f t="shared" si="35"/>
        <v>41100</v>
      </c>
      <c r="O48" s="48">
        <f>SUMIFS('Maturing receivables'!$K:$K,'Maturing receivables'!$S:$S,Vertical_Cash_flow!O$11,'Maturing receivables'!$J:$J,Vertical_Cash_flow!O$15,'Maturing receivables'!$A:$A,Vertical_Cash_flow!$C$14,'Maturing receivables'!$G:$G,Vertical_Cash_flow!$B48,'Maturing receivables'!$F:$F,Vertical_Cash_flow!$B$45)</f>
        <v>56000</v>
      </c>
      <c r="P48" s="32">
        <f>SUMIFS('Maturing receivables'!$K:$K,'Maturing receivables'!$S:$S,Vertical_Cash_flow!O$11,'Maturing receivables'!$J:$J,Vertical_Cash_flow!P$15,'Maturing receivables'!$A:$A,Vertical_Cash_flow!$D$14,'Maturing receivables'!$G:$G,Vertical_Cash_flow!$B48,'Maturing receivables'!$F:$F,Vertical_Cash_flow!$B$45)</f>
        <v>0</v>
      </c>
      <c r="Q48" s="32">
        <f>SUMIFS('Maturing receivables'!$K:$K,'Maturing receivables'!$S:$S,Vertical_Cash_flow!O$11,'Maturing receivables'!$J:$J,Vertical_Cash_flow!Q$15,'Maturing receivables'!$A:$A,Vertical_Cash_flow!$E$14,'Maturing receivables'!$G:$G,Vertical_Cash_flow!$B48,'Maturing receivables'!$F:$F,Vertical_Cash_flow!$B$45)</f>
        <v>0</v>
      </c>
      <c r="R48" s="32">
        <f>SUMIFS('Maturing receivables'!$K:$K,'Maturing receivables'!$S:$S,Vertical_Cash_flow!O$11,'Maturing receivables'!$J:$J,Vertical_Cash_flow!R$15,'Maturing receivables'!$A:$A,Vertical_Cash_flow!$F$14,'Maturing receivables'!$G:$G,Vertical_Cash_flow!$B48,'Maturing receivables'!$F:$F,Vertical_Cash_flow!$B$45)</f>
        <v>0</v>
      </c>
      <c r="S48" s="195">
        <f t="shared" si="44"/>
        <v>56000</v>
      </c>
      <c r="T48" s="195">
        <f t="shared" si="36"/>
        <v>16800</v>
      </c>
      <c r="U48" s="48">
        <f>SUMIFS('Maturing receivables'!$K:$K,'Maturing receivables'!$S:$S,Vertical_Cash_flow!U$11,'Maturing receivables'!$J:$J,Vertical_Cash_flow!U$15,'Maturing receivables'!$A:$A,Vertical_Cash_flow!$C$14,'Maturing receivables'!$G:$G,Vertical_Cash_flow!$B48,'Maturing receivables'!$F:$F,Vertical_Cash_flow!$B$45)</f>
        <v>167000</v>
      </c>
      <c r="V48" s="32">
        <f>SUMIFS('Maturing receivables'!$K:$K,'Maturing receivables'!$S:$S,Vertical_Cash_flow!U$11,'Maturing receivables'!$J:$J,Vertical_Cash_flow!V$15,'Maturing receivables'!$A:$A,Vertical_Cash_flow!$D$14,'Maturing receivables'!$G:$G,Vertical_Cash_flow!$B48,'Maturing receivables'!$F:$F,Vertical_Cash_flow!$B$45)</f>
        <v>0</v>
      </c>
      <c r="W48" s="32">
        <f>SUMIFS('Maturing receivables'!$K:$K,'Maturing receivables'!$S:$S,Vertical_Cash_flow!U$11,'Maturing receivables'!$J:$J,Vertical_Cash_flow!W$15,'Maturing receivables'!$A:$A,Vertical_Cash_flow!$E$14,'Maturing receivables'!$G:$G,Vertical_Cash_flow!$B48,'Maturing receivables'!$F:$F,Vertical_Cash_flow!$B$45)</f>
        <v>0</v>
      </c>
      <c r="X48" s="32">
        <f>SUMIFS('Maturing receivables'!$K:$K,'Maturing receivables'!$S:$S,Vertical_Cash_flow!U$11,'Maturing receivables'!$J:$J,Vertical_Cash_flow!X$15,'Maturing receivables'!$A:$A,Vertical_Cash_flow!$F$14,'Maturing receivables'!$G:$G,Vertical_Cash_flow!$B48,'Maturing receivables'!$F:$F,Vertical_Cash_flow!$B$45)</f>
        <v>0</v>
      </c>
      <c r="Y48" s="195">
        <f t="shared" si="45"/>
        <v>167000</v>
      </c>
      <c r="Z48" s="195">
        <f t="shared" si="37"/>
        <v>50100</v>
      </c>
      <c r="AA48" s="48">
        <f>SUMIFS('Maturing receivables'!$K:$K,'Maturing receivables'!$S:$S,Vertical_Cash_flow!AA$11,'Maturing receivables'!$J:$J,Vertical_Cash_flow!AA$15,'Maturing receivables'!$A:$A,Vertical_Cash_flow!$C$14,'Maturing receivables'!$G:$G,Vertical_Cash_flow!$B48,'Maturing receivables'!$F:$F,Vertical_Cash_flow!$B$45)</f>
        <v>104000</v>
      </c>
      <c r="AB48" s="32">
        <f>SUMIFS('Maturing receivables'!$K:$K,'Maturing receivables'!$S:$S,Vertical_Cash_flow!AA$11,'Maturing receivables'!$J:$J,Vertical_Cash_flow!AB$15,'Maturing receivables'!$A:$A,Vertical_Cash_flow!$D$14,'Maturing receivables'!$G:$G,Vertical_Cash_flow!$B48,'Maturing receivables'!$F:$F,Vertical_Cash_flow!$B$45)</f>
        <v>0</v>
      </c>
      <c r="AC48" s="32">
        <f>SUMIFS('Maturing receivables'!$K:$K,'Maturing receivables'!$S:$S,Vertical_Cash_flow!AA$11,'Maturing receivables'!$J:$J,Vertical_Cash_flow!AC$15,'Maturing receivables'!$A:$A,Vertical_Cash_flow!$E$14,'Maturing receivables'!$G:$G,Vertical_Cash_flow!$B48,'Maturing receivables'!$F:$F,Vertical_Cash_flow!$B$45)</f>
        <v>0</v>
      </c>
      <c r="AD48" s="32">
        <f>SUMIFS('Maturing receivables'!$K:$K,'Maturing receivables'!$S:$S,Vertical_Cash_flow!AA$11,'Maturing receivables'!$J:$J,Vertical_Cash_flow!AD$15,'Maturing receivables'!$A:$A,Vertical_Cash_flow!$F$14,'Maturing receivables'!$G:$G,Vertical_Cash_flow!$B48,'Maturing receivables'!$F:$F,Vertical_Cash_flow!$B$45)</f>
        <v>0</v>
      </c>
      <c r="AE48" s="195">
        <f t="shared" si="46"/>
        <v>104000</v>
      </c>
      <c r="AF48" s="195">
        <f t="shared" si="38"/>
        <v>31200</v>
      </c>
      <c r="AG48" s="48">
        <f>SUMIFS('Maturing receivables'!$K:$K,'Maturing receivables'!$S:$S,Vertical_Cash_flow!AG$11,'Maturing receivables'!$J:$J,Vertical_Cash_flow!AG$15,'Maturing receivables'!$A:$A,Vertical_Cash_flow!$C$14,'Maturing receivables'!$G:$G,Vertical_Cash_flow!$B48,'Maturing receivables'!$F:$F,Vertical_Cash_flow!$B$45)</f>
        <v>85000</v>
      </c>
      <c r="AH48" s="32">
        <f>SUMIFS('Maturing receivables'!$K:$K,'Maturing receivables'!$S:$S,Vertical_Cash_flow!AG$11,'Maturing receivables'!$J:$J,Vertical_Cash_flow!AH$15,'Maturing receivables'!$A:$A,Vertical_Cash_flow!$D$14,'Maturing receivables'!$G:$G,Vertical_Cash_flow!$B48,'Maturing receivables'!$F:$F,Vertical_Cash_flow!$B$45)</f>
        <v>0</v>
      </c>
      <c r="AI48" s="32">
        <f>SUMIFS('Maturing receivables'!$K:$K,'Maturing receivables'!$S:$S,Vertical_Cash_flow!AG$11,'Maturing receivables'!$J:$J,Vertical_Cash_flow!AI$15,'Maturing receivables'!$A:$A,Vertical_Cash_flow!$E$14,'Maturing receivables'!$G:$G,Vertical_Cash_flow!$B48,'Maturing receivables'!$F:$F,Vertical_Cash_flow!$B$45)</f>
        <v>0</v>
      </c>
      <c r="AJ48" s="32">
        <f>SUMIFS('Maturing receivables'!$K:$K,'Maturing receivables'!$S:$S,Vertical_Cash_flow!AG$11,'Maturing receivables'!$J:$J,Vertical_Cash_flow!AJ$15,'Maturing receivables'!$A:$A,Vertical_Cash_flow!$F$14,'Maturing receivables'!$G:$G,Vertical_Cash_flow!$B48,'Maturing receivables'!$F:$F,Vertical_Cash_flow!$B$45)</f>
        <v>0</v>
      </c>
      <c r="AK48" s="195">
        <f t="shared" si="47"/>
        <v>85000</v>
      </c>
      <c r="AL48" s="195">
        <f t="shared" si="39"/>
        <v>25500</v>
      </c>
      <c r="AM48" s="48">
        <f>SUMIFS('Maturing receivables'!$K:$K,'Maturing receivables'!$S:$S,Vertical_Cash_flow!AM$11,'Maturing receivables'!$J:$J,Vertical_Cash_flow!AM$15,'Maturing receivables'!$A:$A,Vertical_Cash_flow!$C$14,'Maturing receivables'!$G:$G,Vertical_Cash_flow!$B48,'Maturing receivables'!$F:$F,Vertical_Cash_flow!$B$45)</f>
        <v>152000</v>
      </c>
      <c r="AN48" s="32">
        <f>SUMIFS('Maturing receivables'!$K:$K,'Maturing receivables'!$S:$S,Vertical_Cash_flow!AM$11,'Maturing receivables'!$J:$J,Vertical_Cash_flow!AN$15,'Maturing receivables'!$A:$A,Vertical_Cash_flow!$D$14,'Maturing receivables'!$G:$G,Vertical_Cash_flow!$B48,'Maturing receivables'!$F:$F,Vertical_Cash_flow!$B$45)</f>
        <v>0</v>
      </c>
      <c r="AO48" s="32">
        <f>SUMIFS('Maturing receivables'!$K:$K,'Maturing receivables'!$S:$S,Vertical_Cash_flow!AM$11,'Maturing receivables'!$J:$J,Vertical_Cash_flow!AO$15,'Maturing receivables'!$A:$A,Vertical_Cash_flow!$E$14,'Maturing receivables'!$G:$G,Vertical_Cash_flow!$B48,'Maturing receivables'!$F:$F,Vertical_Cash_flow!$B$45)</f>
        <v>0</v>
      </c>
      <c r="AP48" s="32">
        <f>SUMIFS('Maturing receivables'!$K:$K,'Maturing receivables'!$S:$S,Vertical_Cash_flow!AM$11,'Maturing receivables'!$J:$J,Vertical_Cash_flow!AP$15,'Maturing receivables'!$A:$A,Vertical_Cash_flow!$F$14,'Maturing receivables'!$G:$G,Vertical_Cash_flow!$B48,'Maturing receivables'!$F:$F,Vertical_Cash_flow!$B$45)</f>
        <v>0</v>
      </c>
      <c r="AQ48" s="195">
        <f t="shared" si="48"/>
        <v>152000</v>
      </c>
      <c r="AR48" s="195">
        <f t="shared" si="40"/>
        <v>45600</v>
      </c>
      <c r="AS48" s="48">
        <f>SUMIFS('Maturing receivables'!$K:$K,'Maturing receivables'!$S:$S,Vertical_Cash_flow!AS$11,'Maturing receivables'!$J:$J,Vertical_Cash_flow!AS$15,'Maturing receivables'!$A:$A,Vertical_Cash_flow!$C$14,'Maturing receivables'!$G:$G,Vertical_Cash_flow!$B48,'Maturing receivables'!$F:$F,Vertical_Cash_flow!$B$45)</f>
        <v>170000</v>
      </c>
      <c r="AT48" s="32">
        <f>SUMIFS('Maturing receivables'!$K:$K,'Maturing receivables'!$S:$S,Vertical_Cash_flow!AS$11,'Maturing receivables'!$J:$J,Vertical_Cash_flow!AT$15,'Maturing receivables'!$A:$A,Vertical_Cash_flow!$D$14,'Maturing receivables'!$G:$G,Vertical_Cash_flow!$B48,'Maturing receivables'!$F:$F,Vertical_Cash_flow!$B$45)</f>
        <v>0</v>
      </c>
      <c r="AU48" s="32">
        <f>SUMIFS('Maturing receivables'!$K:$K,'Maturing receivables'!$S:$S,Vertical_Cash_flow!AS$11,'Maturing receivables'!$J:$J,Vertical_Cash_flow!AU$15,'Maturing receivables'!$A:$A,Vertical_Cash_flow!$E$14,'Maturing receivables'!$G:$G,Vertical_Cash_flow!$B48,'Maturing receivables'!$F:$F,Vertical_Cash_flow!$B$45)</f>
        <v>0</v>
      </c>
      <c r="AV48" s="32">
        <f>SUMIFS('Maturing receivables'!$K:$K,'Maturing receivables'!$S:$S,Vertical_Cash_flow!AS$11,'Maturing receivables'!$J:$J,Vertical_Cash_flow!AV$15,'Maturing receivables'!$A:$A,Vertical_Cash_flow!$F$14,'Maturing receivables'!$G:$G,Vertical_Cash_flow!$B48,'Maturing receivables'!$F:$F,Vertical_Cash_flow!$B$45)</f>
        <v>0</v>
      </c>
      <c r="AW48" s="195">
        <f t="shared" si="49"/>
        <v>170000</v>
      </c>
      <c r="AX48" s="195">
        <f t="shared" si="41"/>
        <v>51000</v>
      </c>
      <c r="AZ48" s="195">
        <f t="shared" si="33"/>
        <v>995000</v>
      </c>
    </row>
    <row r="49" spans="1:52" s="38" customFormat="1" outlineLevel="2" x14ac:dyDescent="0.2">
      <c r="A49" s="655"/>
      <c r="B49" s="185" t="s">
        <v>52</v>
      </c>
      <c r="C49" s="48">
        <f>SUMIFS('Maturing receivables'!$K:$K,'Maturing receivables'!$S:$S,Vertical_Cash_flow!C$11,'Maturing receivables'!$J:$J,Vertical_Cash_flow!C$15,'Maturing receivables'!$A:$A,Vertical_Cash_flow!$C$14,'Maturing receivables'!$G:$G,Vertical_Cash_flow!$B49,'Maturing receivables'!$F:$F,Vertical_Cash_flow!$B$45)</f>
        <v>0</v>
      </c>
      <c r="D49" s="32">
        <f>SUMIFS('Maturing receivables'!$K:$K,'Maturing receivables'!$S:$S,Vertical_Cash_flow!C$11,'Maturing receivables'!$J:$J,Vertical_Cash_flow!D$15,'Maturing receivables'!$A:$A,Vertical_Cash_flow!$D$14,'Maturing receivables'!$G:$G,Vertical_Cash_flow!$B49,'Maturing receivables'!$F:$F,Vertical_Cash_flow!$B$45)</f>
        <v>0</v>
      </c>
      <c r="E49" s="32">
        <f>SUMIFS('Maturing receivables'!$K:$K,'Maturing receivables'!$S:$S,Vertical_Cash_flow!C$11,'Maturing receivables'!$J:$J,Vertical_Cash_flow!E$15,'Maturing receivables'!$A:$A,Vertical_Cash_flow!$E$14,'Maturing receivables'!$G:$G,Vertical_Cash_flow!$B49,'Maturing receivables'!$F:$F,Vertical_Cash_flow!$B$45)</f>
        <v>0</v>
      </c>
      <c r="F49" s="32">
        <f>SUMIFS('Maturing receivables'!$K:$K,'Maturing receivables'!$S:$S,Vertical_Cash_flow!C$11,'Maturing receivables'!$J:$J,Vertical_Cash_flow!F$15,'Maturing receivables'!$A:$A,Vertical_Cash_flow!$F$14,'Maturing receivables'!$G:$G,Vertical_Cash_flow!$B49,'Maturing receivables'!$F:$F,Vertical_Cash_flow!$B$45)</f>
        <v>0</v>
      </c>
      <c r="G49" s="195">
        <f t="shared" si="42"/>
        <v>0</v>
      </c>
      <c r="H49" s="195">
        <f t="shared" si="34"/>
        <v>0</v>
      </c>
      <c r="I49" s="125">
        <f>SUMIFS('Maturing receivables'!$K:$K,'Maturing receivables'!$S:$S,Vertical_Cash_flow!I$11,'Maturing receivables'!$J:$J,Vertical_Cash_flow!I$15,'Maturing receivables'!$A:$A,Vertical_Cash_flow!$C$14,'Maturing receivables'!$G:$G,Vertical_Cash_flow!$B49,'Maturing receivables'!$F:$F,Vertical_Cash_flow!$B$45)</f>
        <v>69000</v>
      </c>
      <c r="J49" s="32">
        <f>SUMIFS('Maturing receivables'!$K:$K,'Maturing receivables'!$S:$S,Vertical_Cash_flow!I$11,'Maturing receivables'!$J:$J,Vertical_Cash_flow!J$15,'Maturing receivables'!$A:$A,Vertical_Cash_flow!$D$14,'Maturing receivables'!$G:$G,Vertical_Cash_flow!$B49,'Maturing receivables'!$F:$F,Vertical_Cash_flow!$B$45)</f>
        <v>0</v>
      </c>
      <c r="K49" s="32">
        <f>SUMIFS('Maturing receivables'!$K:$K,'Maturing receivables'!$S:$S,Vertical_Cash_flow!I$11,'Maturing receivables'!$J:$J,Vertical_Cash_flow!K$15,'Maturing receivables'!$A:$A,Vertical_Cash_flow!$E$14,'Maturing receivables'!$G:$G,Vertical_Cash_flow!$B49,'Maturing receivables'!$F:$F,Vertical_Cash_flow!$B$45)</f>
        <v>0</v>
      </c>
      <c r="L49" s="32">
        <f>SUMIFS('Maturing receivables'!$K:$K,'Maturing receivables'!$S:$S,Vertical_Cash_flow!I$11,'Maturing receivables'!$J:$J,Vertical_Cash_flow!L$15,'Maturing receivables'!$A:$A,Vertical_Cash_flow!$F$14,'Maturing receivables'!$G:$G,Vertical_Cash_flow!$B49,'Maturing receivables'!$F:$F,Vertical_Cash_flow!$B$45)</f>
        <v>0</v>
      </c>
      <c r="M49" s="195">
        <f t="shared" si="43"/>
        <v>69000</v>
      </c>
      <c r="N49" s="195">
        <f t="shared" si="35"/>
        <v>20700</v>
      </c>
      <c r="O49" s="48">
        <f>SUMIFS('Maturing receivables'!$K:$K,'Maturing receivables'!$S:$S,Vertical_Cash_flow!O$11,'Maturing receivables'!$J:$J,Vertical_Cash_flow!O$15,'Maturing receivables'!$A:$A,Vertical_Cash_flow!$C$14,'Maturing receivables'!$G:$G,Vertical_Cash_flow!$B49,'Maturing receivables'!$F:$F,Vertical_Cash_flow!$B$45)</f>
        <v>26000</v>
      </c>
      <c r="P49" s="32">
        <f>SUMIFS('Maturing receivables'!$K:$K,'Maturing receivables'!$S:$S,Vertical_Cash_flow!O$11,'Maturing receivables'!$J:$J,Vertical_Cash_flow!P$15,'Maturing receivables'!$A:$A,Vertical_Cash_flow!$D$14,'Maturing receivables'!$G:$G,Vertical_Cash_flow!$B49,'Maturing receivables'!$F:$F,Vertical_Cash_flow!$B$45)</f>
        <v>0</v>
      </c>
      <c r="Q49" s="32">
        <f>SUMIFS('Maturing receivables'!$K:$K,'Maturing receivables'!$S:$S,Vertical_Cash_flow!O$11,'Maturing receivables'!$J:$J,Vertical_Cash_flow!Q$15,'Maturing receivables'!$A:$A,Vertical_Cash_flow!$E$14,'Maturing receivables'!$G:$G,Vertical_Cash_flow!$B49,'Maturing receivables'!$F:$F,Vertical_Cash_flow!$B$45)</f>
        <v>0</v>
      </c>
      <c r="R49" s="32">
        <f>SUMIFS('Maturing receivables'!$K:$K,'Maturing receivables'!$S:$S,Vertical_Cash_flow!O$11,'Maturing receivables'!$J:$J,Vertical_Cash_flow!R$15,'Maturing receivables'!$A:$A,Vertical_Cash_flow!$F$14,'Maturing receivables'!$G:$G,Vertical_Cash_flow!$B49,'Maturing receivables'!$F:$F,Vertical_Cash_flow!$B$45)</f>
        <v>0</v>
      </c>
      <c r="S49" s="195">
        <f t="shared" si="44"/>
        <v>26000</v>
      </c>
      <c r="T49" s="195">
        <f t="shared" si="36"/>
        <v>7800</v>
      </c>
      <c r="U49" s="48">
        <f>SUMIFS('Maturing receivables'!$K:$K,'Maturing receivables'!$S:$S,Vertical_Cash_flow!U$11,'Maturing receivables'!$J:$J,Vertical_Cash_flow!U$15,'Maturing receivables'!$A:$A,Vertical_Cash_flow!$C$14,'Maturing receivables'!$G:$G,Vertical_Cash_flow!$B49,'Maturing receivables'!$F:$F,Vertical_Cash_flow!$B$45)</f>
        <v>90000</v>
      </c>
      <c r="V49" s="32">
        <f>SUMIFS('Maturing receivables'!$K:$K,'Maturing receivables'!$S:$S,Vertical_Cash_flow!U$11,'Maturing receivables'!$J:$J,Vertical_Cash_flow!V$15,'Maturing receivables'!$A:$A,Vertical_Cash_flow!$D$14,'Maturing receivables'!$G:$G,Vertical_Cash_flow!$B49,'Maturing receivables'!$F:$F,Vertical_Cash_flow!$B$45)</f>
        <v>0</v>
      </c>
      <c r="W49" s="32">
        <f>SUMIFS('Maturing receivables'!$K:$K,'Maturing receivables'!$S:$S,Vertical_Cash_flow!U$11,'Maturing receivables'!$J:$J,Vertical_Cash_flow!W$15,'Maturing receivables'!$A:$A,Vertical_Cash_flow!$E$14,'Maturing receivables'!$G:$G,Vertical_Cash_flow!$B49,'Maturing receivables'!$F:$F,Vertical_Cash_flow!$B$45)</f>
        <v>0</v>
      </c>
      <c r="X49" s="32">
        <f>SUMIFS('Maturing receivables'!$K:$K,'Maturing receivables'!$S:$S,Vertical_Cash_flow!U$11,'Maturing receivables'!$J:$J,Vertical_Cash_flow!X$15,'Maturing receivables'!$A:$A,Vertical_Cash_flow!$F$14,'Maturing receivables'!$G:$G,Vertical_Cash_flow!$B49,'Maturing receivables'!$F:$F,Vertical_Cash_flow!$B$45)</f>
        <v>0</v>
      </c>
      <c r="Y49" s="195">
        <f t="shared" si="45"/>
        <v>90000</v>
      </c>
      <c r="Z49" s="195">
        <f t="shared" si="37"/>
        <v>27000</v>
      </c>
      <c r="AA49" s="48">
        <f>SUMIFS('Maturing receivables'!$K:$K,'Maturing receivables'!$S:$S,Vertical_Cash_flow!AA$11,'Maturing receivables'!$J:$J,Vertical_Cash_flow!AA$15,'Maturing receivables'!$A:$A,Vertical_Cash_flow!$C$14,'Maturing receivables'!$G:$G,Vertical_Cash_flow!$B49,'Maturing receivables'!$F:$F,Vertical_Cash_flow!$B$45)</f>
        <v>80000</v>
      </c>
      <c r="AB49" s="32">
        <f>SUMIFS('Maturing receivables'!$K:$K,'Maturing receivables'!$S:$S,Vertical_Cash_flow!AA$11,'Maturing receivables'!$J:$J,Vertical_Cash_flow!AB$15,'Maturing receivables'!$A:$A,Vertical_Cash_flow!$D$14,'Maturing receivables'!$G:$G,Vertical_Cash_flow!$B49,'Maturing receivables'!$F:$F,Vertical_Cash_flow!$B$45)</f>
        <v>0</v>
      </c>
      <c r="AC49" s="32">
        <f>SUMIFS('Maturing receivables'!$K:$K,'Maturing receivables'!$S:$S,Vertical_Cash_flow!AA$11,'Maturing receivables'!$J:$J,Vertical_Cash_flow!AC$15,'Maturing receivables'!$A:$A,Vertical_Cash_flow!$E$14,'Maturing receivables'!$G:$G,Vertical_Cash_flow!$B49,'Maturing receivables'!$F:$F,Vertical_Cash_flow!$B$45)</f>
        <v>0</v>
      </c>
      <c r="AD49" s="32">
        <f>SUMIFS('Maturing receivables'!$K:$K,'Maturing receivables'!$S:$S,Vertical_Cash_flow!AA$11,'Maturing receivables'!$J:$J,Vertical_Cash_flow!AD$15,'Maturing receivables'!$A:$A,Vertical_Cash_flow!$F$14,'Maturing receivables'!$G:$G,Vertical_Cash_flow!$B49,'Maturing receivables'!$F:$F,Vertical_Cash_flow!$B$45)</f>
        <v>0</v>
      </c>
      <c r="AE49" s="195">
        <f t="shared" si="46"/>
        <v>80000</v>
      </c>
      <c r="AF49" s="195">
        <f t="shared" si="38"/>
        <v>24000</v>
      </c>
      <c r="AG49" s="48">
        <f>SUMIFS('Maturing receivables'!$K:$K,'Maturing receivables'!$S:$S,Vertical_Cash_flow!AG$11,'Maturing receivables'!$J:$J,Vertical_Cash_flow!AG$15,'Maturing receivables'!$A:$A,Vertical_Cash_flow!$C$14,'Maturing receivables'!$G:$G,Vertical_Cash_flow!$B49,'Maturing receivables'!$F:$F,Vertical_Cash_flow!$B$45)</f>
        <v>110000</v>
      </c>
      <c r="AH49" s="32">
        <f>SUMIFS('Maturing receivables'!$K:$K,'Maturing receivables'!$S:$S,Vertical_Cash_flow!AG$11,'Maturing receivables'!$J:$J,Vertical_Cash_flow!AH$15,'Maturing receivables'!$A:$A,Vertical_Cash_flow!$D$14,'Maturing receivables'!$G:$G,Vertical_Cash_flow!$B49,'Maturing receivables'!$F:$F,Vertical_Cash_flow!$B$45)</f>
        <v>0</v>
      </c>
      <c r="AI49" s="32">
        <f>SUMIFS('Maturing receivables'!$K:$K,'Maturing receivables'!$S:$S,Vertical_Cash_flow!AG$11,'Maturing receivables'!$J:$J,Vertical_Cash_flow!AI$15,'Maturing receivables'!$A:$A,Vertical_Cash_flow!$E$14,'Maturing receivables'!$G:$G,Vertical_Cash_flow!$B49,'Maturing receivables'!$F:$F,Vertical_Cash_flow!$B$45)</f>
        <v>0</v>
      </c>
      <c r="AJ49" s="32">
        <f>SUMIFS('Maturing receivables'!$K:$K,'Maturing receivables'!$S:$S,Vertical_Cash_flow!AG$11,'Maturing receivables'!$J:$J,Vertical_Cash_flow!AJ$15,'Maturing receivables'!$A:$A,Vertical_Cash_flow!$F$14,'Maturing receivables'!$G:$G,Vertical_Cash_flow!$B49,'Maturing receivables'!$F:$F,Vertical_Cash_flow!$B$45)</f>
        <v>0</v>
      </c>
      <c r="AK49" s="195">
        <f t="shared" si="47"/>
        <v>110000</v>
      </c>
      <c r="AL49" s="195">
        <f t="shared" si="39"/>
        <v>33000</v>
      </c>
      <c r="AM49" s="48">
        <f>SUMIFS('Maturing receivables'!$K:$K,'Maturing receivables'!$S:$S,Vertical_Cash_flow!AM$11,'Maturing receivables'!$J:$J,Vertical_Cash_flow!AM$15,'Maturing receivables'!$A:$A,Vertical_Cash_flow!$C$14,'Maturing receivables'!$G:$G,Vertical_Cash_flow!$B49,'Maturing receivables'!$F:$F,Vertical_Cash_flow!$B$45)</f>
        <v>40000</v>
      </c>
      <c r="AN49" s="32">
        <f>SUMIFS('Maturing receivables'!$K:$K,'Maturing receivables'!$S:$S,Vertical_Cash_flow!AM$11,'Maturing receivables'!$J:$J,Vertical_Cash_flow!AN$15,'Maturing receivables'!$A:$A,Vertical_Cash_flow!$D$14,'Maturing receivables'!$G:$G,Vertical_Cash_flow!$B49,'Maturing receivables'!$F:$F,Vertical_Cash_flow!$B$45)</f>
        <v>0</v>
      </c>
      <c r="AO49" s="32">
        <f>SUMIFS('Maturing receivables'!$K:$K,'Maturing receivables'!$S:$S,Vertical_Cash_flow!AM$11,'Maturing receivables'!$J:$J,Vertical_Cash_flow!AO$15,'Maturing receivables'!$A:$A,Vertical_Cash_flow!$E$14,'Maturing receivables'!$G:$G,Vertical_Cash_flow!$B49,'Maturing receivables'!$F:$F,Vertical_Cash_flow!$B$45)</f>
        <v>0</v>
      </c>
      <c r="AP49" s="32">
        <f>SUMIFS('Maturing receivables'!$K:$K,'Maturing receivables'!$S:$S,Vertical_Cash_flow!AM$11,'Maturing receivables'!$J:$J,Vertical_Cash_flow!AP$15,'Maturing receivables'!$A:$A,Vertical_Cash_flow!$F$14,'Maturing receivables'!$G:$G,Vertical_Cash_flow!$B49,'Maturing receivables'!$F:$F,Vertical_Cash_flow!$B$45)</f>
        <v>0</v>
      </c>
      <c r="AQ49" s="195">
        <f t="shared" si="48"/>
        <v>40000</v>
      </c>
      <c r="AR49" s="195">
        <f t="shared" si="40"/>
        <v>12000</v>
      </c>
      <c r="AS49" s="48">
        <f>SUMIFS('Maturing receivables'!$K:$K,'Maturing receivables'!$S:$S,Vertical_Cash_flow!AS$11,'Maturing receivables'!$J:$J,Vertical_Cash_flow!AS$15,'Maturing receivables'!$A:$A,Vertical_Cash_flow!$C$14,'Maturing receivables'!$G:$G,Vertical_Cash_flow!$B49,'Maturing receivables'!$F:$F,Vertical_Cash_flow!$B$45)</f>
        <v>60000</v>
      </c>
      <c r="AT49" s="32">
        <f>SUMIFS('Maturing receivables'!$K:$K,'Maturing receivables'!$S:$S,Vertical_Cash_flow!AS$11,'Maturing receivables'!$J:$J,Vertical_Cash_flow!AT$15,'Maturing receivables'!$A:$A,Vertical_Cash_flow!$D$14,'Maturing receivables'!$G:$G,Vertical_Cash_flow!$B49,'Maturing receivables'!$F:$F,Vertical_Cash_flow!$B$45)</f>
        <v>0</v>
      </c>
      <c r="AU49" s="32">
        <f>SUMIFS('Maturing receivables'!$K:$K,'Maturing receivables'!$S:$S,Vertical_Cash_flow!AS$11,'Maturing receivables'!$J:$J,Vertical_Cash_flow!AU$15,'Maturing receivables'!$A:$A,Vertical_Cash_flow!$E$14,'Maturing receivables'!$G:$G,Vertical_Cash_flow!$B49,'Maturing receivables'!$F:$F,Vertical_Cash_flow!$B$45)</f>
        <v>0</v>
      </c>
      <c r="AV49" s="32">
        <f>SUMIFS('Maturing receivables'!$K:$K,'Maturing receivables'!$S:$S,Vertical_Cash_flow!AS$11,'Maturing receivables'!$J:$J,Vertical_Cash_flow!AV$15,'Maturing receivables'!$A:$A,Vertical_Cash_flow!$F$14,'Maturing receivables'!$G:$G,Vertical_Cash_flow!$B49,'Maturing receivables'!$F:$F,Vertical_Cash_flow!$B$45)</f>
        <v>0</v>
      </c>
      <c r="AW49" s="195">
        <f t="shared" si="49"/>
        <v>60000</v>
      </c>
      <c r="AX49" s="195">
        <f t="shared" si="41"/>
        <v>18000</v>
      </c>
      <c r="AZ49" s="195">
        <f t="shared" si="33"/>
        <v>475000</v>
      </c>
    </row>
    <row r="50" spans="1:52" outlineLevel="2" x14ac:dyDescent="0.2">
      <c r="A50" s="655"/>
      <c r="B50" s="183" t="s">
        <v>48</v>
      </c>
      <c r="C50" s="48">
        <f>SUMIFS('Maturing receivables'!$K:$K,'Maturing receivables'!$S:$S,Vertical_Cash_flow!C$11,'Maturing receivables'!$J:$J,Vertical_Cash_flow!C$15,'Maturing receivables'!$A:$A,Vertical_Cash_flow!$C$14,'Maturing receivables'!$G:$G,Vertical_Cash_flow!$B50,'Maturing receivables'!$F:$F,Vertical_Cash_flow!$B$45)</f>
        <v>191133.55300000001</v>
      </c>
      <c r="D50" s="32">
        <f>SUMIFS('Maturing receivables'!$K:$K,'Maturing receivables'!$S:$S,Vertical_Cash_flow!C$11,'Maturing receivables'!$J:$J,Vertical_Cash_flow!D$15,'Maturing receivables'!$A:$A,Vertical_Cash_flow!$D$14,'Maturing receivables'!$G:$G,Vertical_Cash_flow!$B50,'Maturing receivables'!$F:$F,Vertical_Cash_flow!$B$45)</f>
        <v>0</v>
      </c>
      <c r="E50" s="32">
        <f>SUMIFS('Maturing receivables'!$K:$K,'Maturing receivables'!$S:$S,Vertical_Cash_flow!C$11,'Maturing receivables'!$J:$J,Vertical_Cash_flow!E$15,'Maturing receivables'!$A:$A,Vertical_Cash_flow!$E$14,'Maturing receivables'!$G:$G,Vertical_Cash_flow!$B50,'Maturing receivables'!$F:$F,Vertical_Cash_flow!$B$45)</f>
        <v>0</v>
      </c>
      <c r="F50" s="32">
        <f>SUMIFS('Maturing receivables'!$K:$K,'Maturing receivables'!$S:$S,Vertical_Cash_flow!C$11,'Maturing receivables'!$J:$J,Vertical_Cash_flow!F$15,'Maturing receivables'!$A:$A,Vertical_Cash_flow!$F$14,'Maturing receivables'!$G:$G,Vertical_Cash_flow!$B50,'Maturing receivables'!$F:$F,Vertical_Cash_flow!$B$45)</f>
        <v>0</v>
      </c>
      <c r="G50" s="195">
        <f t="shared" si="42"/>
        <v>191133.55300000001</v>
      </c>
      <c r="H50" s="195">
        <f t="shared" si="34"/>
        <v>57340.065900000001</v>
      </c>
      <c r="I50" s="48">
        <f>SUMIFS('Maturing receivables'!$K:$K,'Maturing receivables'!$S:$S,Vertical_Cash_flow!I$11,'Maturing receivables'!$J:$J,Vertical_Cash_flow!I$15,'Maturing receivables'!$A:$A,Vertical_Cash_flow!$C$14,'Maturing receivables'!$G:$G,Vertical_Cash_flow!$B50,'Maturing receivables'!$F:$F,Vertical_Cash_flow!$B$45)</f>
        <v>150000</v>
      </c>
      <c r="J50" s="32">
        <f>SUMIFS('Maturing receivables'!$K:$K,'Maturing receivables'!$S:$S,Vertical_Cash_flow!I$11,'Maturing receivables'!$J:$J,Vertical_Cash_flow!J$15,'Maturing receivables'!$A:$A,Vertical_Cash_flow!$D$14,'Maturing receivables'!$G:$G,Vertical_Cash_flow!$B50,'Maturing receivables'!$F:$F,Vertical_Cash_flow!$B$45)</f>
        <v>0</v>
      </c>
      <c r="K50" s="32">
        <f>SUMIFS('Maturing receivables'!$K:$K,'Maturing receivables'!$S:$S,Vertical_Cash_flow!I$11,'Maturing receivables'!$J:$J,Vertical_Cash_flow!K$15,'Maturing receivables'!$A:$A,Vertical_Cash_flow!$E$14,'Maturing receivables'!$G:$G,Vertical_Cash_flow!$B50,'Maturing receivables'!$F:$F,Vertical_Cash_flow!$B$45)</f>
        <v>0</v>
      </c>
      <c r="L50" s="32">
        <f>SUMIFS('Maturing receivables'!$K:$K,'Maturing receivables'!$S:$S,Vertical_Cash_flow!I$11,'Maturing receivables'!$J:$J,Vertical_Cash_flow!L$15,'Maturing receivables'!$A:$A,Vertical_Cash_flow!$F$14,'Maturing receivables'!$G:$G,Vertical_Cash_flow!$B50,'Maturing receivables'!$F:$F,Vertical_Cash_flow!$B$45)</f>
        <v>0</v>
      </c>
      <c r="M50" s="195">
        <f t="shared" si="43"/>
        <v>150000</v>
      </c>
      <c r="N50" s="195">
        <f t="shared" si="35"/>
        <v>45000</v>
      </c>
      <c r="O50" s="48">
        <f>SUMIFS('Maturing receivables'!$K:$K,'Maturing receivables'!$S:$S,Vertical_Cash_flow!O$11,'Maturing receivables'!$J:$J,Vertical_Cash_flow!O$15,'Maturing receivables'!$A:$A,Vertical_Cash_flow!$C$14,'Maturing receivables'!$G:$G,Vertical_Cash_flow!$B50,'Maturing receivables'!$F:$F,Vertical_Cash_flow!$B$45)</f>
        <v>150000</v>
      </c>
      <c r="P50" s="32">
        <f>SUMIFS('Maturing receivables'!$K:$K,'Maturing receivables'!$S:$S,Vertical_Cash_flow!O$11,'Maturing receivables'!$J:$J,Vertical_Cash_flow!P$15,'Maturing receivables'!$A:$A,Vertical_Cash_flow!$D$14,'Maturing receivables'!$G:$G,Vertical_Cash_flow!$B50,'Maturing receivables'!$F:$F,Vertical_Cash_flow!$B$45)</f>
        <v>0</v>
      </c>
      <c r="Q50" s="32">
        <f>SUMIFS('Maturing receivables'!$K:$K,'Maturing receivables'!$S:$S,Vertical_Cash_flow!O$11,'Maturing receivables'!$J:$J,Vertical_Cash_flow!Q$15,'Maturing receivables'!$A:$A,Vertical_Cash_flow!$E$14,'Maturing receivables'!$G:$G,Vertical_Cash_flow!$B50,'Maturing receivables'!$F:$F,Vertical_Cash_flow!$B$45)</f>
        <v>0</v>
      </c>
      <c r="R50" s="32">
        <f>SUMIFS('Maturing receivables'!$K:$K,'Maturing receivables'!$S:$S,Vertical_Cash_flow!O$11,'Maturing receivables'!$J:$J,Vertical_Cash_flow!R$15,'Maturing receivables'!$A:$A,Vertical_Cash_flow!$F$14,'Maturing receivables'!$G:$G,Vertical_Cash_flow!$B50,'Maturing receivables'!$F:$F,Vertical_Cash_flow!$B$45)</f>
        <v>0</v>
      </c>
      <c r="S50" s="195">
        <f t="shared" si="44"/>
        <v>150000</v>
      </c>
      <c r="T50" s="195">
        <f t="shared" si="36"/>
        <v>45000</v>
      </c>
      <c r="U50" s="48">
        <f>SUMIFS('Maturing receivables'!$K:$K,'Maturing receivables'!$S:$S,Vertical_Cash_flow!U$11,'Maturing receivables'!$J:$J,Vertical_Cash_flow!U$15,'Maturing receivables'!$A:$A,Vertical_Cash_flow!$C$14,'Maturing receivables'!$G:$G,Vertical_Cash_flow!$B50,'Maturing receivables'!$F:$F,Vertical_Cash_flow!$B$45)</f>
        <v>150000</v>
      </c>
      <c r="V50" s="32">
        <f>SUMIFS('Maturing receivables'!$K:$K,'Maturing receivables'!$S:$S,Vertical_Cash_flow!U$11,'Maturing receivables'!$J:$J,Vertical_Cash_flow!V$15,'Maturing receivables'!$A:$A,Vertical_Cash_flow!$D$14,'Maturing receivables'!$G:$G,Vertical_Cash_flow!$B50,'Maturing receivables'!$F:$F,Vertical_Cash_flow!$B$45)</f>
        <v>0</v>
      </c>
      <c r="W50" s="32">
        <f>SUMIFS('Maturing receivables'!$K:$K,'Maturing receivables'!$S:$S,Vertical_Cash_flow!U$11,'Maturing receivables'!$J:$J,Vertical_Cash_flow!W$15,'Maturing receivables'!$A:$A,Vertical_Cash_flow!$E$14,'Maturing receivables'!$G:$G,Vertical_Cash_flow!$B50,'Maturing receivables'!$F:$F,Vertical_Cash_flow!$B$45)</f>
        <v>0</v>
      </c>
      <c r="X50" s="32">
        <f>SUMIFS('Maturing receivables'!$K:$K,'Maturing receivables'!$S:$S,Vertical_Cash_flow!U$11,'Maturing receivables'!$J:$J,Vertical_Cash_flow!X$15,'Maturing receivables'!$A:$A,Vertical_Cash_flow!$F$14,'Maturing receivables'!$G:$G,Vertical_Cash_flow!$B50,'Maturing receivables'!$F:$F,Vertical_Cash_flow!$B$45)</f>
        <v>0</v>
      </c>
      <c r="Y50" s="195">
        <f t="shared" si="45"/>
        <v>150000</v>
      </c>
      <c r="Z50" s="195">
        <f t="shared" si="37"/>
        <v>45000</v>
      </c>
      <c r="AA50" s="48">
        <f>SUMIFS('Maturing receivables'!$K:$K,'Maturing receivables'!$S:$S,Vertical_Cash_flow!AA$11,'Maturing receivables'!$J:$J,Vertical_Cash_flow!AA$15,'Maturing receivables'!$A:$A,Vertical_Cash_flow!$C$14,'Maturing receivables'!$G:$G,Vertical_Cash_flow!$B50,'Maturing receivables'!$F:$F,Vertical_Cash_flow!$B$45)</f>
        <v>150000</v>
      </c>
      <c r="AB50" s="32">
        <f>SUMIFS('Maturing receivables'!$K:$K,'Maturing receivables'!$S:$S,Vertical_Cash_flow!AA$11,'Maturing receivables'!$J:$J,Vertical_Cash_flow!AB$15,'Maturing receivables'!$A:$A,Vertical_Cash_flow!$D$14,'Maturing receivables'!$G:$G,Vertical_Cash_flow!$B50,'Maturing receivables'!$F:$F,Vertical_Cash_flow!$B$45)</f>
        <v>0</v>
      </c>
      <c r="AC50" s="32">
        <f>SUMIFS('Maturing receivables'!$K:$K,'Maturing receivables'!$S:$S,Vertical_Cash_flow!AA$11,'Maturing receivables'!$J:$J,Vertical_Cash_flow!AC$15,'Maturing receivables'!$A:$A,Vertical_Cash_flow!$E$14,'Maturing receivables'!$G:$G,Vertical_Cash_flow!$B50,'Maturing receivables'!$F:$F,Vertical_Cash_flow!$B$45)</f>
        <v>0</v>
      </c>
      <c r="AD50" s="32">
        <f>SUMIFS('Maturing receivables'!$K:$K,'Maturing receivables'!$S:$S,Vertical_Cash_flow!AA$11,'Maturing receivables'!$J:$J,Vertical_Cash_flow!AD$15,'Maturing receivables'!$A:$A,Vertical_Cash_flow!$F$14,'Maturing receivables'!$G:$G,Vertical_Cash_flow!$B50,'Maturing receivables'!$F:$F,Vertical_Cash_flow!$B$45)</f>
        <v>0</v>
      </c>
      <c r="AE50" s="195">
        <f t="shared" si="46"/>
        <v>150000</v>
      </c>
      <c r="AF50" s="195">
        <f t="shared" si="38"/>
        <v>45000</v>
      </c>
      <c r="AG50" s="48">
        <f>SUMIFS('Maturing receivables'!$K:$K,'Maturing receivables'!$S:$S,Vertical_Cash_flow!AG$11,'Maturing receivables'!$J:$J,Vertical_Cash_flow!AG$15,'Maturing receivables'!$A:$A,Vertical_Cash_flow!$C$14,'Maturing receivables'!$G:$G,Vertical_Cash_flow!$B50,'Maturing receivables'!$F:$F,Vertical_Cash_flow!$B$45)</f>
        <v>150000</v>
      </c>
      <c r="AH50" s="32">
        <f>SUMIFS('Maturing receivables'!$K:$K,'Maturing receivables'!$S:$S,Vertical_Cash_flow!AG$11,'Maturing receivables'!$J:$J,Vertical_Cash_flow!AH$15,'Maturing receivables'!$A:$A,Vertical_Cash_flow!$D$14,'Maturing receivables'!$G:$G,Vertical_Cash_flow!$B50,'Maturing receivables'!$F:$F,Vertical_Cash_flow!$B$45)</f>
        <v>0</v>
      </c>
      <c r="AI50" s="32">
        <f>SUMIFS('Maturing receivables'!$K:$K,'Maturing receivables'!$S:$S,Vertical_Cash_flow!AG$11,'Maturing receivables'!$J:$J,Vertical_Cash_flow!AI$15,'Maturing receivables'!$A:$A,Vertical_Cash_flow!$E$14,'Maturing receivables'!$G:$G,Vertical_Cash_flow!$B50,'Maturing receivables'!$F:$F,Vertical_Cash_flow!$B$45)</f>
        <v>0</v>
      </c>
      <c r="AJ50" s="32">
        <f>SUMIFS('Maturing receivables'!$K:$K,'Maturing receivables'!$S:$S,Vertical_Cash_flow!AG$11,'Maturing receivables'!$J:$J,Vertical_Cash_flow!AJ$15,'Maturing receivables'!$A:$A,Vertical_Cash_flow!$F$14,'Maturing receivables'!$G:$G,Vertical_Cash_flow!$B50,'Maturing receivables'!$F:$F,Vertical_Cash_flow!$B$45)</f>
        <v>0</v>
      </c>
      <c r="AK50" s="195">
        <f t="shared" si="47"/>
        <v>150000</v>
      </c>
      <c r="AL50" s="195">
        <f t="shared" si="39"/>
        <v>45000</v>
      </c>
      <c r="AM50" s="48">
        <f>SUMIFS('Maturing receivables'!$K:$K,'Maturing receivables'!$S:$S,Vertical_Cash_flow!AM$11,'Maturing receivables'!$J:$J,Vertical_Cash_flow!AM$15,'Maturing receivables'!$A:$A,Vertical_Cash_flow!$C$14,'Maturing receivables'!$G:$G,Vertical_Cash_flow!$B50,'Maturing receivables'!$F:$F,Vertical_Cash_flow!$B$45)</f>
        <v>150000</v>
      </c>
      <c r="AN50" s="32">
        <f>SUMIFS('Maturing receivables'!$K:$K,'Maturing receivables'!$S:$S,Vertical_Cash_flow!AM$11,'Maturing receivables'!$J:$J,Vertical_Cash_flow!AN$15,'Maturing receivables'!$A:$A,Vertical_Cash_flow!$D$14,'Maturing receivables'!$G:$G,Vertical_Cash_flow!$B50,'Maturing receivables'!$F:$F,Vertical_Cash_flow!$B$45)</f>
        <v>0</v>
      </c>
      <c r="AO50" s="32">
        <f>SUMIFS('Maturing receivables'!$K:$K,'Maturing receivables'!$S:$S,Vertical_Cash_flow!AM$11,'Maturing receivables'!$J:$J,Vertical_Cash_flow!AO$15,'Maturing receivables'!$A:$A,Vertical_Cash_flow!$E$14,'Maturing receivables'!$G:$G,Vertical_Cash_flow!$B50,'Maturing receivables'!$F:$F,Vertical_Cash_flow!$B$45)</f>
        <v>0</v>
      </c>
      <c r="AP50" s="32">
        <f>SUMIFS('Maturing receivables'!$K:$K,'Maturing receivables'!$S:$S,Vertical_Cash_flow!AM$11,'Maturing receivables'!$J:$J,Vertical_Cash_flow!AP$15,'Maturing receivables'!$A:$A,Vertical_Cash_flow!$F$14,'Maturing receivables'!$G:$G,Vertical_Cash_flow!$B50,'Maturing receivables'!$F:$F,Vertical_Cash_flow!$B$45)</f>
        <v>0</v>
      </c>
      <c r="AQ50" s="195">
        <f t="shared" si="48"/>
        <v>150000</v>
      </c>
      <c r="AR50" s="195">
        <f t="shared" si="40"/>
        <v>45000</v>
      </c>
      <c r="AS50" s="48">
        <f>SUMIFS('Maturing receivables'!$K:$K,'Maturing receivables'!$S:$S,Vertical_Cash_flow!AS$11,'Maturing receivables'!$J:$J,Vertical_Cash_flow!AS$15,'Maturing receivables'!$A:$A,Vertical_Cash_flow!$C$14,'Maturing receivables'!$G:$G,Vertical_Cash_flow!$B50,'Maturing receivables'!$F:$F,Vertical_Cash_flow!$B$45)</f>
        <v>150000</v>
      </c>
      <c r="AT50" s="32">
        <f>SUMIFS('Maturing receivables'!$K:$K,'Maturing receivables'!$S:$S,Vertical_Cash_flow!AS$11,'Maturing receivables'!$J:$J,Vertical_Cash_flow!AT$15,'Maturing receivables'!$A:$A,Vertical_Cash_flow!$D$14,'Maturing receivables'!$G:$G,Vertical_Cash_flow!$B50,'Maturing receivables'!$F:$F,Vertical_Cash_flow!$B$45)</f>
        <v>0</v>
      </c>
      <c r="AU50" s="32">
        <f>SUMIFS('Maturing receivables'!$K:$K,'Maturing receivables'!$S:$S,Vertical_Cash_flow!AS$11,'Maturing receivables'!$J:$J,Vertical_Cash_flow!AU$15,'Maturing receivables'!$A:$A,Vertical_Cash_flow!$E$14,'Maturing receivables'!$G:$G,Vertical_Cash_flow!$B50,'Maturing receivables'!$F:$F,Vertical_Cash_flow!$B$45)</f>
        <v>0</v>
      </c>
      <c r="AV50" s="32">
        <f>SUMIFS('Maturing receivables'!$K:$K,'Maturing receivables'!$S:$S,Vertical_Cash_flow!AS$11,'Maturing receivables'!$J:$J,Vertical_Cash_flow!AV$15,'Maturing receivables'!$A:$A,Vertical_Cash_flow!$F$14,'Maturing receivables'!$G:$G,Vertical_Cash_flow!$B50,'Maturing receivables'!$F:$F,Vertical_Cash_flow!$B$45)</f>
        <v>0</v>
      </c>
      <c r="AW50" s="195">
        <f t="shared" si="49"/>
        <v>150000</v>
      </c>
      <c r="AX50" s="195">
        <f t="shared" si="41"/>
        <v>45000</v>
      </c>
      <c r="AZ50" s="195">
        <f t="shared" si="33"/>
        <v>1241133.5530000001</v>
      </c>
    </row>
    <row r="51" spans="1:52" outlineLevel="2" x14ac:dyDescent="0.2">
      <c r="A51" s="655"/>
      <c r="B51" s="183"/>
      <c r="C51" s="60"/>
      <c r="D51" s="62"/>
      <c r="E51" s="62"/>
      <c r="F51" s="62"/>
      <c r="G51" s="60"/>
      <c r="H51" s="60"/>
      <c r="I51" s="60"/>
      <c r="J51" s="62"/>
      <c r="K51" s="62"/>
      <c r="L51" s="62"/>
      <c r="M51" s="60"/>
      <c r="N51" s="60"/>
      <c r="O51" s="60"/>
      <c r="P51" s="62"/>
      <c r="Q51" s="62"/>
      <c r="R51" s="62"/>
      <c r="S51" s="60"/>
      <c r="T51" s="60"/>
      <c r="U51" s="60"/>
      <c r="V51" s="62"/>
      <c r="W51" s="62"/>
      <c r="X51" s="62"/>
      <c r="Y51" s="60"/>
      <c r="Z51" s="60"/>
      <c r="AA51" s="60"/>
      <c r="AB51" s="62"/>
      <c r="AC51" s="62"/>
      <c r="AD51" s="62"/>
      <c r="AE51" s="60"/>
      <c r="AF51" s="60"/>
      <c r="AG51" s="60"/>
      <c r="AH51" s="62"/>
      <c r="AI51" s="62"/>
      <c r="AJ51" s="62"/>
      <c r="AK51" s="60"/>
      <c r="AL51" s="60"/>
      <c r="AM51" s="60"/>
      <c r="AN51" s="62"/>
      <c r="AO51" s="62"/>
      <c r="AP51" s="62"/>
      <c r="AQ51" s="60"/>
      <c r="AR51" s="60"/>
      <c r="AS51" s="60"/>
      <c r="AT51" s="62"/>
      <c r="AU51" s="62"/>
      <c r="AV51" s="62"/>
      <c r="AW51" s="60"/>
      <c r="AX51" s="60"/>
      <c r="AZ51" s="60"/>
    </row>
    <row r="52" spans="1:52" s="3" customFormat="1" x14ac:dyDescent="0.2">
      <c r="A52" s="655"/>
      <c r="B52" s="182" t="s">
        <v>63</v>
      </c>
      <c r="C52" s="54">
        <f t="shared" ref="C52:H52" si="50">SUM(C53:C54)</f>
        <v>0</v>
      </c>
      <c r="D52" s="31">
        <f t="shared" si="50"/>
        <v>0</v>
      </c>
      <c r="E52" s="31">
        <f t="shared" si="50"/>
        <v>0</v>
      </c>
      <c r="F52" s="31">
        <f t="shared" si="50"/>
        <v>0</v>
      </c>
      <c r="G52" s="54">
        <f>SUM(G53:G54)</f>
        <v>0</v>
      </c>
      <c r="H52" s="54">
        <f t="shared" si="50"/>
        <v>0</v>
      </c>
      <c r="I52" s="54">
        <f t="shared" ref="I52:L52" si="51">SUM(I53:I54)</f>
        <v>0</v>
      </c>
      <c r="J52" s="31">
        <f t="shared" si="51"/>
        <v>0</v>
      </c>
      <c r="K52" s="31">
        <f t="shared" si="51"/>
        <v>0</v>
      </c>
      <c r="L52" s="31">
        <f t="shared" si="51"/>
        <v>0</v>
      </c>
      <c r="M52" s="54">
        <f>SUM(M53:M54)</f>
        <v>0</v>
      </c>
      <c r="N52" s="54">
        <f t="shared" ref="N52" si="52">SUM(N53:N54)</f>
        <v>0</v>
      </c>
      <c r="O52" s="54">
        <f t="shared" ref="O52:R52" si="53">SUM(O53:O54)</f>
        <v>0</v>
      </c>
      <c r="P52" s="31">
        <f t="shared" si="53"/>
        <v>0</v>
      </c>
      <c r="Q52" s="31">
        <f t="shared" si="53"/>
        <v>0</v>
      </c>
      <c r="R52" s="31">
        <f t="shared" si="53"/>
        <v>0</v>
      </c>
      <c r="S52" s="54">
        <f t="shared" ref="S52:T52" si="54">SUM(S53:S54)</f>
        <v>0</v>
      </c>
      <c r="T52" s="54">
        <f t="shared" si="54"/>
        <v>0</v>
      </c>
      <c r="U52" s="54">
        <f t="shared" ref="U52:X52" si="55">SUM(U53:U54)</f>
        <v>0</v>
      </c>
      <c r="V52" s="31">
        <f t="shared" si="55"/>
        <v>0</v>
      </c>
      <c r="W52" s="31">
        <f t="shared" si="55"/>
        <v>0</v>
      </c>
      <c r="X52" s="31">
        <f t="shared" si="55"/>
        <v>0</v>
      </c>
      <c r="Y52" s="54">
        <f t="shared" ref="Y52:Z52" si="56">SUM(Y53:Y54)</f>
        <v>0</v>
      </c>
      <c r="Z52" s="54">
        <f t="shared" si="56"/>
        <v>0</v>
      </c>
      <c r="AA52" s="54">
        <f t="shared" ref="AA52:AD52" si="57">SUM(AA53:AA54)</f>
        <v>0</v>
      </c>
      <c r="AB52" s="31">
        <f t="shared" si="57"/>
        <v>0</v>
      </c>
      <c r="AC52" s="31">
        <f t="shared" si="57"/>
        <v>0</v>
      </c>
      <c r="AD52" s="31">
        <f t="shared" si="57"/>
        <v>0</v>
      </c>
      <c r="AE52" s="54">
        <f t="shared" ref="AE52:AF52" si="58">SUM(AE53:AE54)</f>
        <v>0</v>
      </c>
      <c r="AF52" s="54">
        <f t="shared" si="58"/>
        <v>0</v>
      </c>
      <c r="AG52" s="54">
        <f t="shared" ref="AG52:AJ52" si="59">SUM(AG53:AG54)</f>
        <v>0</v>
      </c>
      <c r="AH52" s="31">
        <f t="shared" si="59"/>
        <v>0</v>
      </c>
      <c r="AI52" s="31">
        <f t="shared" si="59"/>
        <v>0</v>
      </c>
      <c r="AJ52" s="31">
        <f t="shared" si="59"/>
        <v>0</v>
      </c>
      <c r="AK52" s="54">
        <f t="shared" ref="AK52:AL52" si="60">SUM(AK53:AK54)</f>
        <v>0</v>
      </c>
      <c r="AL52" s="54">
        <f t="shared" si="60"/>
        <v>0</v>
      </c>
      <c r="AM52" s="54">
        <f t="shared" ref="AM52:AP52" si="61">SUM(AM53:AM54)</f>
        <v>0</v>
      </c>
      <c r="AN52" s="31">
        <f t="shared" si="61"/>
        <v>0</v>
      </c>
      <c r="AO52" s="31">
        <f t="shared" si="61"/>
        <v>0</v>
      </c>
      <c r="AP52" s="31">
        <f t="shared" si="61"/>
        <v>0</v>
      </c>
      <c r="AQ52" s="54">
        <f t="shared" ref="AQ52:AR52" si="62">SUM(AQ53:AQ54)</f>
        <v>0</v>
      </c>
      <c r="AR52" s="54">
        <f t="shared" si="62"/>
        <v>0</v>
      </c>
      <c r="AS52" s="54">
        <f t="shared" ref="AS52:AV52" si="63">SUM(AS53:AS54)</f>
        <v>0</v>
      </c>
      <c r="AT52" s="31">
        <f t="shared" si="63"/>
        <v>0</v>
      </c>
      <c r="AU52" s="31">
        <f t="shared" si="63"/>
        <v>0</v>
      </c>
      <c r="AV52" s="31">
        <f t="shared" si="63"/>
        <v>0</v>
      </c>
      <c r="AW52" s="54">
        <f t="shared" ref="AW52:AX52" si="64">SUM(AW53:AW54)</f>
        <v>0</v>
      </c>
      <c r="AX52" s="54">
        <f t="shared" si="64"/>
        <v>0</v>
      </c>
      <c r="AZ52" s="54">
        <f>SUM(G52,S52,Y52,AE52,AK52,AQ52,AW52,M52)</f>
        <v>0</v>
      </c>
    </row>
    <row r="53" spans="1:52" outlineLevel="2" x14ac:dyDescent="0.2">
      <c r="A53" s="655"/>
      <c r="B53" s="183" t="s">
        <v>53</v>
      </c>
      <c r="C53" s="48">
        <f>SUMIFS('Maturing receivables'!$K:$K,'Maturing receivables'!$S:$S,Vertical_Cash_flow!C$11,'Maturing receivables'!$J:$J,Vertical_Cash_flow!C$15,'Maturing receivables'!$A:$A,Vertical_Cash_flow!$C$14,'Maturing receivables'!$G:$G,Vertical_Cash_flow!$B53,'Maturing receivables'!$F:$F,Vertical_Cash_flow!$B$52)</f>
        <v>0</v>
      </c>
      <c r="D53" s="32">
        <f>SUMIFS('Maturing receivables'!$K:$K,'Maturing receivables'!$S:$S,Vertical_Cash_flow!C$11,'Maturing receivables'!$J:$J,Vertical_Cash_flow!D$15,'Maturing receivables'!$A:$A,Vertical_Cash_flow!$D$14,'Maturing receivables'!$G:$G,Vertical_Cash_flow!$B53,'Maturing receivables'!$F:$F,Vertical_Cash_flow!$B$52)</f>
        <v>0</v>
      </c>
      <c r="E53" s="32">
        <f>SUMIFS('Maturing receivables'!$K:$K,'Maturing receivables'!$S:$S,Vertical_Cash_flow!C$11,'Maturing receivables'!$J:$J,Vertical_Cash_flow!E$15,'Maturing receivables'!$A:$A,Vertical_Cash_flow!$E$14,'Maturing receivables'!$G:$G,Vertical_Cash_flow!$B53,'Maturing receivables'!$F:$F,Vertical_Cash_flow!$B$52)</f>
        <v>0</v>
      </c>
      <c r="F53" s="32">
        <f>SUMIFS('Maturing receivables'!$K:$K,'Maturing receivables'!$S:$S,Vertical_Cash_flow!C$11,'Maturing receivables'!$J:$J,Vertical_Cash_flow!F$15,'Maturing receivables'!$A:$A,Vertical_Cash_flow!$F$14,'Maturing receivables'!$G:$G,Vertical_Cash_flow!$B53,'Maturing receivables'!$F:$F,Vertical_Cash_flow!$B$52)</f>
        <v>0</v>
      </c>
      <c r="G53" s="195">
        <f>C53+D53+E53/$C$16+F53/$F$16</f>
        <v>0</v>
      </c>
      <c r="H53" s="195">
        <f t="shared" ref="H53:H54" si="65">G53*$C$16</f>
        <v>0</v>
      </c>
      <c r="I53" s="48">
        <f>SUMIFS('Maturing receivables'!$K:$K,'Maturing receivables'!$S:$S,Vertical_Cash_flow!I$11,'Maturing receivables'!$J:$J,Vertical_Cash_flow!I$15,'Maturing receivables'!$A:$A,Vertical_Cash_flow!$C$14,'Maturing receivables'!$G:$G,Vertical_Cash_flow!$B53,'Maturing receivables'!$F:$F,Vertical_Cash_flow!$B$52)</f>
        <v>0</v>
      </c>
      <c r="J53" s="32">
        <f>SUMIFS('Maturing receivables'!$K:$K,'Maturing receivables'!$S:$S,Vertical_Cash_flow!I$11,'Maturing receivables'!$J:$J,Vertical_Cash_flow!J$15,'Maturing receivables'!$A:$A,Vertical_Cash_flow!$D$14,'Maturing receivables'!$G:$G,Vertical_Cash_flow!$B53,'Maturing receivables'!$F:$F,Vertical_Cash_flow!$B$52)</f>
        <v>0</v>
      </c>
      <c r="K53" s="32">
        <f>SUMIFS('Maturing receivables'!$K:$K,'Maturing receivables'!$S:$S,Vertical_Cash_flow!I$11,'Maturing receivables'!$J:$J,Vertical_Cash_flow!K$15,'Maturing receivables'!$A:$A,Vertical_Cash_flow!$E$14,'Maturing receivables'!$G:$G,Vertical_Cash_flow!$B53,'Maturing receivables'!$F:$F,Vertical_Cash_flow!$B$52)</f>
        <v>0</v>
      </c>
      <c r="L53" s="32">
        <f>SUMIFS('Maturing receivables'!$K:$K,'Maturing receivables'!$S:$S,Vertical_Cash_flow!I$11,'Maturing receivables'!$J:$J,Vertical_Cash_flow!L$15,'Maturing receivables'!$A:$A,Vertical_Cash_flow!$F$14,'Maturing receivables'!$G:$G,Vertical_Cash_flow!$B53,'Maturing receivables'!$F:$F,Vertical_Cash_flow!$B$52)</f>
        <v>0</v>
      </c>
      <c r="M53" s="195">
        <f>I53+J53+K53/$C$16+L53/$F$16</f>
        <v>0</v>
      </c>
      <c r="N53" s="195">
        <f t="shared" ref="N53:N54" si="66">M53*$C$16</f>
        <v>0</v>
      </c>
      <c r="O53" s="48">
        <f>SUMIFS('Maturing receivables'!$K:$K,'Maturing receivables'!$S:$S,Vertical_Cash_flow!O$11,'Maturing receivables'!$J:$J,Vertical_Cash_flow!O$15,'Maturing receivables'!$A:$A,Vertical_Cash_flow!$C$14,'Maturing receivables'!$G:$G,Vertical_Cash_flow!$B53,'Maturing receivables'!$F:$F,Vertical_Cash_flow!$B$52)</f>
        <v>0</v>
      </c>
      <c r="P53" s="32">
        <f>SUMIFS('Maturing receivables'!$K:$K,'Maturing receivables'!$S:$S,Vertical_Cash_flow!O$11,'Maturing receivables'!$J:$J,Vertical_Cash_flow!P$15,'Maturing receivables'!$A:$A,Vertical_Cash_flow!$D$14,'Maturing receivables'!$G:$G,Vertical_Cash_flow!$B53,'Maturing receivables'!$F:$F,Vertical_Cash_flow!$B$52)</f>
        <v>0</v>
      </c>
      <c r="Q53" s="32">
        <f>SUMIFS('Maturing receivables'!$K:$K,'Maturing receivables'!$S:$S,Vertical_Cash_flow!O$11,'Maturing receivables'!$J:$J,Vertical_Cash_flow!Q$15,'Maturing receivables'!$A:$A,Vertical_Cash_flow!$E$14,'Maturing receivables'!$G:$G,Vertical_Cash_flow!$B53,'Maturing receivables'!$F:$F,Vertical_Cash_flow!$B$52)</f>
        <v>0</v>
      </c>
      <c r="R53" s="32">
        <f>SUMIFS('Maturing receivables'!$K:$K,'Maturing receivables'!$S:$S,Vertical_Cash_flow!O$11,'Maturing receivables'!$J:$J,Vertical_Cash_flow!R$15,'Maturing receivables'!$A:$A,Vertical_Cash_flow!$F$14,'Maturing receivables'!$G:$G,Vertical_Cash_flow!$B53,'Maturing receivables'!$F:$F,Vertical_Cash_flow!$B$52)</f>
        <v>0</v>
      </c>
      <c r="S53" s="195">
        <f>O53+P53+Q53/$C$16+R53/$F$16</f>
        <v>0</v>
      </c>
      <c r="T53" s="195">
        <f t="shared" ref="T53:T54" si="67">S53*$C$16</f>
        <v>0</v>
      </c>
      <c r="U53" s="48">
        <f>SUMIFS('Maturing receivables'!$K:$K,'Maturing receivables'!$S:$S,Vertical_Cash_flow!U$11,'Maturing receivables'!$J:$J,Vertical_Cash_flow!U$15,'Maturing receivables'!$A:$A,Vertical_Cash_flow!$C$14,'Maturing receivables'!$G:$G,Vertical_Cash_flow!$B53,'Maturing receivables'!$F:$F,Vertical_Cash_flow!$B$52)</f>
        <v>0</v>
      </c>
      <c r="V53" s="32">
        <f>SUMIFS('Maturing receivables'!$K:$K,'Maturing receivables'!$S:$S,Vertical_Cash_flow!U$11,'Maturing receivables'!$J:$J,Vertical_Cash_flow!V$15,'Maturing receivables'!$A:$A,Vertical_Cash_flow!$D$14,'Maturing receivables'!$G:$G,Vertical_Cash_flow!$B53,'Maturing receivables'!$F:$F,Vertical_Cash_flow!$B$52)</f>
        <v>0</v>
      </c>
      <c r="W53" s="32">
        <f>SUMIFS('Maturing receivables'!$K:$K,'Maturing receivables'!$S:$S,Vertical_Cash_flow!U$11,'Maturing receivables'!$J:$J,Vertical_Cash_flow!W$15,'Maturing receivables'!$A:$A,Vertical_Cash_flow!$E$14,'Maturing receivables'!$G:$G,Vertical_Cash_flow!$B53,'Maturing receivables'!$F:$F,Vertical_Cash_flow!$B$52)</f>
        <v>0</v>
      </c>
      <c r="X53" s="32">
        <f>SUMIFS('Maturing receivables'!$K:$K,'Maturing receivables'!$S:$S,Vertical_Cash_flow!U$11,'Maturing receivables'!$J:$J,Vertical_Cash_flow!X$15,'Maturing receivables'!$A:$A,Vertical_Cash_flow!$F$14,'Maturing receivables'!$G:$G,Vertical_Cash_flow!$B53,'Maturing receivables'!$F:$F,Vertical_Cash_flow!$B$52)</f>
        <v>0</v>
      </c>
      <c r="Y53" s="195">
        <f>U53+V53+W53/$C$16+X53/$F$16</f>
        <v>0</v>
      </c>
      <c r="Z53" s="195">
        <f t="shared" ref="Z53:Z54" si="68">Y53*$C$16</f>
        <v>0</v>
      </c>
      <c r="AA53" s="48">
        <f>SUMIFS('Maturing receivables'!$K:$K,'Maturing receivables'!$S:$S,Vertical_Cash_flow!AA$11,'Maturing receivables'!$J:$J,Vertical_Cash_flow!AA$15,'Maturing receivables'!$A:$A,Vertical_Cash_flow!$C$14,'Maturing receivables'!$G:$G,Vertical_Cash_flow!$B53,'Maturing receivables'!$F:$F,Vertical_Cash_flow!$B$52)</f>
        <v>0</v>
      </c>
      <c r="AB53" s="32">
        <f>SUMIFS('Maturing receivables'!$K:$K,'Maturing receivables'!$S:$S,Vertical_Cash_flow!AA$11,'Maturing receivables'!$J:$J,Vertical_Cash_flow!AB$15,'Maturing receivables'!$A:$A,Vertical_Cash_flow!$D$14,'Maturing receivables'!$G:$G,Vertical_Cash_flow!$B53,'Maturing receivables'!$F:$F,Vertical_Cash_flow!$B$52)</f>
        <v>0</v>
      </c>
      <c r="AC53" s="32">
        <f>SUMIFS('Maturing receivables'!$K:$K,'Maturing receivables'!$S:$S,Vertical_Cash_flow!AA$11,'Maturing receivables'!$J:$J,Vertical_Cash_flow!AC$15,'Maturing receivables'!$A:$A,Vertical_Cash_flow!$E$14,'Maturing receivables'!$G:$G,Vertical_Cash_flow!$B53,'Maturing receivables'!$F:$F,Vertical_Cash_flow!$B$52)</f>
        <v>0</v>
      </c>
      <c r="AD53" s="32">
        <f>SUMIFS('Maturing receivables'!$K:$K,'Maturing receivables'!$S:$S,Vertical_Cash_flow!AA$11,'Maturing receivables'!$J:$J,Vertical_Cash_flow!AD$15,'Maturing receivables'!$A:$A,Vertical_Cash_flow!$F$14,'Maturing receivables'!$G:$G,Vertical_Cash_flow!$B53,'Maturing receivables'!$F:$F,Vertical_Cash_flow!$B$52)</f>
        <v>0</v>
      </c>
      <c r="AE53" s="195">
        <f>AA53+AB53+AC53/$C$16+AD53/$F$16</f>
        <v>0</v>
      </c>
      <c r="AF53" s="195">
        <f t="shared" ref="AF53:AF54" si="69">AE53*$C$16</f>
        <v>0</v>
      </c>
      <c r="AG53" s="48">
        <f>SUMIFS('Maturing receivables'!$K:$K,'Maturing receivables'!$S:$S,Vertical_Cash_flow!AG$11,'Maturing receivables'!$J:$J,Vertical_Cash_flow!AG$15,'Maturing receivables'!$A:$A,Vertical_Cash_flow!$C$14,'Maturing receivables'!$G:$G,Vertical_Cash_flow!$B53,'Maturing receivables'!$F:$F,Vertical_Cash_flow!$B$52)</f>
        <v>0</v>
      </c>
      <c r="AH53" s="32">
        <f>SUMIFS('Maturing receivables'!$K:$K,'Maturing receivables'!$S:$S,Vertical_Cash_flow!AG$11,'Maturing receivables'!$J:$J,Vertical_Cash_flow!AH$15,'Maturing receivables'!$A:$A,Vertical_Cash_flow!$D$14,'Maturing receivables'!$G:$G,Vertical_Cash_flow!$B53,'Maturing receivables'!$F:$F,Vertical_Cash_flow!$B$52)</f>
        <v>0</v>
      </c>
      <c r="AI53" s="32">
        <f>SUMIFS('Maturing receivables'!$K:$K,'Maturing receivables'!$S:$S,Vertical_Cash_flow!AG$11,'Maturing receivables'!$J:$J,Vertical_Cash_flow!AI$15,'Maturing receivables'!$A:$A,Vertical_Cash_flow!$E$14,'Maturing receivables'!$G:$G,Vertical_Cash_flow!$B53,'Maturing receivables'!$F:$F,Vertical_Cash_flow!$B$52)</f>
        <v>0</v>
      </c>
      <c r="AJ53" s="32">
        <f>SUMIFS('Maturing receivables'!$K:$K,'Maturing receivables'!$S:$S,Vertical_Cash_flow!AG$11,'Maturing receivables'!$J:$J,Vertical_Cash_flow!AJ$15,'Maturing receivables'!$A:$A,Vertical_Cash_flow!$F$14,'Maturing receivables'!$G:$G,Vertical_Cash_flow!$B53,'Maturing receivables'!$F:$F,Vertical_Cash_flow!$B$52)</f>
        <v>0</v>
      </c>
      <c r="AK53" s="195">
        <f>AG53+AH53+AI53/$C$16+AJ53/$F$16</f>
        <v>0</v>
      </c>
      <c r="AL53" s="195">
        <f t="shared" ref="AL53:AL54" si="70">AK53*$C$16</f>
        <v>0</v>
      </c>
      <c r="AM53" s="48">
        <f>SUMIFS('Maturing receivables'!$K:$K,'Maturing receivables'!$S:$S,Vertical_Cash_flow!AM$11,'Maturing receivables'!$J:$J,Vertical_Cash_flow!AM$15,'Maturing receivables'!$A:$A,Vertical_Cash_flow!$C$14,'Maturing receivables'!$G:$G,Vertical_Cash_flow!$B53,'Maturing receivables'!$F:$F,Vertical_Cash_flow!$B$52)</f>
        <v>0</v>
      </c>
      <c r="AN53" s="32">
        <f>SUMIFS('Maturing receivables'!$K:$K,'Maturing receivables'!$S:$S,Vertical_Cash_flow!AM$11,'Maturing receivables'!$J:$J,Vertical_Cash_flow!AN$15,'Maturing receivables'!$A:$A,Vertical_Cash_flow!$D$14,'Maturing receivables'!$G:$G,Vertical_Cash_flow!$B53,'Maturing receivables'!$F:$F,Vertical_Cash_flow!$B$52)</f>
        <v>0</v>
      </c>
      <c r="AO53" s="32">
        <f>SUMIFS('Maturing receivables'!$K:$K,'Maturing receivables'!$S:$S,Vertical_Cash_flow!AM$11,'Maturing receivables'!$J:$J,Vertical_Cash_flow!AO$15,'Maturing receivables'!$A:$A,Vertical_Cash_flow!$E$14,'Maturing receivables'!$G:$G,Vertical_Cash_flow!$B53,'Maturing receivables'!$F:$F,Vertical_Cash_flow!$B$52)</f>
        <v>0</v>
      </c>
      <c r="AP53" s="32">
        <f>SUMIFS('Maturing receivables'!$K:$K,'Maturing receivables'!$S:$S,Vertical_Cash_flow!AM$11,'Maturing receivables'!$J:$J,Vertical_Cash_flow!AP$15,'Maturing receivables'!$A:$A,Vertical_Cash_flow!$F$14,'Maturing receivables'!$G:$G,Vertical_Cash_flow!$B53,'Maturing receivables'!$F:$F,Vertical_Cash_flow!$B$52)</f>
        <v>0</v>
      </c>
      <c r="AQ53" s="195">
        <f>AM53+AN53+AO53/$C$16+AP53/$F$16</f>
        <v>0</v>
      </c>
      <c r="AR53" s="195">
        <f t="shared" ref="AR53:AR54" si="71">AQ53*$C$16</f>
        <v>0</v>
      </c>
      <c r="AS53" s="48">
        <f>SUMIFS('Maturing receivables'!$K:$K,'Maturing receivables'!$S:$S,Vertical_Cash_flow!AS$11,'Maturing receivables'!$J:$J,Vertical_Cash_flow!AS$15,'Maturing receivables'!$A:$A,Vertical_Cash_flow!$C$14,'Maturing receivables'!$G:$G,Vertical_Cash_flow!$B53,'Maturing receivables'!$F:$F,Vertical_Cash_flow!$B$52)</f>
        <v>0</v>
      </c>
      <c r="AT53" s="32">
        <f>SUMIFS('Maturing receivables'!$K:$K,'Maturing receivables'!$S:$S,Vertical_Cash_flow!AS$11,'Maturing receivables'!$J:$J,Vertical_Cash_flow!AT$15,'Maturing receivables'!$A:$A,Vertical_Cash_flow!$D$14,'Maturing receivables'!$G:$G,Vertical_Cash_flow!$B53,'Maturing receivables'!$F:$F,Vertical_Cash_flow!$B$52)</f>
        <v>0</v>
      </c>
      <c r="AU53" s="32">
        <f>SUMIFS('Maturing receivables'!$K:$K,'Maturing receivables'!$S:$S,Vertical_Cash_flow!AS$11,'Maturing receivables'!$J:$J,Vertical_Cash_flow!AU$15,'Maturing receivables'!$A:$A,Vertical_Cash_flow!$E$14,'Maturing receivables'!$G:$G,Vertical_Cash_flow!$B53,'Maturing receivables'!$F:$F,Vertical_Cash_flow!$B$52)</f>
        <v>0</v>
      </c>
      <c r="AV53" s="32">
        <f>SUMIFS('Maturing receivables'!$K:$K,'Maturing receivables'!$S:$S,Vertical_Cash_flow!AS$11,'Maturing receivables'!$J:$J,Vertical_Cash_flow!AV$15,'Maturing receivables'!$A:$A,Vertical_Cash_flow!$F$14,'Maturing receivables'!$G:$G,Vertical_Cash_flow!$B53,'Maturing receivables'!$F:$F,Vertical_Cash_flow!$B$52)</f>
        <v>0</v>
      </c>
      <c r="AW53" s="195">
        <f>AS53+AT53+AU53/$C$16+AV53/$F$16</f>
        <v>0</v>
      </c>
      <c r="AX53" s="195">
        <f t="shared" ref="AX53:AX54" si="72">AW53*$C$16</f>
        <v>0</v>
      </c>
      <c r="AZ53" s="195">
        <f>SUM(G53,S53,Y53,AE53,AK53,AQ53,AW53,M53)</f>
        <v>0</v>
      </c>
    </row>
    <row r="54" spans="1:52" outlineLevel="2" x14ac:dyDescent="0.2">
      <c r="A54" s="655"/>
      <c r="B54" s="183" t="s">
        <v>54</v>
      </c>
      <c r="C54" s="48">
        <f>SUMIFS('Maturing receivables'!$K:$K,'Maturing receivables'!$S:$S,Vertical_Cash_flow!C$11,'Maturing receivables'!$J:$J,Vertical_Cash_flow!C$15,'Maturing receivables'!$A:$A,Vertical_Cash_flow!$C$14,'Maturing receivables'!$G:$G,Vertical_Cash_flow!$B54,'Maturing receivables'!$F:$F,Vertical_Cash_flow!$B$52)</f>
        <v>0</v>
      </c>
      <c r="D54" s="32">
        <f>SUMIFS('Maturing receivables'!$K:$K,'Maturing receivables'!$S:$S,Vertical_Cash_flow!C$11,'Maturing receivables'!$J:$J,Vertical_Cash_flow!D$15,'Maturing receivables'!$A:$A,Vertical_Cash_flow!$D$14,'Maturing receivables'!$G:$G,Vertical_Cash_flow!$B54,'Maturing receivables'!$F:$F,Vertical_Cash_flow!$B$52)</f>
        <v>0</v>
      </c>
      <c r="E54" s="32">
        <f>SUMIFS('Maturing receivables'!$K:$K,'Maturing receivables'!$S:$S,Vertical_Cash_flow!C$11,'Maturing receivables'!$J:$J,Vertical_Cash_flow!E$15,'Maturing receivables'!$A:$A,Vertical_Cash_flow!$E$14,'Maturing receivables'!$G:$G,Vertical_Cash_flow!$B54,'Maturing receivables'!$F:$F,Vertical_Cash_flow!$B$52)</f>
        <v>0</v>
      </c>
      <c r="F54" s="32">
        <f>SUMIFS('Maturing receivables'!$K:$K,'Maturing receivables'!$S:$S,Vertical_Cash_flow!C$11,'Maturing receivables'!$J:$J,Vertical_Cash_flow!F$15,'Maturing receivables'!$A:$A,Vertical_Cash_flow!$F$14,'Maturing receivables'!$G:$G,Vertical_Cash_flow!$B54,'Maturing receivables'!$F:$F,Vertical_Cash_flow!$B$52)</f>
        <v>0</v>
      </c>
      <c r="G54" s="195">
        <f>C54+D54+E54/$C$16+F54/$F$16</f>
        <v>0</v>
      </c>
      <c r="H54" s="195">
        <f t="shared" si="65"/>
        <v>0</v>
      </c>
      <c r="I54" s="48">
        <f>SUMIFS('Maturing receivables'!$K:$K,'Maturing receivables'!$S:$S,Vertical_Cash_flow!I$11,'Maturing receivables'!$J:$J,Vertical_Cash_flow!I$15,'Maturing receivables'!$A:$A,Vertical_Cash_flow!$C$14,'Maturing receivables'!$G:$G,Vertical_Cash_flow!$B54,'Maturing receivables'!$F:$F,Vertical_Cash_flow!$B$52)</f>
        <v>0</v>
      </c>
      <c r="J54" s="32">
        <f>SUMIFS('Maturing receivables'!$K:$K,'Maturing receivables'!$S:$S,Vertical_Cash_flow!I$11,'Maturing receivables'!$J:$J,Vertical_Cash_flow!J$15,'Maturing receivables'!$A:$A,Vertical_Cash_flow!$D$14,'Maturing receivables'!$G:$G,Vertical_Cash_flow!$B54,'Maturing receivables'!$F:$F,Vertical_Cash_flow!$B$52)</f>
        <v>0</v>
      </c>
      <c r="K54" s="32">
        <f>SUMIFS('Maturing receivables'!$K:$K,'Maturing receivables'!$S:$S,Vertical_Cash_flow!I$11,'Maturing receivables'!$J:$J,Vertical_Cash_flow!K$15,'Maturing receivables'!$A:$A,Vertical_Cash_flow!$E$14,'Maturing receivables'!$G:$G,Vertical_Cash_flow!$B54,'Maturing receivables'!$F:$F,Vertical_Cash_flow!$B$52)</f>
        <v>0</v>
      </c>
      <c r="L54" s="32">
        <f>SUMIFS('Maturing receivables'!$K:$K,'Maturing receivables'!$S:$S,Vertical_Cash_flow!I$11,'Maturing receivables'!$J:$J,Vertical_Cash_flow!L$15,'Maturing receivables'!$A:$A,Vertical_Cash_flow!$F$14,'Maturing receivables'!$G:$G,Vertical_Cash_flow!$B54,'Maturing receivables'!$F:$F,Vertical_Cash_flow!$B$52)</f>
        <v>0</v>
      </c>
      <c r="M54" s="195">
        <f>I54+J54+K54/$C$16+L54/$F$16</f>
        <v>0</v>
      </c>
      <c r="N54" s="195">
        <f t="shared" si="66"/>
        <v>0</v>
      </c>
      <c r="O54" s="48">
        <f>SUMIFS('Maturing receivables'!$K:$K,'Maturing receivables'!$S:$S,Vertical_Cash_flow!O$11,'Maturing receivables'!$J:$J,Vertical_Cash_flow!O$15,'Maturing receivables'!$A:$A,Vertical_Cash_flow!$C$14,'Maturing receivables'!$G:$G,Vertical_Cash_flow!$B54,'Maturing receivables'!$F:$F,Vertical_Cash_flow!$B$52)</f>
        <v>0</v>
      </c>
      <c r="P54" s="32">
        <f>SUMIFS('Maturing receivables'!$K:$K,'Maturing receivables'!$S:$S,Vertical_Cash_flow!O$11,'Maturing receivables'!$J:$J,Vertical_Cash_flow!P$15,'Maturing receivables'!$A:$A,Vertical_Cash_flow!$D$14,'Maturing receivables'!$G:$G,Vertical_Cash_flow!$B54,'Maturing receivables'!$F:$F,Vertical_Cash_flow!$B$52)</f>
        <v>0</v>
      </c>
      <c r="Q54" s="32">
        <f>SUMIFS('Maturing receivables'!$K:$K,'Maturing receivables'!$S:$S,Vertical_Cash_flow!O$11,'Maturing receivables'!$J:$J,Vertical_Cash_flow!Q$15,'Maturing receivables'!$A:$A,Vertical_Cash_flow!$E$14,'Maturing receivables'!$G:$G,Vertical_Cash_flow!$B54,'Maturing receivables'!$F:$F,Vertical_Cash_flow!$B$52)</f>
        <v>0</v>
      </c>
      <c r="R54" s="32">
        <f>SUMIFS('Maturing receivables'!$K:$K,'Maturing receivables'!$S:$S,Vertical_Cash_flow!O$11,'Maturing receivables'!$J:$J,Vertical_Cash_flow!R$15,'Maturing receivables'!$A:$A,Vertical_Cash_flow!$F$14,'Maturing receivables'!$G:$G,Vertical_Cash_flow!$B54,'Maturing receivables'!$F:$F,Vertical_Cash_flow!$B$52)</f>
        <v>0</v>
      </c>
      <c r="S54" s="195">
        <f>O54+P54+Q54/$C$16+R54/$F$16</f>
        <v>0</v>
      </c>
      <c r="T54" s="195">
        <f t="shared" si="67"/>
        <v>0</v>
      </c>
      <c r="U54" s="48">
        <f>SUMIFS('Maturing receivables'!$K:$K,'Maturing receivables'!$S:$S,Vertical_Cash_flow!U$11,'Maturing receivables'!$J:$J,Vertical_Cash_flow!U$15,'Maturing receivables'!$A:$A,Vertical_Cash_flow!$C$14,'Maturing receivables'!$G:$G,Vertical_Cash_flow!$B54,'Maturing receivables'!$F:$F,Vertical_Cash_flow!$B$52)</f>
        <v>0</v>
      </c>
      <c r="V54" s="32">
        <f>SUMIFS('Maturing receivables'!$K:$K,'Maturing receivables'!$S:$S,Vertical_Cash_flow!U$11,'Maturing receivables'!$J:$J,Vertical_Cash_flow!V$15,'Maturing receivables'!$A:$A,Vertical_Cash_flow!$D$14,'Maturing receivables'!$G:$G,Vertical_Cash_flow!$B54,'Maturing receivables'!$F:$F,Vertical_Cash_flow!$B$52)</f>
        <v>0</v>
      </c>
      <c r="W54" s="32">
        <f>SUMIFS('Maturing receivables'!$K:$K,'Maturing receivables'!$S:$S,Vertical_Cash_flow!U$11,'Maturing receivables'!$J:$J,Vertical_Cash_flow!W$15,'Maturing receivables'!$A:$A,Vertical_Cash_flow!$E$14,'Maturing receivables'!$G:$G,Vertical_Cash_flow!$B54,'Maturing receivables'!$F:$F,Vertical_Cash_flow!$B$52)</f>
        <v>0</v>
      </c>
      <c r="X54" s="32">
        <f>SUMIFS('Maturing receivables'!$K:$K,'Maturing receivables'!$S:$S,Vertical_Cash_flow!U$11,'Maturing receivables'!$J:$J,Vertical_Cash_flow!X$15,'Maturing receivables'!$A:$A,Vertical_Cash_flow!$F$14,'Maturing receivables'!$G:$G,Vertical_Cash_flow!$B54,'Maturing receivables'!$F:$F,Vertical_Cash_flow!$B$52)</f>
        <v>0</v>
      </c>
      <c r="Y54" s="195">
        <f>U54+V54+W54/$C$16+X54/$F$16</f>
        <v>0</v>
      </c>
      <c r="Z54" s="195">
        <f t="shared" si="68"/>
        <v>0</v>
      </c>
      <c r="AA54" s="48">
        <f>SUMIFS('Maturing receivables'!$K:$K,'Maturing receivables'!$S:$S,Vertical_Cash_flow!AA$11,'Maturing receivables'!$J:$J,Vertical_Cash_flow!AA$15,'Maturing receivables'!$A:$A,Vertical_Cash_flow!$C$14,'Maturing receivables'!$G:$G,Vertical_Cash_flow!$B54,'Maturing receivables'!$F:$F,Vertical_Cash_flow!$B$52)</f>
        <v>0</v>
      </c>
      <c r="AB54" s="32">
        <f>SUMIFS('Maturing receivables'!$K:$K,'Maturing receivables'!$S:$S,Vertical_Cash_flow!AA$11,'Maturing receivables'!$J:$J,Vertical_Cash_flow!AB$15,'Maturing receivables'!$A:$A,Vertical_Cash_flow!$D$14,'Maturing receivables'!$G:$G,Vertical_Cash_flow!$B54,'Maturing receivables'!$F:$F,Vertical_Cash_flow!$B$52)</f>
        <v>0</v>
      </c>
      <c r="AC54" s="32">
        <f>SUMIFS('Maturing receivables'!$K:$K,'Maturing receivables'!$S:$S,Vertical_Cash_flow!AA$11,'Maturing receivables'!$J:$J,Vertical_Cash_flow!AC$15,'Maturing receivables'!$A:$A,Vertical_Cash_flow!$E$14,'Maturing receivables'!$G:$G,Vertical_Cash_flow!$B54,'Maturing receivables'!$F:$F,Vertical_Cash_flow!$B$52)</f>
        <v>0</v>
      </c>
      <c r="AD54" s="32">
        <f>SUMIFS('Maturing receivables'!$K:$K,'Maturing receivables'!$S:$S,Vertical_Cash_flow!AA$11,'Maturing receivables'!$J:$J,Vertical_Cash_flow!AD$15,'Maturing receivables'!$A:$A,Vertical_Cash_flow!$F$14,'Maturing receivables'!$G:$G,Vertical_Cash_flow!$B54,'Maturing receivables'!$F:$F,Vertical_Cash_flow!$B$52)</f>
        <v>0</v>
      </c>
      <c r="AE54" s="195">
        <f>AA54+AB54+AC54/$C$16+AD54/$F$16</f>
        <v>0</v>
      </c>
      <c r="AF54" s="195">
        <f t="shared" si="69"/>
        <v>0</v>
      </c>
      <c r="AG54" s="48">
        <f>SUMIFS('Maturing receivables'!$K:$K,'Maturing receivables'!$S:$S,Vertical_Cash_flow!AG$11,'Maturing receivables'!$J:$J,Vertical_Cash_flow!AG$15,'Maturing receivables'!$A:$A,Vertical_Cash_flow!$C$14,'Maturing receivables'!$G:$G,Vertical_Cash_flow!$B54,'Maturing receivables'!$F:$F,Vertical_Cash_flow!$B$52)</f>
        <v>0</v>
      </c>
      <c r="AH54" s="32">
        <f>SUMIFS('Maturing receivables'!$K:$K,'Maturing receivables'!$S:$S,Vertical_Cash_flow!AG$11,'Maturing receivables'!$J:$J,Vertical_Cash_flow!AH$15,'Maturing receivables'!$A:$A,Vertical_Cash_flow!$D$14,'Maturing receivables'!$G:$G,Vertical_Cash_flow!$B54,'Maturing receivables'!$F:$F,Vertical_Cash_flow!$B$52)</f>
        <v>0</v>
      </c>
      <c r="AI54" s="32">
        <f>SUMIFS('Maturing receivables'!$K:$K,'Maturing receivables'!$S:$S,Vertical_Cash_flow!AG$11,'Maturing receivables'!$J:$J,Vertical_Cash_flow!AI$15,'Maturing receivables'!$A:$A,Vertical_Cash_flow!$E$14,'Maturing receivables'!$G:$G,Vertical_Cash_flow!$B54,'Maturing receivables'!$F:$F,Vertical_Cash_flow!$B$52)</f>
        <v>0</v>
      </c>
      <c r="AJ54" s="32">
        <f>SUMIFS('Maturing receivables'!$K:$K,'Maturing receivables'!$S:$S,Vertical_Cash_flow!AG$11,'Maturing receivables'!$J:$J,Vertical_Cash_flow!AJ$15,'Maturing receivables'!$A:$A,Vertical_Cash_flow!$F$14,'Maturing receivables'!$G:$G,Vertical_Cash_flow!$B54,'Maturing receivables'!$F:$F,Vertical_Cash_flow!$B$52)</f>
        <v>0</v>
      </c>
      <c r="AK54" s="195">
        <f>AG54+AH54+AI54/$C$16+AJ54/$F$16</f>
        <v>0</v>
      </c>
      <c r="AL54" s="195">
        <f t="shared" si="70"/>
        <v>0</v>
      </c>
      <c r="AM54" s="48">
        <f>SUMIFS('Maturing receivables'!$K:$K,'Maturing receivables'!$S:$S,Vertical_Cash_flow!AM$11,'Maturing receivables'!$J:$J,Vertical_Cash_flow!AM$15,'Maturing receivables'!$A:$A,Vertical_Cash_flow!$C$14,'Maturing receivables'!$G:$G,Vertical_Cash_flow!$B54,'Maturing receivables'!$F:$F,Vertical_Cash_flow!$B$52)</f>
        <v>0</v>
      </c>
      <c r="AN54" s="32">
        <f>SUMIFS('Maturing receivables'!$K:$K,'Maturing receivables'!$S:$S,Vertical_Cash_flow!AM$11,'Maturing receivables'!$J:$J,Vertical_Cash_flow!AN$15,'Maturing receivables'!$A:$A,Vertical_Cash_flow!$D$14,'Maturing receivables'!$G:$G,Vertical_Cash_flow!$B54,'Maturing receivables'!$F:$F,Vertical_Cash_flow!$B$52)</f>
        <v>0</v>
      </c>
      <c r="AO54" s="32">
        <f>SUMIFS('Maturing receivables'!$K:$K,'Maturing receivables'!$S:$S,Vertical_Cash_flow!AM$11,'Maturing receivables'!$J:$J,Vertical_Cash_flow!AO$15,'Maturing receivables'!$A:$A,Vertical_Cash_flow!$E$14,'Maturing receivables'!$G:$G,Vertical_Cash_flow!$B54,'Maturing receivables'!$F:$F,Vertical_Cash_flow!$B$52)</f>
        <v>0</v>
      </c>
      <c r="AP54" s="32">
        <f>SUMIFS('Maturing receivables'!$K:$K,'Maturing receivables'!$S:$S,Vertical_Cash_flow!AM$11,'Maturing receivables'!$J:$J,Vertical_Cash_flow!AP$15,'Maturing receivables'!$A:$A,Vertical_Cash_flow!$F$14,'Maturing receivables'!$G:$G,Vertical_Cash_flow!$B54,'Maturing receivables'!$F:$F,Vertical_Cash_flow!$B$52)</f>
        <v>0</v>
      </c>
      <c r="AQ54" s="195">
        <f>AM54+AN54+AO54/$C$16+AP54/$F$16</f>
        <v>0</v>
      </c>
      <c r="AR54" s="195">
        <f t="shared" si="71"/>
        <v>0</v>
      </c>
      <c r="AS54" s="48">
        <f>SUMIFS('Maturing receivables'!$K:$K,'Maturing receivables'!$S:$S,Vertical_Cash_flow!AS$11,'Maturing receivables'!$J:$J,Vertical_Cash_flow!AS$15,'Maturing receivables'!$A:$A,Vertical_Cash_flow!$C$14,'Maturing receivables'!$G:$G,Vertical_Cash_flow!$B54,'Maturing receivables'!$F:$F,Vertical_Cash_flow!$B$52)</f>
        <v>0</v>
      </c>
      <c r="AT54" s="32">
        <f>SUMIFS('Maturing receivables'!$K:$K,'Maturing receivables'!$S:$S,Vertical_Cash_flow!AS$11,'Maturing receivables'!$J:$J,Vertical_Cash_flow!AT$15,'Maturing receivables'!$A:$A,Vertical_Cash_flow!$D$14,'Maturing receivables'!$G:$G,Vertical_Cash_flow!$B54,'Maturing receivables'!$F:$F,Vertical_Cash_flow!$B$52)</f>
        <v>0</v>
      </c>
      <c r="AU54" s="32">
        <f>SUMIFS('Maturing receivables'!$K:$K,'Maturing receivables'!$S:$S,Vertical_Cash_flow!AS$11,'Maturing receivables'!$J:$J,Vertical_Cash_flow!AU$15,'Maturing receivables'!$A:$A,Vertical_Cash_flow!$E$14,'Maturing receivables'!$G:$G,Vertical_Cash_flow!$B54,'Maturing receivables'!$F:$F,Vertical_Cash_flow!$B$52)</f>
        <v>0</v>
      </c>
      <c r="AV54" s="32">
        <f>SUMIFS('Maturing receivables'!$K:$K,'Maturing receivables'!$S:$S,Vertical_Cash_flow!AS$11,'Maturing receivables'!$J:$J,Vertical_Cash_flow!AV$15,'Maturing receivables'!$A:$A,Vertical_Cash_flow!$F$14,'Maturing receivables'!$G:$G,Vertical_Cash_flow!$B54,'Maturing receivables'!$F:$F,Vertical_Cash_flow!$B$52)</f>
        <v>0</v>
      </c>
      <c r="AW54" s="195">
        <f>AS54+AT54+AU54/$C$16+AV54/$F$16</f>
        <v>0</v>
      </c>
      <c r="AX54" s="195">
        <f t="shared" si="72"/>
        <v>0</v>
      </c>
      <c r="AZ54" s="195">
        <f>SUM(G54,S54,Y54,AE54,AK54,AQ54,AW54,M54)</f>
        <v>0</v>
      </c>
    </row>
    <row r="55" spans="1:52" outlineLevel="2" x14ac:dyDescent="0.2">
      <c r="A55" s="655"/>
      <c r="B55" s="183"/>
      <c r="C55" s="60"/>
      <c r="D55" s="62"/>
      <c r="E55" s="62"/>
      <c r="F55" s="62"/>
      <c r="G55" s="60"/>
      <c r="H55" s="60"/>
      <c r="I55" s="60"/>
      <c r="J55" s="62"/>
      <c r="K55" s="62"/>
      <c r="L55" s="62"/>
      <c r="M55" s="60"/>
      <c r="N55" s="60"/>
      <c r="O55" s="60"/>
      <c r="P55" s="62"/>
      <c r="Q55" s="62"/>
      <c r="R55" s="62"/>
      <c r="S55" s="60"/>
      <c r="T55" s="60"/>
      <c r="U55" s="60"/>
      <c r="V55" s="62"/>
      <c r="W55" s="62"/>
      <c r="X55" s="62"/>
      <c r="Y55" s="60"/>
      <c r="Z55" s="60"/>
      <c r="AA55" s="60"/>
      <c r="AB55" s="62"/>
      <c r="AC55" s="62"/>
      <c r="AD55" s="62"/>
      <c r="AE55" s="60"/>
      <c r="AF55" s="60"/>
      <c r="AG55" s="60"/>
      <c r="AH55" s="62"/>
      <c r="AI55" s="62"/>
      <c r="AJ55" s="62"/>
      <c r="AK55" s="60"/>
      <c r="AL55" s="60"/>
      <c r="AM55" s="60"/>
      <c r="AN55" s="62"/>
      <c r="AO55" s="62"/>
      <c r="AP55" s="62"/>
      <c r="AQ55" s="60"/>
      <c r="AR55" s="60"/>
      <c r="AS55" s="60"/>
      <c r="AT55" s="62"/>
      <c r="AU55" s="62"/>
      <c r="AV55" s="62"/>
      <c r="AW55" s="60"/>
      <c r="AX55" s="60"/>
      <c r="AZ55" s="60"/>
    </row>
    <row r="56" spans="1:52" s="3" customFormat="1" x14ac:dyDescent="0.2">
      <c r="A56" s="655"/>
      <c r="B56" s="182" t="s">
        <v>114</v>
      </c>
      <c r="C56" s="54">
        <f t="shared" ref="C56:H56" si="73">SUM(C57:C62)</f>
        <v>0</v>
      </c>
      <c r="D56" s="31">
        <f t="shared" si="73"/>
        <v>1270000</v>
      </c>
      <c r="E56" s="31">
        <f t="shared" si="73"/>
        <v>70839.600000000006</v>
      </c>
      <c r="F56" s="31">
        <f t="shared" si="73"/>
        <v>0</v>
      </c>
      <c r="G56" s="54">
        <f t="shared" si="73"/>
        <v>1506132</v>
      </c>
      <c r="H56" s="54">
        <f t="shared" si="73"/>
        <v>451839.6</v>
      </c>
      <c r="I56" s="54">
        <f t="shared" ref="I56" si="74">SUM(I57:I62)</f>
        <v>0</v>
      </c>
      <c r="J56" s="31">
        <f t="shared" ref="J56" si="75">SUM(J57:J62)</f>
        <v>855000</v>
      </c>
      <c r="K56" s="31">
        <f t="shared" ref="K56" si="76">SUM(K57:K62)</f>
        <v>72615.48</v>
      </c>
      <c r="L56" s="31">
        <f t="shared" ref="L56" si="77">SUM(L57:L62)</f>
        <v>0</v>
      </c>
      <c r="M56" s="54">
        <f t="shared" ref="M56:N56" si="78">SUM(M57:M62)</f>
        <v>1097051.6000000001</v>
      </c>
      <c r="N56" s="54">
        <f t="shared" si="78"/>
        <v>329115.48</v>
      </c>
      <c r="O56" s="54">
        <f t="shared" ref="O56" si="79">SUM(O57:O62)</f>
        <v>0</v>
      </c>
      <c r="P56" s="31">
        <f t="shared" ref="P56" si="80">SUM(P57:P62)</f>
        <v>400000</v>
      </c>
      <c r="Q56" s="31">
        <f t="shared" ref="Q56" si="81">SUM(Q57:Q62)</f>
        <v>72906</v>
      </c>
      <c r="R56" s="31">
        <f t="shared" ref="R56" si="82">SUM(R57:R62)</f>
        <v>0</v>
      </c>
      <c r="S56" s="54">
        <f t="shared" ref="S56:T56" si="83">SUM(S57:S62)</f>
        <v>643020</v>
      </c>
      <c r="T56" s="54">
        <f t="shared" si="83"/>
        <v>192906</v>
      </c>
      <c r="U56" s="54">
        <f t="shared" ref="U56" si="84">SUM(U57:U62)</f>
        <v>0</v>
      </c>
      <c r="V56" s="31">
        <f t="shared" ref="V56:W56" si="85">SUM(V57:V62)</f>
        <v>625000</v>
      </c>
      <c r="W56" s="31">
        <f t="shared" si="85"/>
        <v>73062.600000000006</v>
      </c>
      <c r="X56" s="31">
        <f t="shared" ref="X56" si="86">SUM(X57:X62)</f>
        <v>0</v>
      </c>
      <c r="Y56" s="54">
        <f t="shared" ref="Y56:Z56" si="87">SUM(Y57:Y62)</f>
        <v>868542</v>
      </c>
      <c r="Z56" s="54">
        <f t="shared" si="87"/>
        <v>260562.6</v>
      </c>
      <c r="AA56" s="54">
        <f t="shared" ref="AA56" si="88">SUM(AA57:AA62)</f>
        <v>0</v>
      </c>
      <c r="AB56" s="31">
        <f t="shared" ref="AB56" si="89">SUM(AB57:AB62)</f>
        <v>765000</v>
      </c>
      <c r="AC56" s="31">
        <f t="shared" ref="AC56" si="90">SUM(AC57:AC62)</f>
        <v>70856.100000000006</v>
      </c>
      <c r="AD56" s="31">
        <f t="shared" ref="AD56" si="91">SUM(AD57:AD62)</f>
        <v>0</v>
      </c>
      <c r="AE56" s="54">
        <f t="shared" ref="AE56:AF56" si="92">SUM(AE57:AE62)</f>
        <v>1001187</v>
      </c>
      <c r="AF56" s="54">
        <f t="shared" si="92"/>
        <v>300356.09999999998</v>
      </c>
      <c r="AG56" s="54">
        <f t="shared" ref="AG56" si="93">SUM(AG57:AG62)</f>
        <v>0</v>
      </c>
      <c r="AH56" s="31">
        <f t="shared" ref="AH56" si="94">SUM(AH57:AH62)</f>
        <v>350000</v>
      </c>
      <c r="AI56" s="31">
        <f t="shared" ref="AI56" si="95">SUM(AI57:AI62)</f>
        <v>73260.39</v>
      </c>
      <c r="AJ56" s="31">
        <f t="shared" ref="AJ56" si="96">SUM(AJ57:AJ62)</f>
        <v>0</v>
      </c>
      <c r="AK56" s="54">
        <f t="shared" ref="AK56:AL56" si="97">SUM(AK57:AK62)</f>
        <v>594201.30000000005</v>
      </c>
      <c r="AL56" s="54">
        <f t="shared" si="97"/>
        <v>178260.39</v>
      </c>
      <c r="AM56" s="54">
        <f t="shared" ref="AM56" si="98">SUM(AM57:AM62)</f>
        <v>0</v>
      </c>
      <c r="AN56" s="31">
        <f t="shared" ref="AN56" si="99">SUM(AN57:AN62)</f>
        <v>665000</v>
      </c>
      <c r="AO56" s="31">
        <f t="shared" ref="AO56" si="100">SUM(AO57:AO62)</f>
        <v>73260.39</v>
      </c>
      <c r="AP56" s="31">
        <f t="shared" ref="AP56" si="101">SUM(AP57:AP62)</f>
        <v>0</v>
      </c>
      <c r="AQ56" s="54">
        <f t="shared" ref="AQ56:AR56" si="102">SUM(AQ57:AQ62)</f>
        <v>909201.3</v>
      </c>
      <c r="AR56" s="54">
        <f t="shared" si="102"/>
        <v>272760.39</v>
      </c>
      <c r="AS56" s="54">
        <f t="shared" ref="AS56" si="103">SUM(AS57:AS62)</f>
        <v>0</v>
      </c>
      <c r="AT56" s="31">
        <f t="shared" ref="AT56" si="104">SUM(AT57:AT62)</f>
        <v>470000</v>
      </c>
      <c r="AU56" s="31">
        <f t="shared" ref="AU56" si="105">SUM(AU57:AU62)</f>
        <v>71190</v>
      </c>
      <c r="AV56" s="31">
        <f t="shared" ref="AV56" si="106">SUM(AV57:AV62)</f>
        <v>0</v>
      </c>
      <c r="AW56" s="54">
        <f t="shared" ref="AW56:AX56" si="107">SUM(AW57:AW62)</f>
        <v>707300</v>
      </c>
      <c r="AX56" s="54">
        <f t="shared" si="107"/>
        <v>212190</v>
      </c>
      <c r="AZ56" s="54">
        <f t="shared" ref="AZ56:AZ66" si="108">SUM(G56,S56,Y56,AE56,AK56,AQ56,AW56,M56)</f>
        <v>7326635.1999999993</v>
      </c>
    </row>
    <row r="57" spans="1:52" x14ac:dyDescent="0.2">
      <c r="A57" s="655"/>
      <c r="B57" s="184" t="s">
        <v>58</v>
      </c>
      <c r="C57" s="48"/>
      <c r="D57" s="32"/>
      <c r="E57" s="32"/>
      <c r="F57" s="32"/>
      <c r="G57" s="195">
        <f>C57+D57+E57/$C$16+F57/$F$16</f>
        <v>0</v>
      </c>
      <c r="H57" s="195">
        <f t="shared" ref="H57:H62" si="109">G57*$C$16</f>
        <v>0</v>
      </c>
      <c r="I57" s="48"/>
      <c r="J57" s="32"/>
      <c r="K57" s="32"/>
      <c r="L57" s="32"/>
      <c r="M57" s="195">
        <f>I57+J57+K57/$C$16+L57/$F$16</f>
        <v>0</v>
      </c>
      <c r="N57" s="195">
        <f t="shared" ref="N57:N62" si="110">M57*$C$16</f>
        <v>0</v>
      </c>
      <c r="O57" s="48"/>
      <c r="P57" s="32"/>
      <c r="Q57" s="32"/>
      <c r="R57" s="32"/>
      <c r="S57" s="195">
        <f>O57+P57+Q57/$C$16+R57/$F$16</f>
        <v>0</v>
      </c>
      <c r="T57" s="195">
        <f t="shared" ref="T57:T62" si="111">S57*$C$16</f>
        <v>0</v>
      </c>
      <c r="U57" s="48"/>
      <c r="V57" s="32"/>
      <c r="W57" s="32"/>
      <c r="X57" s="32"/>
      <c r="Y57" s="195">
        <f>U57+V57+W57/$C$16+X57/$F$16</f>
        <v>0</v>
      </c>
      <c r="Z57" s="195">
        <f t="shared" ref="Z57:Z62" si="112">Y57*$C$16</f>
        <v>0</v>
      </c>
      <c r="AA57" s="48"/>
      <c r="AB57" s="32"/>
      <c r="AC57" s="32"/>
      <c r="AD57" s="32"/>
      <c r="AE57" s="195">
        <f>AA57+AB57+AC57/$C$16+AD57/$F$16</f>
        <v>0</v>
      </c>
      <c r="AF57" s="195">
        <f t="shared" ref="AF57:AF62" si="113">AE57*$C$16</f>
        <v>0</v>
      </c>
      <c r="AG57" s="48"/>
      <c r="AH57" s="32"/>
      <c r="AI57" s="32"/>
      <c r="AJ57" s="32"/>
      <c r="AK57" s="195">
        <f>AG57+AH57+AI57/$C$16+AJ57/$F$16</f>
        <v>0</v>
      </c>
      <c r="AL57" s="195">
        <f t="shared" ref="AL57:AL62" si="114">AK57*$C$16</f>
        <v>0</v>
      </c>
      <c r="AM57" s="48"/>
      <c r="AN57" s="32"/>
      <c r="AO57" s="32"/>
      <c r="AP57" s="32"/>
      <c r="AQ57" s="195">
        <f>AM57+AN57+AO57/$C$16+AP57/$F$16</f>
        <v>0</v>
      </c>
      <c r="AR57" s="195">
        <f t="shared" ref="AR57:AR62" si="115">AQ57*$C$16</f>
        <v>0</v>
      </c>
      <c r="AS57" s="48"/>
      <c r="AT57" s="32"/>
      <c r="AU57" s="32"/>
      <c r="AV57" s="32"/>
      <c r="AW57" s="195">
        <f>AS57+AT57+AU57/$C$16+AV57/$F$16</f>
        <v>0</v>
      </c>
      <c r="AX57" s="195">
        <f t="shared" ref="AX57:AX62" si="116">AW57*$C$16</f>
        <v>0</v>
      </c>
      <c r="AZ57" s="195">
        <f t="shared" si="108"/>
        <v>0</v>
      </c>
    </row>
    <row r="58" spans="1:52" outlineLevel="1" x14ac:dyDescent="0.2">
      <c r="A58" s="655"/>
      <c r="B58" s="184" t="s">
        <v>56</v>
      </c>
      <c r="C58" s="48"/>
      <c r="D58" s="32">
        <f>+C112</f>
        <v>1270000</v>
      </c>
      <c r="E58" s="32"/>
      <c r="F58" s="32"/>
      <c r="G58" s="195">
        <f t="shared" ref="G58:G62" si="117">C58+D58+E58/$C$16+F58/$F$16</f>
        <v>1270000</v>
      </c>
      <c r="H58" s="195">
        <f t="shared" si="109"/>
        <v>381000</v>
      </c>
      <c r="I58" s="48"/>
      <c r="J58" s="32">
        <f>+I112</f>
        <v>855000</v>
      </c>
      <c r="K58" s="32"/>
      <c r="L58" s="32"/>
      <c r="M58" s="195">
        <f t="shared" ref="M58:M62" si="118">I58+J58+K58/$C$16+L58/$F$16</f>
        <v>855000</v>
      </c>
      <c r="N58" s="195">
        <f t="shared" si="110"/>
        <v>256500</v>
      </c>
      <c r="O58" s="48"/>
      <c r="P58" s="32">
        <f>+O112</f>
        <v>400000</v>
      </c>
      <c r="Q58" s="32"/>
      <c r="R58" s="32"/>
      <c r="S58" s="195">
        <f t="shared" ref="S58:S62" si="119">O58+P58+Q58/$C$16+R58/$F$16</f>
        <v>400000</v>
      </c>
      <c r="T58" s="195">
        <f t="shared" si="111"/>
        <v>120000</v>
      </c>
      <c r="U58" s="48"/>
      <c r="V58" s="32">
        <f>+U112</f>
        <v>625000</v>
      </c>
      <c r="W58" s="32"/>
      <c r="X58" s="32"/>
      <c r="Y58" s="195">
        <f t="shared" ref="Y58:Y62" si="120">U58+V58+W58/$C$16+X58/$F$16</f>
        <v>625000</v>
      </c>
      <c r="Z58" s="195">
        <f t="shared" si="112"/>
        <v>187500</v>
      </c>
      <c r="AA58" s="48"/>
      <c r="AB58" s="32">
        <f>+AA112</f>
        <v>765000</v>
      </c>
      <c r="AC58" s="32"/>
      <c r="AD58" s="32"/>
      <c r="AE58" s="195">
        <f t="shared" ref="AE58:AE62" si="121">AA58+AB58+AC58/$C$16+AD58/$F$16</f>
        <v>765000</v>
      </c>
      <c r="AF58" s="195">
        <f t="shared" si="113"/>
        <v>229500</v>
      </c>
      <c r="AG58" s="48"/>
      <c r="AH58" s="32">
        <f>+AG112</f>
        <v>350000</v>
      </c>
      <c r="AI58" s="32"/>
      <c r="AJ58" s="32"/>
      <c r="AK58" s="195">
        <f t="shared" ref="AK58:AK62" si="122">AG58+AH58+AI58/$C$16+AJ58/$F$16</f>
        <v>350000</v>
      </c>
      <c r="AL58" s="195">
        <f t="shared" si="114"/>
        <v>105000</v>
      </c>
      <c r="AM58" s="48"/>
      <c r="AN58" s="32">
        <f>+AM112</f>
        <v>665000</v>
      </c>
      <c r="AO58" s="32"/>
      <c r="AP58" s="32"/>
      <c r="AQ58" s="195">
        <f t="shared" ref="AQ58:AQ62" si="123">AM58+AN58+AO58/$C$16+AP58/$F$16</f>
        <v>665000</v>
      </c>
      <c r="AR58" s="195">
        <f t="shared" si="115"/>
        <v>199500</v>
      </c>
      <c r="AS58" s="48"/>
      <c r="AT58" s="32">
        <f>+AS112</f>
        <v>470000</v>
      </c>
      <c r="AU58" s="32"/>
      <c r="AV58" s="32"/>
      <c r="AW58" s="195">
        <f t="shared" ref="AW58:AW62" si="124">AS58+AT58+AU58/$C$16+AV58/$F$16</f>
        <v>470000</v>
      </c>
      <c r="AX58" s="195">
        <f t="shared" si="116"/>
        <v>141000</v>
      </c>
      <c r="AZ58" s="195">
        <f t="shared" si="108"/>
        <v>5400000</v>
      </c>
    </row>
    <row r="59" spans="1:52" outlineLevel="1" x14ac:dyDescent="0.2">
      <c r="A59" s="655"/>
      <c r="B59" s="184" t="s">
        <v>55</v>
      </c>
      <c r="C59" s="48"/>
      <c r="D59" s="32"/>
      <c r="E59" s="32"/>
      <c r="F59" s="32"/>
      <c r="G59" s="195">
        <f t="shared" si="117"/>
        <v>0</v>
      </c>
      <c r="H59" s="195">
        <f t="shared" si="109"/>
        <v>0</v>
      </c>
      <c r="I59" s="48"/>
      <c r="J59" s="32"/>
      <c r="K59" s="32"/>
      <c r="L59" s="32"/>
      <c r="M59" s="195">
        <f t="shared" si="118"/>
        <v>0</v>
      </c>
      <c r="N59" s="195">
        <f t="shared" si="110"/>
        <v>0</v>
      </c>
      <c r="O59" s="48"/>
      <c r="P59" s="32"/>
      <c r="Q59" s="32"/>
      <c r="R59" s="32"/>
      <c r="S59" s="195">
        <f t="shared" si="119"/>
        <v>0</v>
      </c>
      <c r="T59" s="195">
        <f t="shared" si="111"/>
        <v>0</v>
      </c>
      <c r="U59" s="48"/>
      <c r="V59" s="32"/>
      <c r="W59" s="32"/>
      <c r="X59" s="32"/>
      <c r="Y59" s="195">
        <f t="shared" si="120"/>
        <v>0</v>
      </c>
      <c r="Z59" s="195">
        <f t="shared" si="112"/>
        <v>0</v>
      </c>
      <c r="AA59" s="48"/>
      <c r="AB59" s="32"/>
      <c r="AC59" s="32"/>
      <c r="AD59" s="32"/>
      <c r="AE59" s="195">
        <f t="shared" si="121"/>
        <v>0</v>
      </c>
      <c r="AF59" s="195">
        <f t="shared" si="113"/>
        <v>0</v>
      </c>
      <c r="AG59" s="48"/>
      <c r="AH59" s="32"/>
      <c r="AI59" s="32"/>
      <c r="AJ59" s="32"/>
      <c r="AK59" s="195">
        <f t="shared" si="122"/>
        <v>0</v>
      </c>
      <c r="AL59" s="195">
        <f t="shared" si="114"/>
        <v>0</v>
      </c>
      <c r="AM59" s="48"/>
      <c r="AN59" s="32"/>
      <c r="AO59" s="32"/>
      <c r="AP59" s="32"/>
      <c r="AQ59" s="195">
        <f t="shared" si="123"/>
        <v>0</v>
      </c>
      <c r="AR59" s="195">
        <f t="shared" si="115"/>
        <v>0</v>
      </c>
      <c r="AS59" s="48"/>
      <c r="AT59" s="32"/>
      <c r="AU59" s="32"/>
      <c r="AV59" s="32"/>
      <c r="AW59" s="195">
        <f t="shared" si="124"/>
        <v>0</v>
      </c>
      <c r="AX59" s="195">
        <f t="shared" si="116"/>
        <v>0</v>
      </c>
      <c r="AZ59" s="195">
        <f t="shared" si="108"/>
        <v>0</v>
      </c>
    </row>
    <row r="60" spans="1:52" outlineLevel="1" x14ac:dyDescent="0.2">
      <c r="A60" s="655"/>
      <c r="B60" s="184" t="s">
        <v>60</v>
      </c>
      <c r="C60" s="48"/>
      <c r="D60" s="32"/>
      <c r="E60" s="32"/>
      <c r="F60" s="32"/>
      <c r="G60" s="195">
        <f t="shared" si="117"/>
        <v>0</v>
      </c>
      <c r="H60" s="195">
        <f t="shared" si="109"/>
        <v>0</v>
      </c>
      <c r="I60" s="48"/>
      <c r="J60" s="32"/>
      <c r="K60" s="32"/>
      <c r="L60" s="32"/>
      <c r="M60" s="195">
        <f t="shared" si="118"/>
        <v>0</v>
      </c>
      <c r="N60" s="195">
        <f t="shared" si="110"/>
        <v>0</v>
      </c>
      <c r="O60" s="48"/>
      <c r="P60" s="32"/>
      <c r="Q60" s="32"/>
      <c r="R60" s="32"/>
      <c r="S60" s="195">
        <f t="shared" si="119"/>
        <v>0</v>
      </c>
      <c r="T60" s="195">
        <f t="shared" si="111"/>
        <v>0</v>
      </c>
      <c r="U60" s="48"/>
      <c r="V60" s="32"/>
      <c r="W60" s="32"/>
      <c r="X60" s="32"/>
      <c r="Y60" s="195">
        <f t="shared" si="120"/>
        <v>0</v>
      </c>
      <c r="Z60" s="195">
        <f t="shared" si="112"/>
        <v>0</v>
      </c>
      <c r="AA60" s="48"/>
      <c r="AB60" s="32"/>
      <c r="AC60" s="32"/>
      <c r="AD60" s="32"/>
      <c r="AE60" s="195">
        <f t="shared" si="121"/>
        <v>0</v>
      </c>
      <c r="AF60" s="195">
        <f t="shared" si="113"/>
        <v>0</v>
      </c>
      <c r="AG60" s="48"/>
      <c r="AH60" s="32"/>
      <c r="AI60" s="32"/>
      <c r="AJ60" s="32"/>
      <c r="AK60" s="195">
        <f t="shared" si="122"/>
        <v>0</v>
      </c>
      <c r="AL60" s="195">
        <f t="shared" si="114"/>
        <v>0</v>
      </c>
      <c r="AM60" s="48"/>
      <c r="AN60" s="32"/>
      <c r="AO60" s="32"/>
      <c r="AP60" s="32"/>
      <c r="AQ60" s="195">
        <f t="shared" si="123"/>
        <v>0</v>
      </c>
      <c r="AR60" s="195">
        <f t="shared" si="115"/>
        <v>0</v>
      </c>
      <c r="AS60" s="48"/>
      <c r="AT60" s="32"/>
      <c r="AU60" s="32"/>
      <c r="AV60" s="32"/>
      <c r="AW60" s="195">
        <f t="shared" si="124"/>
        <v>0</v>
      </c>
      <c r="AX60" s="195">
        <f t="shared" si="116"/>
        <v>0</v>
      </c>
      <c r="AZ60" s="195">
        <f t="shared" si="108"/>
        <v>0</v>
      </c>
    </row>
    <row r="61" spans="1:52" outlineLevel="1" x14ac:dyDescent="0.2">
      <c r="A61" s="655"/>
      <c r="B61" s="184" t="s">
        <v>61</v>
      </c>
      <c r="C61" s="48"/>
      <c r="D61" s="32"/>
      <c r="E61" s="32"/>
      <c r="F61" s="32"/>
      <c r="G61" s="195">
        <f t="shared" si="117"/>
        <v>0</v>
      </c>
      <c r="H61" s="195">
        <f t="shared" si="109"/>
        <v>0</v>
      </c>
      <c r="I61" s="48"/>
      <c r="J61" s="32"/>
      <c r="K61" s="32"/>
      <c r="L61" s="32"/>
      <c r="M61" s="195">
        <f t="shared" si="118"/>
        <v>0</v>
      </c>
      <c r="N61" s="195">
        <f t="shared" si="110"/>
        <v>0</v>
      </c>
      <c r="O61" s="48"/>
      <c r="P61" s="32"/>
      <c r="Q61" s="32"/>
      <c r="R61" s="32"/>
      <c r="S61" s="195">
        <f t="shared" si="119"/>
        <v>0</v>
      </c>
      <c r="T61" s="195">
        <f t="shared" si="111"/>
        <v>0</v>
      </c>
      <c r="U61" s="48"/>
      <c r="V61" s="32"/>
      <c r="W61" s="32"/>
      <c r="X61" s="32"/>
      <c r="Y61" s="195">
        <f t="shared" si="120"/>
        <v>0</v>
      </c>
      <c r="Z61" s="195">
        <f t="shared" si="112"/>
        <v>0</v>
      </c>
      <c r="AA61" s="48"/>
      <c r="AB61" s="32"/>
      <c r="AC61" s="32"/>
      <c r="AD61" s="32"/>
      <c r="AE61" s="195">
        <f t="shared" si="121"/>
        <v>0</v>
      </c>
      <c r="AF61" s="195">
        <f t="shared" si="113"/>
        <v>0</v>
      </c>
      <c r="AG61" s="48"/>
      <c r="AH61" s="32"/>
      <c r="AI61" s="32"/>
      <c r="AJ61" s="32"/>
      <c r="AK61" s="195">
        <f t="shared" si="122"/>
        <v>0</v>
      </c>
      <c r="AL61" s="195">
        <f t="shared" si="114"/>
        <v>0</v>
      </c>
      <c r="AM61" s="48"/>
      <c r="AN61" s="32"/>
      <c r="AO61" s="32"/>
      <c r="AP61" s="32"/>
      <c r="AQ61" s="195">
        <f t="shared" si="123"/>
        <v>0</v>
      </c>
      <c r="AR61" s="195">
        <f t="shared" si="115"/>
        <v>0</v>
      </c>
      <c r="AS61" s="48"/>
      <c r="AT61" s="32"/>
      <c r="AU61" s="32"/>
      <c r="AV61" s="32"/>
      <c r="AW61" s="195">
        <f t="shared" si="124"/>
        <v>0</v>
      </c>
      <c r="AX61" s="195">
        <f t="shared" si="116"/>
        <v>0</v>
      </c>
      <c r="AZ61" s="195">
        <f t="shared" si="108"/>
        <v>0</v>
      </c>
    </row>
    <row r="62" spans="1:52" outlineLevel="1" x14ac:dyDescent="0.2">
      <c r="A62" s="655"/>
      <c r="B62" s="186" t="s">
        <v>57</v>
      </c>
      <c r="C62" s="48"/>
      <c r="D62" s="32"/>
      <c r="E62" s="32">
        <f>SUMIFS('Maturing receivables'!$K:$K,'Maturing receivables'!$S:$S,Vertical_Cash_flow!C$11,'Maturing receivables'!$J:$J,Vertical_Cash_flow!E$15,'Maturing receivables'!$A:$A,Vertical_Cash_flow!$E$14,'Maturing receivables'!$G:$G,Vertical_Cash_flow!$B62,'Maturing receivables'!$F:$F,Vertical_Cash_flow!$B$56)</f>
        <v>70839.600000000006</v>
      </c>
      <c r="F62" s="32"/>
      <c r="G62" s="195">
        <f t="shared" si="117"/>
        <v>236132.00000000003</v>
      </c>
      <c r="H62" s="195">
        <f t="shared" si="109"/>
        <v>70839.600000000006</v>
      </c>
      <c r="I62" s="48"/>
      <c r="J62" s="32"/>
      <c r="K62" s="32">
        <f>SUMIFS('Maturing receivables'!$K:$K,'Maturing receivables'!$S:$S,Vertical_Cash_flow!I$11,'Maturing receivables'!$J:$J,Vertical_Cash_flow!K$15,'Maturing receivables'!$A:$A,Vertical_Cash_flow!$E$14,'Maturing receivables'!$G:$G,Vertical_Cash_flow!$B62,'Maturing receivables'!$F:$F,Vertical_Cash_flow!$B$56)</f>
        <v>72615.48</v>
      </c>
      <c r="L62" s="32"/>
      <c r="M62" s="195">
        <f t="shared" si="118"/>
        <v>242051.6</v>
      </c>
      <c r="N62" s="195">
        <f t="shared" si="110"/>
        <v>72615.48</v>
      </c>
      <c r="O62" s="48"/>
      <c r="P62" s="32"/>
      <c r="Q62" s="32">
        <f>SUMIFS('Maturing receivables'!$K:$K,'Maturing receivables'!$S:$S,Vertical_Cash_flow!O$11,'Maturing receivables'!$J:$J,Vertical_Cash_flow!Q$15,'Maturing receivables'!$A:$A,Vertical_Cash_flow!$E$14,'Maturing receivables'!$G:$G,Vertical_Cash_flow!$B62,'Maturing receivables'!$F:$F,Vertical_Cash_flow!$B$56)</f>
        <v>72906</v>
      </c>
      <c r="R62" s="32"/>
      <c r="S62" s="195">
        <f t="shared" si="119"/>
        <v>243020</v>
      </c>
      <c r="T62" s="195">
        <f t="shared" si="111"/>
        <v>72906</v>
      </c>
      <c r="U62" s="48"/>
      <c r="V62" s="32"/>
      <c r="W62" s="32">
        <f>SUMIFS('Maturing receivables'!$K:$K,'Maturing receivables'!$S:$S,Vertical_Cash_flow!U$11,'Maturing receivables'!$J:$J,Vertical_Cash_flow!W$15,'Maturing receivables'!$A:$A,Vertical_Cash_flow!$E$14,'Maturing receivables'!$G:$G,Vertical_Cash_flow!$B62,'Maturing receivables'!$F:$F,Vertical_Cash_flow!$B$56)</f>
        <v>73062.600000000006</v>
      </c>
      <c r="X62" s="32"/>
      <c r="Y62" s="195">
        <f t="shared" si="120"/>
        <v>243542.00000000003</v>
      </c>
      <c r="Z62" s="195">
        <f t="shared" si="112"/>
        <v>73062.600000000006</v>
      </c>
      <c r="AA62" s="48"/>
      <c r="AB62" s="32"/>
      <c r="AC62" s="32">
        <f>SUMIFS('Maturing receivables'!$K:$K,'Maturing receivables'!$S:$S,Vertical_Cash_flow!AA$11,'Maturing receivables'!$J:$J,Vertical_Cash_flow!AC$15,'Maturing receivables'!$A:$A,Vertical_Cash_flow!$E$14,'Maturing receivables'!$G:$G,Vertical_Cash_flow!$B62,'Maturing receivables'!$F:$F,Vertical_Cash_flow!$B$56)</f>
        <v>70856.100000000006</v>
      </c>
      <c r="AD62" s="32"/>
      <c r="AE62" s="195">
        <f t="shared" si="121"/>
        <v>236187.00000000003</v>
      </c>
      <c r="AF62" s="195">
        <f t="shared" si="113"/>
        <v>70856.100000000006</v>
      </c>
      <c r="AG62" s="48"/>
      <c r="AH62" s="32"/>
      <c r="AI62" s="32">
        <f>SUMIFS('Maturing receivables'!$K:$K,'Maturing receivables'!$S:$S,Vertical_Cash_flow!AG$11,'Maturing receivables'!$J:$J,Vertical_Cash_flow!AI$15,'Maturing receivables'!$A:$A,Vertical_Cash_flow!$E$14,'Maturing receivables'!$G:$G,Vertical_Cash_flow!$B62,'Maturing receivables'!$F:$F,Vertical_Cash_flow!$B$56)</f>
        <v>73260.39</v>
      </c>
      <c r="AJ62" s="32"/>
      <c r="AK62" s="195">
        <f t="shared" si="122"/>
        <v>244201.30000000002</v>
      </c>
      <c r="AL62" s="195">
        <f t="shared" si="114"/>
        <v>73260.39</v>
      </c>
      <c r="AM62" s="48"/>
      <c r="AN62" s="32"/>
      <c r="AO62" s="32">
        <f>SUMIFS('Maturing receivables'!$K:$K,'Maturing receivables'!$S:$S,Vertical_Cash_flow!AM$11,'Maturing receivables'!$J:$J,Vertical_Cash_flow!AO$15,'Maturing receivables'!$A:$A,Vertical_Cash_flow!$E$14,'Maturing receivables'!$G:$G,Vertical_Cash_flow!$B62,'Maturing receivables'!$F:$F,Vertical_Cash_flow!$B$56)</f>
        <v>73260.39</v>
      </c>
      <c r="AP62" s="32"/>
      <c r="AQ62" s="195">
        <f t="shared" si="123"/>
        <v>244201.30000000002</v>
      </c>
      <c r="AR62" s="195">
        <f t="shared" si="115"/>
        <v>73260.39</v>
      </c>
      <c r="AS62" s="48"/>
      <c r="AT62" s="32"/>
      <c r="AU62" s="32">
        <f>SUMIFS('Maturing receivables'!$K:$K,'Maturing receivables'!$S:$S,Vertical_Cash_flow!AS$11,'Maturing receivables'!$J:$J,Vertical_Cash_flow!AU$15,'Maturing receivables'!$A:$A,Vertical_Cash_flow!$E$14,'Maturing receivables'!$G:$G,Vertical_Cash_flow!$B62,'Maturing receivables'!$F:$F,Vertical_Cash_flow!$B$56)</f>
        <v>71190</v>
      </c>
      <c r="AV62" s="32"/>
      <c r="AW62" s="195">
        <f t="shared" si="124"/>
        <v>237300</v>
      </c>
      <c r="AX62" s="195">
        <f t="shared" si="116"/>
        <v>71190</v>
      </c>
      <c r="AZ62" s="195">
        <f t="shared" si="108"/>
        <v>1926635.2000000002</v>
      </c>
    </row>
    <row r="63" spans="1:52" outlineLevel="1" x14ac:dyDescent="0.2">
      <c r="A63" s="655"/>
      <c r="B63" s="186"/>
      <c r="C63" s="45"/>
      <c r="D63" s="25"/>
      <c r="E63" s="25"/>
      <c r="F63" s="25"/>
      <c r="G63" s="45"/>
      <c r="H63" s="45"/>
      <c r="I63" s="45"/>
      <c r="J63" s="25"/>
      <c r="K63" s="25"/>
      <c r="L63" s="25"/>
      <c r="M63" s="45"/>
      <c r="N63" s="45"/>
      <c r="O63" s="45"/>
      <c r="P63" s="25"/>
      <c r="Q63" s="25"/>
      <c r="R63" s="25"/>
      <c r="S63" s="45"/>
      <c r="T63" s="45"/>
      <c r="U63" s="45"/>
      <c r="V63" s="25"/>
      <c r="W63" s="25"/>
      <c r="X63" s="25"/>
      <c r="Y63" s="45"/>
      <c r="Z63" s="45"/>
      <c r="AA63" s="45"/>
      <c r="AB63" s="25"/>
      <c r="AC63" s="25"/>
      <c r="AD63" s="25"/>
      <c r="AE63" s="45"/>
      <c r="AF63" s="45"/>
      <c r="AG63" s="45"/>
      <c r="AH63" s="25"/>
      <c r="AI63" s="25"/>
      <c r="AJ63" s="25"/>
      <c r="AK63" s="45"/>
      <c r="AL63" s="45"/>
      <c r="AM63" s="45"/>
      <c r="AN63" s="25"/>
      <c r="AO63" s="25"/>
      <c r="AP63" s="25"/>
      <c r="AQ63" s="45"/>
      <c r="AR63" s="45"/>
      <c r="AS63" s="45"/>
      <c r="AT63" s="25"/>
      <c r="AU63" s="25"/>
      <c r="AV63" s="25"/>
      <c r="AW63" s="45"/>
      <c r="AX63" s="45"/>
      <c r="AZ63" s="45">
        <f t="shared" si="108"/>
        <v>0</v>
      </c>
    </row>
    <row r="64" spans="1:52" s="3" customFormat="1" x14ac:dyDescent="0.2">
      <c r="A64" s="655"/>
      <c r="B64" s="187" t="s">
        <v>64</v>
      </c>
      <c r="C64" s="57">
        <f>SUMIFS('Maturing receivables'!$K:$K,'Maturing receivables'!$F:$F,Vertical_Cash_flow!$B$64,'Maturing receivables'!$A:$A,Vertical_Cash_flow!C14,'Maturing receivables'!$J:$J,Vertical_Cash_flow!C15,'Maturing receivables'!$S:$S,Vertical_Cash_flow!C$11)</f>
        <v>0</v>
      </c>
      <c r="D64" s="56">
        <f>SUMIFS('Maturing receivables'!$K:$K,'Maturing receivables'!$F:$F,Vertical_Cash_flow!$B$64,'Maturing receivables'!$A:$A,Vertical_Cash_flow!D14,'Maturing receivables'!$J:$J,Vertical_Cash_flow!D15,'Maturing receivables'!$S:$S,Vertical_Cash_flow!C$11)</f>
        <v>0</v>
      </c>
      <c r="E64" s="56">
        <f>SUMIFS('Maturing receivables'!$K:$K,'Maturing receivables'!$F:$F,Vertical_Cash_flow!$B$64,'Maturing receivables'!$A:$A,Vertical_Cash_flow!E14,'Maturing receivables'!$J:$J,Vertical_Cash_flow!E15,'Maturing receivables'!$S:$S,Vertical_Cash_flow!C$11)</f>
        <v>0</v>
      </c>
      <c r="F64" s="56">
        <f>SUMIFS('Maturing receivables'!$K:$K,'Maturing receivables'!$F:$F,Vertical_Cash_flow!$B$64,'Maturing receivables'!$A:$A,Vertical_Cash_flow!F14,'Maturing receivables'!$J:$J,Vertical_Cash_flow!F15,'Maturing receivables'!$S:$S,Vertical_Cash_flow!C$11)</f>
        <v>0</v>
      </c>
      <c r="G64" s="196">
        <f>C64+D64+E64/$C$16+F64/$F$16</f>
        <v>0</v>
      </c>
      <c r="H64" s="196">
        <f t="shared" ref="H64:H66" si="125">G64*$C$16</f>
        <v>0</v>
      </c>
      <c r="I64" s="57">
        <f>SUMIFS('Maturing receivables'!$K:$K,'Maturing receivables'!$F:$F,Vertical_Cash_flow!$B$64,'Maturing receivables'!$A:$A,Vertical_Cash_flow!I14,'Maturing receivables'!$J:$J,Vertical_Cash_flow!I15,'Maturing receivables'!$S:$S,Vertical_Cash_flow!I$11)</f>
        <v>0</v>
      </c>
      <c r="J64" s="56">
        <f>SUMIFS('Maturing receivables'!$K:$K,'Maturing receivables'!$F:$F,Vertical_Cash_flow!$B$64,'Maturing receivables'!$A:$A,Vertical_Cash_flow!J14,'Maturing receivables'!$J:$J,Vertical_Cash_flow!J15,'Maturing receivables'!$S:$S,Vertical_Cash_flow!I$11)</f>
        <v>0</v>
      </c>
      <c r="K64" s="56">
        <f>SUMIFS('Maturing receivables'!$K:$K,'Maturing receivables'!$F:$F,Vertical_Cash_flow!$B$64,'Maturing receivables'!$A:$A,Vertical_Cash_flow!K14,'Maturing receivables'!$J:$J,Vertical_Cash_flow!K15,'Maturing receivables'!$S:$S,Vertical_Cash_flow!I$11)</f>
        <v>0</v>
      </c>
      <c r="L64" s="56">
        <f>SUMIFS('Maturing receivables'!$K:$K,'Maturing receivables'!$F:$F,Vertical_Cash_flow!$B$64,'Maturing receivables'!$A:$A,Vertical_Cash_flow!L14,'Maturing receivables'!$J:$J,Vertical_Cash_flow!L15,'Maturing receivables'!$S:$S,Vertical_Cash_flow!I$11)</f>
        <v>0</v>
      </c>
      <c r="M64" s="196">
        <f>I64+J64+K64/$C$16+L64/$F$16</f>
        <v>0</v>
      </c>
      <c r="N64" s="196">
        <f t="shared" ref="N64" si="126">M64*$C$16</f>
        <v>0</v>
      </c>
      <c r="O64" s="57">
        <f>SUMIFS('Maturing receivables'!$K:$K,'Maturing receivables'!$F:$F,Vertical_Cash_flow!$B$64,'Maturing receivables'!$A:$A,Vertical_Cash_flow!O14,'Maturing receivables'!$J:$J,Vertical_Cash_flow!O15,'Maturing receivables'!$S:$S,Vertical_Cash_flow!O$11)</f>
        <v>0</v>
      </c>
      <c r="P64" s="56">
        <f>SUMIFS('Maturing receivables'!$K:$K,'Maturing receivables'!$F:$F,Vertical_Cash_flow!$B$64,'Maturing receivables'!$A:$A,Vertical_Cash_flow!P14,'Maturing receivables'!$J:$J,Vertical_Cash_flow!P15,'Maturing receivables'!$S:$S,Vertical_Cash_flow!O$11)</f>
        <v>0</v>
      </c>
      <c r="Q64" s="56">
        <f>SUMIFS('Maturing receivables'!$K:$K,'Maturing receivables'!$F:$F,Vertical_Cash_flow!$B$64,'Maturing receivables'!$A:$A,Vertical_Cash_flow!Q14,'Maturing receivables'!$J:$J,Vertical_Cash_flow!Q15,'Maturing receivables'!$S:$S,Vertical_Cash_flow!O$11)</f>
        <v>0</v>
      </c>
      <c r="R64" s="56">
        <f>SUMIFS('Maturing receivables'!$K:$K,'Maturing receivables'!$F:$F,Vertical_Cash_flow!$B$64,'Maturing receivables'!$A:$A,Vertical_Cash_flow!R14,'Maturing receivables'!$J:$J,Vertical_Cash_flow!R15,'Maturing receivables'!$S:$S,Vertical_Cash_flow!O$11)</f>
        <v>0</v>
      </c>
      <c r="S64" s="196">
        <f>O64+P64+Q64/$C$16+R64/$F$16</f>
        <v>0</v>
      </c>
      <c r="T64" s="196">
        <f t="shared" ref="T64" si="127">S64*$C$16</f>
        <v>0</v>
      </c>
      <c r="U64" s="57">
        <f>SUMIFS('Maturing receivables'!$K:$K,'Maturing receivables'!$F:$F,Vertical_Cash_flow!$B$64,'Maturing receivables'!$A:$A,Vertical_Cash_flow!U14,'Maturing receivables'!$J:$J,Vertical_Cash_flow!U15,'Maturing receivables'!$S:$S,Vertical_Cash_flow!U$11)</f>
        <v>0</v>
      </c>
      <c r="V64" s="56">
        <f>SUMIFS('Maturing receivables'!$K:$K,'Maturing receivables'!$F:$F,Vertical_Cash_flow!$B$64,'Maturing receivables'!$A:$A,Vertical_Cash_flow!V14,'Maturing receivables'!$J:$J,Vertical_Cash_flow!V15,'Maturing receivables'!$S:$S,Vertical_Cash_flow!U$11)</f>
        <v>0</v>
      </c>
      <c r="W64" s="56">
        <f>SUMIFS('Maturing receivables'!$K:$K,'Maturing receivables'!$F:$F,Vertical_Cash_flow!$B$64,'Maturing receivables'!$A:$A,Vertical_Cash_flow!W14,'Maturing receivables'!$J:$J,Vertical_Cash_flow!W15,'Maturing receivables'!$S:$S,Vertical_Cash_flow!U$11)</f>
        <v>0</v>
      </c>
      <c r="X64" s="56">
        <f>SUMIFS('Maturing receivables'!$K:$K,'Maturing receivables'!$F:$F,Vertical_Cash_flow!$B$64,'Maturing receivables'!$A:$A,Vertical_Cash_flow!X14,'Maturing receivables'!$J:$J,Vertical_Cash_flow!X15,'Maturing receivables'!$S:$S,Vertical_Cash_flow!U$11)</f>
        <v>0</v>
      </c>
      <c r="Y64" s="196">
        <f>U64+V64+W64/$C$16+X64/$F$16</f>
        <v>0</v>
      </c>
      <c r="Z64" s="196">
        <f t="shared" ref="Z64" si="128">Y64*$C$16</f>
        <v>0</v>
      </c>
      <c r="AA64" s="57">
        <f>SUMIFS('Maturing receivables'!$K:$K,'Maturing receivables'!$F:$F,Vertical_Cash_flow!$B$64,'Maturing receivables'!$A:$A,Vertical_Cash_flow!AA14,'Maturing receivables'!$J:$J,Vertical_Cash_flow!AA15,'Maturing receivables'!$S:$S,Vertical_Cash_flow!AA$11)</f>
        <v>0</v>
      </c>
      <c r="AB64" s="56">
        <f>SUMIFS('Maturing receivables'!$K:$K,'Maturing receivables'!$F:$F,Vertical_Cash_flow!$B$64,'Maturing receivables'!$A:$A,Vertical_Cash_flow!AB14,'Maturing receivables'!$J:$J,Vertical_Cash_flow!AB15,'Maturing receivables'!$S:$S,Vertical_Cash_flow!AA$11)</f>
        <v>0</v>
      </c>
      <c r="AC64" s="56">
        <f>SUMIFS('Maturing receivables'!$K:$K,'Maturing receivables'!$F:$F,Vertical_Cash_flow!$B$64,'Maturing receivables'!$A:$A,Vertical_Cash_flow!AC14,'Maturing receivables'!$J:$J,Vertical_Cash_flow!AC15,'Maturing receivables'!$S:$S,Vertical_Cash_flow!AA$11)</f>
        <v>0</v>
      </c>
      <c r="AD64" s="56">
        <f>SUMIFS('Maturing receivables'!$K:$K,'Maturing receivables'!$F:$F,Vertical_Cash_flow!$B$64,'Maturing receivables'!$A:$A,Vertical_Cash_flow!AD14,'Maturing receivables'!$J:$J,Vertical_Cash_flow!AD15,'Maturing receivables'!$S:$S,Vertical_Cash_flow!AA$11)</f>
        <v>0</v>
      </c>
      <c r="AE64" s="196">
        <f>AA64+AB64+AC64/$C$16+AD64/$F$16</f>
        <v>0</v>
      </c>
      <c r="AF64" s="196">
        <f t="shared" ref="AF64" si="129">AE64*$C$16</f>
        <v>0</v>
      </c>
      <c r="AG64" s="57">
        <f>SUMIFS('Maturing receivables'!$K:$K,'Maturing receivables'!$F:$F,Vertical_Cash_flow!$B$64,'Maturing receivables'!$A:$A,Vertical_Cash_flow!AG14,'Maturing receivables'!$J:$J,Vertical_Cash_flow!AG15,'Maturing receivables'!$S:$S,Vertical_Cash_flow!AG$11)</f>
        <v>0</v>
      </c>
      <c r="AH64" s="56">
        <f>SUMIFS('Maturing receivables'!$K:$K,'Maturing receivables'!$F:$F,Vertical_Cash_flow!$B$64,'Maturing receivables'!$A:$A,Vertical_Cash_flow!AH14,'Maturing receivables'!$J:$J,Vertical_Cash_flow!AH15,'Maturing receivables'!$S:$S,Vertical_Cash_flow!AG$11)</f>
        <v>0</v>
      </c>
      <c r="AI64" s="56">
        <f>SUMIFS('Maturing receivables'!$K:$K,'Maturing receivables'!$F:$F,Vertical_Cash_flow!$B$64,'Maturing receivables'!$A:$A,Vertical_Cash_flow!AI14,'Maturing receivables'!$J:$J,Vertical_Cash_flow!AI15,'Maturing receivables'!$S:$S,Vertical_Cash_flow!AG$11)</f>
        <v>0</v>
      </c>
      <c r="AJ64" s="56">
        <f>SUMIFS('Maturing receivables'!$K:$K,'Maturing receivables'!$F:$F,Vertical_Cash_flow!$B$64,'Maturing receivables'!$A:$A,Vertical_Cash_flow!AJ14,'Maturing receivables'!$J:$J,Vertical_Cash_flow!AJ15,'Maturing receivables'!$S:$S,Vertical_Cash_flow!AG$11)</f>
        <v>0</v>
      </c>
      <c r="AK64" s="196">
        <f>AG64+AH64+AI64/$C$16+AJ64/$F$16</f>
        <v>0</v>
      </c>
      <c r="AL64" s="196">
        <f t="shared" ref="AL64" si="130">AK64*$C$16</f>
        <v>0</v>
      </c>
      <c r="AM64" s="57">
        <f>SUMIFS('Maturing receivables'!$K:$K,'Maturing receivables'!$F:$F,Vertical_Cash_flow!$B$64,'Maturing receivables'!$A:$A,Vertical_Cash_flow!AM14,'Maturing receivables'!$J:$J,Vertical_Cash_flow!AM15,'Maturing receivables'!$S:$S,Vertical_Cash_flow!AM$11)</f>
        <v>0</v>
      </c>
      <c r="AN64" s="56">
        <f>SUMIFS('Maturing receivables'!$K:$K,'Maturing receivables'!$F:$F,Vertical_Cash_flow!$B$64,'Maturing receivables'!$A:$A,Vertical_Cash_flow!AN14,'Maturing receivables'!$J:$J,Vertical_Cash_flow!AN15,'Maturing receivables'!$S:$S,Vertical_Cash_flow!AM$11)</f>
        <v>0</v>
      </c>
      <c r="AO64" s="56">
        <f>SUMIFS('Maturing receivables'!$K:$K,'Maturing receivables'!$F:$F,Vertical_Cash_flow!$B$64,'Maturing receivables'!$A:$A,Vertical_Cash_flow!AO14,'Maturing receivables'!$J:$J,Vertical_Cash_flow!AO15,'Maturing receivables'!$S:$S,Vertical_Cash_flow!AM$11)</f>
        <v>0</v>
      </c>
      <c r="AP64" s="56">
        <f>SUMIFS('Maturing receivables'!$K:$K,'Maturing receivables'!$F:$F,Vertical_Cash_flow!$B$64,'Maturing receivables'!$A:$A,Vertical_Cash_flow!AP14,'Maturing receivables'!$J:$J,Vertical_Cash_flow!AP15,'Maturing receivables'!$S:$S,Vertical_Cash_flow!AM$11)</f>
        <v>0</v>
      </c>
      <c r="AQ64" s="196">
        <f>AM64+AN64+AO64/$C$16+AP64/$F$16</f>
        <v>0</v>
      </c>
      <c r="AR64" s="196">
        <f t="shared" ref="AR64" si="131">AQ64*$C$16</f>
        <v>0</v>
      </c>
      <c r="AS64" s="57">
        <f>SUMIFS('Maturing receivables'!$K:$K,'Maturing receivables'!$F:$F,Vertical_Cash_flow!$B$64,'Maturing receivables'!$A:$A,Vertical_Cash_flow!AS14,'Maturing receivables'!$J:$J,Vertical_Cash_flow!AS15,'Maturing receivables'!$S:$S,Vertical_Cash_flow!AS$11)</f>
        <v>0</v>
      </c>
      <c r="AT64" s="56">
        <f>SUMIFS('Maturing receivables'!$K:$K,'Maturing receivables'!$F:$F,Vertical_Cash_flow!$B$64,'Maturing receivables'!$A:$A,Vertical_Cash_flow!AT14,'Maturing receivables'!$J:$J,Vertical_Cash_flow!AT15,'Maturing receivables'!$S:$S,Vertical_Cash_flow!AS$11)</f>
        <v>0</v>
      </c>
      <c r="AU64" s="56">
        <f>SUMIFS('Maturing receivables'!$K:$K,'Maturing receivables'!$F:$F,Vertical_Cash_flow!$B$64,'Maturing receivables'!$A:$A,Vertical_Cash_flow!AU14,'Maturing receivables'!$J:$J,Vertical_Cash_flow!AU15,'Maturing receivables'!$S:$S,Vertical_Cash_flow!AS$11)</f>
        <v>0</v>
      </c>
      <c r="AV64" s="56">
        <f>SUMIFS('Maturing receivables'!$K:$K,'Maturing receivables'!$F:$F,Vertical_Cash_flow!$B$64,'Maturing receivables'!$A:$A,Vertical_Cash_flow!AV14,'Maturing receivables'!$J:$J,Vertical_Cash_flow!AV15,'Maturing receivables'!$S:$S,Vertical_Cash_flow!AS$11)</f>
        <v>0</v>
      </c>
      <c r="AW64" s="196">
        <f>AS64+AT64+AU64/$C$16+AV64/$F$16</f>
        <v>0</v>
      </c>
      <c r="AX64" s="196">
        <f t="shared" ref="AX64" si="132">AW64*$C$16</f>
        <v>0</v>
      </c>
      <c r="AZ64" s="196">
        <f t="shared" si="108"/>
        <v>0</v>
      </c>
    </row>
    <row r="65" spans="1:52" x14ac:dyDescent="0.2">
      <c r="A65" s="655"/>
      <c r="B65" s="188"/>
      <c r="C65" s="45"/>
      <c r="D65" s="25"/>
      <c r="E65" s="25"/>
      <c r="F65" s="25"/>
      <c r="G65" s="45"/>
      <c r="H65" s="45"/>
      <c r="I65" s="45"/>
      <c r="J65" s="25"/>
      <c r="K65" s="25"/>
      <c r="L65" s="25"/>
      <c r="M65" s="45"/>
      <c r="N65" s="45"/>
      <c r="O65" s="45"/>
      <c r="P65" s="25"/>
      <c r="Q65" s="25"/>
      <c r="R65" s="25"/>
      <c r="S65" s="45"/>
      <c r="T65" s="45"/>
      <c r="U65" s="45"/>
      <c r="V65" s="25"/>
      <c r="W65" s="25"/>
      <c r="X65" s="25"/>
      <c r="Y65" s="45"/>
      <c r="Z65" s="45"/>
      <c r="AA65" s="45"/>
      <c r="AB65" s="25"/>
      <c r="AC65" s="25"/>
      <c r="AD65" s="25"/>
      <c r="AE65" s="45"/>
      <c r="AF65" s="45"/>
      <c r="AG65" s="45"/>
      <c r="AH65" s="25"/>
      <c r="AI65" s="25"/>
      <c r="AJ65" s="25"/>
      <c r="AK65" s="45"/>
      <c r="AL65" s="45"/>
      <c r="AM65" s="45"/>
      <c r="AN65" s="25"/>
      <c r="AO65" s="25"/>
      <c r="AP65" s="25"/>
      <c r="AQ65" s="45"/>
      <c r="AR65" s="45"/>
      <c r="AS65" s="45"/>
      <c r="AT65" s="25"/>
      <c r="AU65" s="25"/>
      <c r="AV65" s="25"/>
      <c r="AW65" s="45"/>
      <c r="AX65" s="45"/>
      <c r="AZ65" s="45">
        <f t="shared" si="108"/>
        <v>0</v>
      </c>
    </row>
    <row r="66" spans="1:52" s="3" customFormat="1" x14ac:dyDescent="0.2">
      <c r="A66" s="655"/>
      <c r="B66" s="182" t="s">
        <v>65</v>
      </c>
      <c r="C66" s="57">
        <f>SUMIFS('Maturing receivables'!$K:$K,'Maturing receivables'!$F:$F,Vertical_Cash_flow!$B$66,'Maturing receivables'!$A:$A,Vertical_Cash_flow!C14,'Maturing receivables'!$J:$J,Vertical_Cash_flow!C15,'Maturing receivables'!$S:$S,Vertical_Cash_flow!C$11)</f>
        <v>0</v>
      </c>
      <c r="D66" s="56">
        <f>SUMIFS('Maturing receivables'!$K:$K,'Maturing receivables'!$F:$F,Vertical_Cash_flow!$B$66,'Maturing receivables'!$A:$A,Vertical_Cash_flow!D14,'Maturing receivables'!$J:$J,Vertical_Cash_flow!D15,'Maturing receivables'!$S:$S,Vertical_Cash_flow!C$11)</f>
        <v>0</v>
      </c>
      <c r="E66" s="588">
        <f>SUM(E67:E72)</f>
        <v>272141.57</v>
      </c>
      <c r="F66" s="56">
        <f>SUMIFS('Maturing receivables'!$K:$K,'Maturing receivables'!$F:$F,Vertical_Cash_flow!$B$66,'Maturing receivables'!$A:$A,Vertical_Cash_flow!F14,'Maturing receivables'!$J:$J,Vertical_Cash_flow!F15,'Maturing receivables'!$S:$S,Vertical_Cash_flow!C$11)</f>
        <v>0</v>
      </c>
      <c r="G66" s="196">
        <f>C66+D66+E66/$C$16+F66/$F$16</f>
        <v>907138.56666666677</v>
      </c>
      <c r="H66" s="196">
        <f t="shared" si="125"/>
        <v>272141.57</v>
      </c>
      <c r="I66" s="57">
        <f>SUMIFS('Maturing receivables'!$K:$K,'Maturing receivables'!$F:$F,Vertical_Cash_flow!$B$66,'Maturing receivables'!$A:$A,Vertical_Cash_flow!I14,'Maturing receivables'!$J:$J,Vertical_Cash_flow!I15,'Maturing receivables'!$S:$S,Vertical_Cash_flow!I$11)</f>
        <v>0</v>
      </c>
      <c r="J66" s="56">
        <f>SUMIFS('Maturing receivables'!$K:$K,'Maturing receivables'!$F:$F,Vertical_Cash_flow!$B$66,'Maturing receivables'!$A:$A,Vertical_Cash_flow!J14,'Maturing receivables'!$J:$J,Vertical_Cash_flow!J15,'Maturing receivables'!$S:$S,Vertical_Cash_flow!I$11)</f>
        <v>0</v>
      </c>
      <c r="K66" s="588">
        <f>SUM(K67:K72)</f>
        <v>53529.09</v>
      </c>
      <c r="L66" s="56">
        <f>SUMIFS('Maturing receivables'!$K:$K,'Maturing receivables'!$F:$F,Vertical_Cash_flow!$B$66,'Maturing receivables'!$A:$A,Vertical_Cash_flow!L14,'Maturing receivables'!$J:$J,Vertical_Cash_flow!L15,'Maturing receivables'!$S:$S,Vertical_Cash_flow!I$11)</f>
        <v>0</v>
      </c>
      <c r="M66" s="196">
        <f>I66+J66+K66/$C$16+L66/$F$16</f>
        <v>178430.3</v>
      </c>
      <c r="N66" s="196">
        <f t="shared" ref="N66" si="133">M66*$C$16</f>
        <v>53529.09</v>
      </c>
      <c r="O66" s="57">
        <f>SUMIFS('Maturing receivables'!$K:$K,'Maturing receivables'!$F:$F,Vertical_Cash_flow!$B$66,'Maturing receivables'!$A:$A,Vertical_Cash_flow!O14,'Maturing receivables'!$J:$J,Vertical_Cash_flow!O15,'Maturing receivables'!$S:$S,Vertical_Cash_flow!O$11)</f>
        <v>0</v>
      </c>
      <c r="P66" s="56">
        <f>SUMIFS('Maturing receivables'!$K:$K,'Maturing receivables'!$F:$F,Vertical_Cash_flow!$B$66,'Maturing receivables'!$A:$A,Vertical_Cash_flow!P14,'Maturing receivables'!$J:$J,Vertical_Cash_flow!P15,'Maturing receivables'!$S:$S,Vertical_Cash_flow!O$11)</f>
        <v>0</v>
      </c>
      <c r="Q66" s="588">
        <f>SUM(Q67:Q72)</f>
        <v>168711.90000000002</v>
      </c>
      <c r="R66" s="56">
        <f>SUMIFS('Maturing receivables'!$K:$K,'Maturing receivables'!$F:$F,Vertical_Cash_flow!$B$66,'Maturing receivables'!$A:$A,Vertical_Cash_flow!R14,'Maturing receivables'!$J:$J,Vertical_Cash_flow!R15,'Maturing receivables'!$S:$S,Vertical_Cash_flow!O$11)</f>
        <v>0</v>
      </c>
      <c r="S66" s="196">
        <f>O66+P66+Q66/$C$16+R66/$F$16</f>
        <v>562373.00000000012</v>
      </c>
      <c r="T66" s="196">
        <f t="shared" ref="T66" si="134">S66*$C$16</f>
        <v>168711.90000000002</v>
      </c>
      <c r="U66" s="57">
        <f>SUMIFS('Maturing receivables'!$K:$K,'Maturing receivables'!$F:$F,Vertical_Cash_flow!$B$66,'Maturing receivables'!$A:$A,Vertical_Cash_flow!U14,'Maturing receivables'!$J:$J,Vertical_Cash_flow!U15,'Maturing receivables'!$S:$S,Vertical_Cash_flow!U$11)</f>
        <v>0</v>
      </c>
      <c r="V66" s="56">
        <f>SUMIFS('Maturing receivables'!$K:$K,'Maturing receivables'!$F:$F,Vertical_Cash_flow!$B$66,'Maturing receivables'!$A:$A,Vertical_Cash_flow!V14,'Maturing receivables'!$J:$J,Vertical_Cash_flow!V15,'Maturing receivables'!$S:$S,Vertical_Cash_flow!U$11)</f>
        <v>0</v>
      </c>
      <c r="W66" s="588">
        <f>SUM(W67:W72)</f>
        <v>0</v>
      </c>
      <c r="X66" s="56">
        <f>SUMIFS('Maturing receivables'!$K:$K,'Maturing receivables'!$F:$F,Vertical_Cash_flow!$B$66,'Maturing receivables'!$A:$A,Vertical_Cash_flow!X14,'Maturing receivables'!$J:$J,Vertical_Cash_flow!X15,'Maturing receivables'!$S:$S,Vertical_Cash_flow!U$11)</f>
        <v>0</v>
      </c>
      <c r="Y66" s="196">
        <f>U66+V66+W66/$C$16+X66/$F$16</f>
        <v>0</v>
      </c>
      <c r="Z66" s="196">
        <f t="shared" ref="Z66" si="135">Y66*$C$16</f>
        <v>0</v>
      </c>
      <c r="AA66" s="57">
        <f>SUMIFS('Maturing receivables'!$K:$K,'Maturing receivables'!$F:$F,Vertical_Cash_flow!$B$66,'Maturing receivables'!$A:$A,Vertical_Cash_flow!AA14,'Maturing receivables'!$J:$J,Vertical_Cash_flow!AA15,'Maturing receivables'!$S:$S,Vertical_Cash_flow!AA$11)</f>
        <v>0</v>
      </c>
      <c r="AB66" s="56">
        <f>SUMIFS('Maturing receivables'!$K:$K,'Maturing receivables'!$F:$F,Vertical_Cash_flow!$B$66,'Maturing receivables'!$A:$A,Vertical_Cash_flow!AB14,'Maturing receivables'!$J:$J,Vertical_Cash_flow!AB15,'Maturing receivables'!$S:$S,Vertical_Cash_flow!AA$11)</f>
        <v>0</v>
      </c>
      <c r="AC66" s="588">
        <f>SUM(AC67:AC72)</f>
        <v>271508.34000000003</v>
      </c>
      <c r="AD66" s="56">
        <f>SUMIFS('Maturing receivables'!$K:$K,'Maturing receivables'!$F:$F,Vertical_Cash_flow!$B$66,'Maturing receivables'!$A:$A,Vertical_Cash_flow!AD14,'Maturing receivables'!$J:$J,Vertical_Cash_flow!AD15,'Maturing receivables'!$S:$S,Vertical_Cash_flow!AA$11)</f>
        <v>0</v>
      </c>
      <c r="AE66" s="196">
        <f>AA66+AB66+AC66/$C$16+AD66/$F$16</f>
        <v>905027.80000000016</v>
      </c>
      <c r="AF66" s="196">
        <f t="shared" ref="AF66" si="136">AE66*$C$16</f>
        <v>271508.34000000003</v>
      </c>
      <c r="AG66" s="57">
        <f>SUMIFS('Maturing receivables'!$K:$K,'Maturing receivables'!$F:$F,Vertical_Cash_flow!$B$66,'Maturing receivables'!$A:$A,Vertical_Cash_flow!AG14,'Maturing receivables'!$J:$J,Vertical_Cash_flow!AG15,'Maturing receivables'!$S:$S,Vertical_Cash_flow!AG$11)</f>
        <v>0</v>
      </c>
      <c r="AH66" s="56">
        <f>SUMIFS('Maturing receivables'!$K:$K,'Maturing receivables'!$F:$F,Vertical_Cash_flow!$B$66,'Maturing receivables'!$A:$A,Vertical_Cash_flow!AH14,'Maturing receivables'!$J:$J,Vertical_Cash_flow!AH15,'Maturing receivables'!$S:$S,Vertical_Cash_flow!AG$11)</f>
        <v>0</v>
      </c>
      <c r="AI66" s="588">
        <f>SUM(AI67:AI72)</f>
        <v>255443.34</v>
      </c>
      <c r="AJ66" s="56">
        <f>SUMIFS('Maturing receivables'!$K:$K,'Maturing receivables'!$F:$F,Vertical_Cash_flow!$B$66,'Maturing receivables'!$A:$A,Vertical_Cash_flow!AJ14,'Maturing receivables'!$J:$J,Vertical_Cash_flow!AJ15,'Maturing receivables'!$S:$S,Vertical_Cash_flow!AG$11)</f>
        <v>0</v>
      </c>
      <c r="AK66" s="196">
        <f>AG66+AH66+AI66/$C$16+AJ66/$F$16</f>
        <v>851477.8</v>
      </c>
      <c r="AL66" s="196">
        <f t="shared" ref="AL66" si="137">AK66*$C$16</f>
        <v>255443.34</v>
      </c>
      <c r="AM66" s="57">
        <f>SUMIFS('Maturing receivables'!$K:$K,'Maturing receivables'!$F:$F,Vertical_Cash_flow!$B$66,'Maturing receivables'!$A:$A,Vertical_Cash_flow!AM14,'Maturing receivables'!$J:$J,Vertical_Cash_flow!AM15,'Maturing receivables'!$S:$S,Vertical_Cash_flow!AM$11)</f>
        <v>0</v>
      </c>
      <c r="AN66" s="56">
        <f>SUMIFS('Maturing receivables'!$K:$K,'Maturing receivables'!$F:$F,Vertical_Cash_flow!$B$66,'Maturing receivables'!$A:$A,Vertical_Cash_flow!AN14,'Maturing receivables'!$J:$J,Vertical_Cash_flow!AN15,'Maturing receivables'!$S:$S,Vertical_Cash_flow!AM$11)</f>
        <v>0</v>
      </c>
      <c r="AO66" s="588">
        <f>SUM(AO67:AO72)</f>
        <v>166765.79999999999</v>
      </c>
      <c r="AP66" s="56">
        <f>SUMIFS('Maturing receivables'!$K:$K,'Maturing receivables'!$F:$F,Vertical_Cash_flow!$B$66,'Maturing receivables'!$A:$A,Vertical_Cash_flow!AP14,'Maturing receivables'!$J:$J,Vertical_Cash_flow!AP15,'Maturing receivables'!$S:$S,Vertical_Cash_flow!AM$11)</f>
        <v>0</v>
      </c>
      <c r="AQ66" s="196">
        <f>AM66+AN66+AO66/$C$16+AP66/$F$16</f>
        <v>555886</v>
      </c>
      <c r="AR66" s="196">
        <f t="shared" ref="AR66" si="138">AQ66*$C$16</f>
        <v>166765.79999999999</v>
      </c>
      <c r="AS66" s="57">
        <f>SUMIFS('Maturing receivables'!$K:$K,'Maturing receivables'!$F:$F,Vertical_Cash_flow!$B$66,'Maturing receivables'!$A:$A,Vertical_Cash_flow!AS14,'Maturing receivables'!$J:$J,Vertical_Cash_flow!AS15,'Maturing receivables'!$S:$S,Vertical_Cash_flow!AS$11)</f>
        <v>0</v>
      </c>
      <c r="AT66" s="56">
        <f>SUMIFS('Maturing receivables'!$K:$K,'Maturing receivables'!$F:$F,Vertical_Cash_flow!$B$66,'Maturing receivables'!$A:$A,Vertical_Cash_flow!AT14,'Maturing receivables'!$J:$J,Vertical_Cash_flow!AT15,'Maturing receivables'!$S:$S,Vertical_Cash_flow!AS$11)</f>
        <v>0</v>
      </c>
      <c r="AU66" s="588">
        <f>SUM(AU67:AU72)</f>
        <v>0</v>
      </c>
      <c r="AV66" s="56">
        <f>SUMIFS('Maturing receivables'!$K:$K,'Maturing receivables'!$F:$F,Vertical_Cash_flow!$B$66,'Maturing receivables'!$A:$A,Vertical_Cash_flow!AV14,'Maturing receivables'!$J:$J,Vertical_Cash_flow!AV15,'Maturing receivables'!$S:$S,Vertical_Cash_flow!AS$11)</f>
        <v>0</v>
      </c>
      <c r="AW66" s="196">
        <f>AS66+AT66+AU66/$C$16+AV66/$F$16</f>
        <v>0</v>
      </c>
      <c r="AX66" s="196">
        <f t="shared" ref="AX66" si="139">AW66*$C$16</f>
        <v>0</v>
      </c>
      <c r="AZ66" s="196">
        <f t="shared" si="108"/>
        <v>3960333.4666666668</v>
      </c>
    </row>
    <row r="67" spans="1:52" s="3" customFormat="1" x14ac:dyDescent="0.2">
      <c r="A67" s="655"/>
      <c r="B67" s="33" t="s">
        <v>3404</v>
      </c>
      <c r="C67" s="57">
        <f>SUMIFS('Maturing receivables'!$K:$K,'Maturing receivables'!$F:$F,Vertical_Cash_flow!$B$66,'Maturing receivables'!$A:$A,Vertical_Cash_flow!C15,'Maturing receivables'!$J:$J,Vertical_Cash_flow!C16,'Maturing receivables'!$S:$S,Vertical_Cash_flow!C$11)</f>
        <v>0</v>
      </c>
      <c r="D67" s="56">
        <f>SUMIFS('Maturing receivables'!$K:$K,'Maturing receivables'!$F:$F,Vertical_Cash_flow!$B$66,'Maturing receivables'!$A:$A,Vertical_Cash_flow!D15,'Maturing receivables'!$J:$J,Vertical_Cash_flow!D16,'Maturing receivables'!$S:$S,Vertical_Cash_flow!C$11)</f>
        <v>0</v>
      </c>
      <c r="E67" s="32">
        <f>SUMIFS('Maturing receivables'!$K:$K,'Maturing receivables'!$S:$S,Vertical_Cash_flow!C$11,'Maturing receivables'!$J:$J,Vertical_Cash_flow!E$15,'Maturing receivables'!$A:$A,Vertical_Cash_flow!$E$14,'Maturing receivables'!$G:$G,Vertical_Cash_flow!$B67,'Maturing receivables'!$F:$F,Vertical_Cash_flow!$B$66)</f>
        <v>169388.1</v>
      </c>
      <c r="F67" s="56">
        <f>SUMIFS('Maturing receivables'!$K:$K,'Maturing receivables'!$F:$F,Vertical_Cash_flow!$B$66,'Maturing receivables'!$A:$A,Vertical_Cash_flow!F15,'Maturing receivables'!$J:$J,Vertical_Cash_flow!F16,'Maturing receivables'!$S:$S,Vertical_Cash_flow!C$11)</f>
        <v>0</v>
      </c>
      <c r="G67" s="196">
        <f t="shared" ref="G67:G72" si="140">C67+D67+E67/$C$16+F67/$F$16</f>
        <v>564627</v>
      </c>
      <c r="H67" s="196">
        <f t="shared" ref="H67:H72" si="141">G67*$C$16</f>
        <v>169388.1</v>
      </c>
      <c r="I67" s="57">
        <f>SUMIFS('Maturing receivables'!$K:$K,'Maturing receivables'!$F:$F,Vertical_Cash_flow!$B$66,'Maturing receivables'!$A:$A,Vertical_Cash_flow!I15,'Maturing receivables'!$J:$J,Vertical_Cash_flow!I16,'Maturing receivables'!$S:$S,Vertical_Cash_flow!I$11)</f>
        <v>0</v>
      </c>
      <c r="J67" s="56">
        <f>SUMIFS('Maturing receivables'!$K:$K,'Maturing receivables'!$F:$F,Vertical_Cash_flow!$B$66,'Maturing receivables'!$A:$A,Vertical_Cash_flow!J15,'Maturing receivables'!$J:$J,Vertical_Cash_flow!J16,'Maturing receivables'!$S:$S,Vertical_Cash_flow!I$11)</f>
        <v>0</v>
      </c>
      <c r="K67" s="32">
        <f>SUMIFS('Maturing receivables'!$K:$K,'Maturing receivables'!$S:$S,Vertical_Cash_flow!I$11,'Maturing receivables'!$J:$J,Vertical_Cash_flow!K$15,'Maturing receivables'!$A:$A,Vertical_Cash_flow!$E$14,'Maturing receivables'!$G:$G,Vertical_Cash_flow!$B67,'Maturing receivables'!$F:$F,Vertical_Cash_flow!$B$66)</f>
        <v>0</v>
      </c>
      <c r="L67" s="56">
        <f>SUMIFS('Maturing receivables'!$K:$K,'Maturing receivables'!$F:$F,Vertical_Cash_flow!$B$66,'Maturing receivables'!$A:$A,Vertical_Cash_flow!L15,'Maturing receivables'!$J:$J,Vertical_Cash_flow!L16,'Maturing receivables'!$S:$S,Vertical_Cash_flow!I$11)</f>
        <v>0</v>
      </c>
      <c r="M67" s="196">
        <f t="shared" ref="M67:M72" si="142">I67+J67+K67/$C$16+L67/$F$16</f>
        <v>0</v>
      </c>
      <c r="N67" s="196">
        <f t="shared" ref="N67:N72" si="143">M67*$C$16</f>
        <v>0</v>
      </c>
      <c r="O67" s="57">
        <f>SUMIFS('Maturing receivables'!$K:$K,'Maturing receivables'!$F:$F,Vertical_Cash_flow!$B$66,'Maturing receivables'!$A:$A,Vertical_Cash_flow!O15,'Maturing receivables'!$J:$J,Vertical_Cash_flow!O16,'Maturing receivables'!$S:$S,Vertical_Cash_flow!O$11)</f>
        <v>0</v>
      </c>
      <c r="P67" s="56">
        <f>SUMIFS('Maturing receivables'!$K:$K,'Maturing receivables'!$F:$F,Vertical_Cash_flow!$B$66,'Maturing receivables'!$A:$A,Vertical_Cash_flow!P15,'Maturing receivables'!$J:$J,Vertical_Cash_flow!P16,'Maturing receivables'!$S:$S,Vertical_Cash_flow!O$11)</f>
        <v>0</v>
      </c>
      <c r="Q67" s="32">
        <f>SUMIFS('Maturing receivables'!$K:$K,'Maturing receivables'!$S:$S,Vertical_Cash_flow!O$11,'Maturing receivables'!$J:$J,Vertical_Cash_flow!Q$15,'Maturing receivables'!$A:$A,Vertical_Cash_flow!$E$14,'Maturing receivables'!$G:$G,Vertical_Cash_flow!$B67,'Maturing receivables'!$F:$F,Vertical_Cash_flow!$B$66)</f>
        <v>168711.90000000002</v>
      </c>
      <c r="R67" s="56">
        <f>SUMIFS('Maturing receivables'!$K:$K,'Maturing receivables'!$F:$F,Vertical_Cash_flow!$B$66,'Maturing receivables'!$A:$A,Vertical_Cash_flow!R15,'Maturing receivables'!$J:$J,Vertical_Cash_flow!R16,'Maturing receivables'!$S:$S,Vertical_Cash_flow!O$11)</f>
        <v>0</v>
      </c>
      <c r="S67" s="196">
        <f t="shared" ref="S67:S72" si="144">O67+P67+Q67/$C$16+R67/$F$16</f>
        <v>562373.00000000012</v>
      </c>
      <c r="T67" s="196">
        <f t="shared" ref="T67:T72" si="145">S67*$C$16</f>
        <v>168711.90000000002</v>
      </c>
      <c r="U67" s="57">
        <f>SUMIFS('Maturing receivables'!$K:$K,'Maturing receivables'!$F:$F,Vertical_Cash_flow!$B$66,'Maturing receivables'!$A:$A,Vertical_Cash_flow!U15,'Maturing receivables'!$J:$J,Vertical_Cash_flow!U16,'Maturing receivables'!$S:$S,Vertical_Cash_flow!U$11)</f>
        <v>0</v>
      </c>
      <c r="V67" s="56">
        <f>SUMIFS('Maturing receivables'!$K:$K,'Maturing receivables'!$F:$F,Vertical_Cash_flow!$B$66,'Maturing receivables'!$A:$A,Vertical_Cash_flow!V15,'Maturing receivables'!$J:$J,Vertical_Cash_flow!V16,'Maturing receivables'!$S:$S,Vertical_Cash_flow!U$11)</f>
        <v>0</v>
      </c>
      <c r="W67" s="32">
        <f>SUMIFS('Maturing receivables'!$K:$K,'Maturing receivables'!$S:$S,Vertical_Cash_flow!U$11,'Maturing receivables'!$J:$J,Vertical_Cash_flow!W$15,'Maturing receivables'!$A:$A,Vertical_Cash_flow!$E$14,'Maturing receivables'!$G:$G,Vertical_Cash_flow!$B67,'Maturing receivables'!$F:$F,Vertical_Cash_flow!$B$66)</f>
        <v>0</v>
      </c>
      <c r="X67" s="56">
        <f>SUMIFS('Maturing receivables'!$K:$K,'Maturing receivables'!$F:$F,Vertical_Cash_flow!$B$66,'Maturing receivables'!$A:$A,Vertical_Cash_flow!X15,'Maturing receivables'!$J:$J,Vertical_Cash_flow!X16,'Maturing receivables'!$S:$S,Vertical_Cash_flow!U$11)</f>
        <v>0</v>
      </c>
      <c r="Y67" s="196">
        <f t="shared" ref="Y67:Y72" si="146">U67+V67+W67/$C$16+X67/$F$16</f>
        <v>0</v>
      </c>
      <c r="Z67" s="196">
        <f t="shared" ref="Z67:Z72" si="147">Y67*$C$16</f>
        <v>0</v>
      </c>
      <c r="AA67" s="57">
        <f>SUMIFS('Maturing receivables'!$K:$K,'Maturing receivables'!$F:$F,Vertical_Cash_flow!$B$66,'Maturing receivables'!$A:$A,Vertical_Cash_flow!AA15,'Maturing receivables'!$J:$J,Vertical_Cash_flow!AA16,'Maturing receivables'!$S:$S,Vertical_Cash_flow!AA$11)</f>
        <v>0</v>
      </c>
      <c r="AB67" s="56">
        <f>SUMIFS('Maturing receivables'!$K:$K,'Maturing receivables'!$F:$F,Vertical_Cash_flow!$B$66,'Maturing receivables'!$A:$A,Vertical_Cash_flow!AB15,'Maturing receivables'!$J:$J,Vertical_Cash_flow!AB16,'Maturing receivables'!$S:$S,Vertical_Cash_flow!AA$11)</f>
        <v>0</v>
      </c>
      <c r="AC67" s="32">
        <f>SUMIFS('Maturing receivables'!$K:$K,'Maturing receivables'!$S:$S,Vertical_Cash_flow!AA$11,'Maturing receivables'!$J:$J,Vertical_Cash_flow!AC$15,'Maturing receivables'!$A:$A,Vertical_Cash_flow!$E$14,'Maturing receivables'!$G:$G,Vertical_Cash_flow!$B67,'Maturing receivables'!$F:$F,Vertical_Cash_flow!$B$66)</f>
        <v>167434.20000000001</v>
      </c>
      <c r="AD67" s="56">
        <f>SUMIFS('Maturing receivables'!$K:$K,'Maturing receivables'!$F:$F,Vertical_Cash_flow!$B$66,'Maturing receivables'!$A:$A,Vertical_Cash_flow!AD15,'Maturing receivables'!$J:$J,Vertical_Cash_flow!AD16,'Maturing receivables'!$S:$S,Vertical_Cash_flow!AA$11)</f>
        <v>0</v>
      </c>
      <c r="AE67" s="196">
        <f t="shared" ref="AE67:AE72" si="148">AA67+AB67+AC67/$C$16+AD67/$F$16</f>
        <v>558114.00000000012</v>
      </c>
      <c r="AF67" s="196">
        <f t="shared" ref="AF67:AF72" si="149">AE67*$C$16</f>
        <v>167434.20000000004</v>
      </c>
      <c r="AG67" s="57">
        <f>SUMIFS('Maturing receivables'!$K:$K,'Maturing receivables'!$F:$F,Vertical_Cash_flow!$B$66,'Maturing receivables'!$A:$A,Vertical_Cash_flow!AG15,'Maturing receivables'!$J:$J,Vertical_Cash_flow!AG16,'Maturing receivables'!$S:$S,Vertical_Cash_flow!AG$11)</f>
        <v>0</v>
      </c>
      <c r="AH67" s="56">
        <f>SUMIFS('Maturing receivables'!$K:$K,'Maturing receivables'!$F:$F,Vertical_Cash_flow!$B$66,'Maturing receivables'!$A:$A,Vertical_Cash_flow!AH15,'Maturing receivables'!$J:$J,Vertical_Cash_flow!AH16,'Maturing receivables'!$S:$S,Vertical_Cash_flow!AG$11)</f>
        <v>0</v>
      </c>
      <c r="AI67" s="32">
        <f>SUMIFS('Maturing receivables'!$K:$K,'Maturing receivables'!$S:$S,Vertical_Cash_flow!AG$11,'Maturing receivables'!$J:$J,Vertical_Cash_flow!AI$15,'Maturing receivables'!$A:$A,Vertical_Cash_flow!$E$14,'Maturing receivables'!$G:$G,Vertical_Cash_flow!$B67,'Maturing receivables'!$F:$F,Vertical_Cash_flow!$B$66)</f>
        <v>0</v>
      </c>
      <c r="AJ67" s="56">
        <f>SUMIFS('Maturing receivables'!$K:$K,'Maturing receivables'!$F:$F,Vertical_Cash_flow!$B$66,'Maturing receivables'!$A:$A,Vertical_Cash_flow!AJ15,'Maturing receivables'!$J:$J,Vertical_Cash_flow!AJ16,'Maturing receivables'!$S:$S,Vertical_Cash_flow!AG$11)</f>
        <v>0</v>
      </c>
      <c r="AK67" s="196">
        <f t="shared" ref="AK67:AK72" si="150">AG67+AH67+AI67/$C$16+AJ67/$F$16</f>
        <v>0</v>
      </c>
      <c r="AL67" s="196">
        <f t="shared" ref="AL67:AL72" si="151">AK67*$C$16</f>
        <v>0</v>
      </c>
      <c r="AM67" s="57">
        <f>SUMIFS('Maturing receivables'!$K:$K,'Maturing receivables'!$F:$F,Vertical_Cash_flow!$B$66,'Maturing receivables'!$A:$A,Vertical_Cash_flow!AM15,'Maturing receivables'!$J:$J,Vertical_Cash_flow!AM16,'Maturing receivables'!$S:$S,Vertical_Cash_flow!AM$11)</f>
        <v>0</v>
      </c>
      <c r="AN67" s="56">
        <f>SUMIFS('Maturing receivables'!$K:$K,'Maturing receivables'!$F:$F,Vertical_Cash_flow!$B$66,'Maturing receivables'!$A:$A,Vertical_Cash_flow!AN15,'Maturing receivables'!$J:$J,Vertical_Cash_flow!AN16,'Maturing receivables'!$S:$S,Vertical_Cash_flow!AM$11)</f>
        <v>0</v>
      </c>
      <c r="AO67" s="32">
        <f>SUMIFS('Maturing receivables'!$K:$K,'Maturing receivables'!$S:$S,Vertical_Cash_flow!AM$11,'Maturing receivables'!$J:$J,Vertical_Cash_flow!AO$15,'Maturing receivables'!$A:$A,Vertical_Cash_flow!$E$14,'Maturing receivables'!$G:$G,Vertical_Cash_flow!$B67,'Maturing receivables'!$F:$F,Vertical_Cash_flow!$B$66)</f>
        <v>166765.79999999999</v>
      </c>
      <c r="AP67" s="56">
        <f>SUMIFS('Maturing receivables'!$K:$K,'Maturing receivables'!$F:$F,Vertical_Cash_flow!$B$66,'Maturing receivables'!$A:$A,Vertical_Cash_flow!AP15,'Maturing receivables'!$J:$J,Vertical_Cash_flow!AP16,'Maturing receivables'!$S:$S,Vertical_Cash_flow!AM$11)</f>
        <v>0</v>
      </c>
      <c r="AQ67" s="196">
        <f t="shared" ref="AQ67:AQ72" si="152">AM67+AN67+AO67/$C$16+AP67/$F$16</f>
        <v>555886</v>
      </c>
      <c r="AR67" s="196">
        <f t="shared" ref="AR67:AR72" si="153">AQ67*$C$16</f>
        <v>166765.79999999999</v>
      </c>
      <c r="AS67" s="57">
        <f>SUMIFS('Maturing receivables'!$K:$K,'Maturing receivables'!$F:$F,Vertical_Cash_flow!$B$66,'Maturing receivables'!$A:$A,Vertical_Cash_flow!AS15,'Maturing receivables'!$J:$J,Vertical_Cash_flow!AS16,'Maturing receivables'!$S:$S,Vertical_Cash_flow!AS$11)</f>
        <v>0</v>
      </c>
      <c r="AT67" s="56">
        <f>SUMIFS('Maturing receivables'!$K:$K,'Maturing receivables'!$F:$F,Vertical_Cash_flow!$B$66,'Maturing receivables'!$A:$A,Vertical_Cash_flow!AT15,'Maturing receivables'!$J:$J,Vertical_Cash_flow!AT16,'Maturing receivables'!$S:$S,Vertical_Cash_flow!AS$11)</f>
        <v>0</v>
      </c>
      <c r="AU67" s="32">
        <f>SUMIFS('Maturing receivables'!$K:$K,'Maturing receivables'!$S:$S,Vertical_Cash_flow!AS$11,'Maturing receivables'!$J:$J,Vertical_Cash_flow!AU$15,'Maturing receivables'!$A:$A,Vertical_Cash_flow!$E$14,'Maturing receivables'!$G:$G,Vertical_Cash_flow!$B67,'Maturing receivables'!$F:$F,Vertical_Cash_flow!$B$66)</f>
        <v>0</v>
      </c>
      <c r="AV67" s="56">
        <f>SUMIFS('Maturing receivables'!$K:$K,'Maturing receivables'!$F:$F,Vertical_Cash_flow!$B$66,'Maturing receivables'!$A:$A,Vertical_Cash_flow!AV15,'Maturing receivables'!$J:$J,Vertical_Cash_flow!AV16,'Maturing receivables'!$S:$S,Vertical_Cash_flow!AS$11)</f>
        <v>0</v>
      </c>
      <c r="AW67" s="196">
        <f t="shared" ref="AW67:AW72" si="154">AS67+AT67+AU67/$C$16+AV67/$F$16</f>
        <v>0</v>
      </c>
      <c r="AX67" s="196">
        <f t="shared" ref="AX67:AX72" si="155">AW67*$C$16</f>
        <v>0</v>
      </c>
      <c r="AZ67" s="196"/>
    </row>
    <row r="68" spans="1:52" s="3" customFormat="1" x14ac:dyDescent="0.2">
      <c r="A68" s="655"/>
      <c r="B68" s="33" t="s">
        <v>853</v>
      </c>
      <c r="C68" s="57">
        <f>SUMIFS('Maturing receivables'!$K:$K,'Maturing receivables'!$F:$F,Vertical_Cash_flow!$B$66,'Maturing receivables'!$A:$A,Vertical_Cash_flow!C16,'Maturing receivables'!$J:$J,Vertical_Cash_flow!C17,'Maturing receivables'!$S:$S,Vertical_Cash_flow!C$11)</f>
        <v>0</v>
      </c>
      <c r="D68" s="56">
        <f>SUMIFS('Maturing receivables'!$K:$K,'Maturing receivables'!$F:$F,Vertical_Cash_flow!$B$66,'Maturing receivables'!$A:$A,Vertical_Cash_flow!D16,'Maturing receivables'!$J:$J,Vertical_Cash_flow!D17,'Maturing receivables'!$S:$S,Vertical_Cash_flow!C$11)</f>
        <v>0</v>
      </c>
      <c r="E68" s="32">
        <f>SUMIFS('Maturing receivables'!$K:$K,'Maturing receivables'!$S:$S,Vertical_Cash_flow!C$11,'Maturing receivables'!$J:$J,Vertical_Cash_flow!E$15,'Maturing receivables'!$A:$A,Vertical_Cash_flow!$E$14,'Maturing receivables'!$G:$G,Vertical_Cash_flow!$B68,'Maturing receivables'!$F:$F,Vertical_Cash_flow!$B$66)</f>
        <v>50904.72</v>
      </c>
      <c r="F68" s="56">
        <f>SUMIFS('Maturing receivables'!$K:$K,'Maturing receivables'!$F:$F,Vertical_Cash_flow!$B$66,'Maturing receivables'!$A:$A,Vertical_Cash_flow!F16,'Maturing receivables'!$J:$J,Vertical_Cash_flow!F17,'Maturing receivables'!$S:$S,Vertical_Cash_flow!C$11)</f>
        <v>0</v>
      </c>
      <c r="G68" s="196">
        <f t="shared" si="140"/>
        <v>169682.40000000002</v>
      </c>
      <c r="H68" s="196">
        <f t="shared" si="141"/>
        <v>50904.720000000008</v>
      </c>
      <c r="I68" s="57">
        <f>SUMIFS('Maturing receivables'!$K:$K,'Maturing receivables'!$F:$F,Vertical_Cash_flow!$B$66,'Maturing receivables'!$A:$A,Vertical_Cash_flow!I16,'Maturing receivables'!$J:$J,Vertical_Cash_flow!I17,'Maturing receivables'!$S:$S,Vertical_Cash_flow!I$11)</f>
        <v>0</v>
      </c>
      <c r="J68" s="56">
        <f>SUMIFS('Maturing receivables'!$K:$K,'Maturing receivables'!$F:$F,Vertical_Cash_flow!$B$66,'Maturing receivables'!$A:$A,Vertical_Cash_flow!J16,'Maturing receivables'!$J:$J,Vertical_Cash_flow!J17,'Maturing receivables'!$S:$S,Vertical_Cash_flow!I$11)</f>
        <v>0</v>
      </c>
      <c r="K68" s="32">
        <f>SUMIFS('Maturing receivables'!$K:$K,'Maturing receivables'!$S:$S,Vertical_Cash_flow!I$11,'Maturing receivables'!$J:$J,Vertical_Cash_flow!K$15,'Maturing receivables'!$A:$A,Vertical_Cash_flow!$E$14,'Maturing receivables'!$G:$G,Vertical_Cash_flow!$B68,'Maturing receivables'!$F:$F,Vertical_Cash_flow!$B$66)</f>
        <v>0</v>
      </c>
      <c r="L68" s="56">
        <f>SUMIFS('Maturing receivables'!$K:$K,'Maturing receivables'!$F:$F,Vertical_Cash_flow!$B$66,'Maturing receivables'!$A:$A,Vertical_Cash_flow!L16,'Maturing receivables'!$J:$J,Vertical_Cash_flow!L17,'Maturing receivables'!$S:$S,Vertical_Cash_flow!I$11)</f>
        <v>0</v>
      </c>
      <c r="M68" s="196">
        <f t="shared" si="142"/>
        <v>0</v>
      </c>
      <c r="N68" s="196">
        <f t="shared" si="143"/>
        <v>0</v>
      </c>
      <c r="O68" s="57">
        <f>SUMIFS('Maturing receivables'!$K:$K,'Maturing receivables'!$F:$F,Vertical_Cash_flow!$B$66,'Maturing receivables'!$A:$A,Vertical_Cash_flow!O16,'Maturing receivables'!$J:$J,Vertical_Cash_flow!O17,'Maturing receivables'!$S:$S,Vertical_Cash_flow!O$11)</f>
        <v>0</v>
      </c>
      <c r="P68" s="56">
        <f>SUMIFS('Maturing receivables'!$K:$K,'Maturing receivables'!$F:$F,Vertical_Cash_flow!$B$66,'Maturing receivables'!$A:$A,Vertical_Cash_flow!P16,'Maturing receivables'!$J:$J,Vertical_Cash_flow!P17,'Maturing receivables'!$S:$S,Vertical_Cash_flow!O$11)</f>
        <v>0</v>
      </c>
      <c r="Q68" s="32">
        <f>SUMIFS('Maturing receivables'!$K:$K,'Maturing receivables'!$S:$S,Vertical_Cash_flow!O$11,'Maturing receivables'!$J:$J,Vertical_Cash_flow!Q$15,'Maturing receivables'!$A:$A,Vertical_Cash_flow!$E$14,'Maturing receivables'!$G:$G,Vertical_Cash_flow!$B68,'Maturing receivables'!$F:$F,Vertical_Cash_flow!$B$66)</f>
        <v>0</v>
      </c>
      <c r="R68" s="56">
        <f>SUMIFS('Maturing receivables'!$K:$K,'Maturing receivables'!$F:$F,Vertical_Cash_flow!$B$66,'Maturing receivables'!$A:$A,Vertical_Cash_flow!R16,'Maturing receivables'!$J:$J,Vertical_Cash_flow!R17,'Maturing receivables'!$S:$S,Vertical_Cash_flow!O$11)</f>
        <v>0</v>
      </c>
      <c r="S68" s="196">
        <f t="shared" si="144"/>
        <v>0</v>
      </c>
      <c r="T68" s="196">
        <f t="shared" si="145"/>
        <v>0</v>
      </c>
      <c r="U68" s="57">
        <f>SUMIFS('Maturing receivables'!$K:$K,'Maturing receivables'!$F:$F,Vertical_Cash_flow!$B$66,'Maturing receivables'!$A:$A,Vertical_Cash_flow!U16,'Maturing receivables'!$J:$J,Vertical_Cash_flow!U17,'Maturing receivables'!$S:$S,Vertical_Cash_flow!U$11)</f>
        <v>0</v>
      </c>
      <c r="V68" s="56">
        <f>SUMIFS('Maturing receivables'!$K:$K,'Maturing receivables'!$F:$F,Vertical_Cash_flow!$B$66,'Maturing receivables'!$A:$A,Vertical_Cash_flow!V16,'Maturing receivables'!$J:$J,Vertical_Cash_flow!V17,'Maturing receivables'!$S:$S,Vertical_Cash_flow!U$11)</f>
        <v>0</v>
      </c>
      <c r="W68" s="32">
        <f>SUMIFS('Maturing receivables'!$K:$K,'Maturing receivables'!$S:$S,Vertical_Cash_flow!U$11,'Maturing receivables'!$J:$J,Vertical_Cash_flow!W$15,'Maturing receivables'!$A:$A,Vertical_Cash_flow!$E$14,'Maturing receivables'!$G:$G,Vertical_Cash_flow!$B68,'Maturing receivables'!$F:$F,Vertical_Cash_flow!$B$66)</f>
        <v>0</v>
      </c>
      <c r="X68" s="56">
        <f>SUMIFS('Maturing receivables'!$K:$K,'Maturing receivables'!$F:$F,Vertical_Cash_flow!$B$66,'Maturing receivables'!$A:$A,Vertical_Cash_flow!X16,'Maturing receivables'!$J:$J,Vertical_Cash_flow!X17,'Maturing receivables'!$S:$S,Vertical_Cash_flow!U$11)</f>
        <v>0</v>
      </c>
      <c r="Y68" s="196">
        <f t="shared" si="146"/>
        <v>0</v>
      </c>
      <c r="Z68" s="196">
        <f t="shared" si="147"/>
        <v>0</v>
      </c>
      <c r="AA68" s="57">
        <f>SUMIFS('Maturing receivables'!$K:$K,'Maturing receivables'!$F:$F,Vertical_Cash_flow!$B$66,'Maturing receivables'!$A:$A,Vertical_Cash_flow!AA16,'Maturing receivables'!$J:$J,Vertical_Cash_flow!AA17,'Maturing receivables'!$S:$S,Vertical_Cash_flow!AA$11)</f>
        <v>0</v>
      </c>
      <c r="AB68" s="56">
        <f>SUMIFS('Maturing receivables'!$K:$K,'Maturing receivables'!$F:$F,Vertical_Cash_flow!$B$66,'Maturing receivables'!$A:$A,Vertical_Cash_flow!AB16,'Maturing receivables'!$J:$J,Vertical_Cash_flow!AB17,'Maturing receivables'!$S:$S,Vertical_Cash_flow!AA$11)</f>
        <v>0</v>
      </c>
      <c r="AC68" s="32">
        <f>SUMIFS('Maturing receivables'!$K:$K,'Maturing receivables'!$S:$S,Vertical_Cash_flow!AA$11,'Maturing receivables'!$J:$J,Vertical_Cash_flow!AC$15,'Maturing receivables'!$A:$A,Vertical_Cash_flow!$E$14,'Maturing receivables'!$G:$G,Vertical_Cash_flow!$B68,'Maturing receivables'!$F:$F,Vertical_Cash_flow!$B$66)</f>
        <v>104074.14</v>
      </c>
      <c r="AD68" s="56">
        <f>SUMIFS('Maturing receivables'!$K:$K,'Maturing receivables'!$F:$F,Vertical_Cash_flow!$B$66,'Maturing receivables'!$A:$A,Vertical_Cash_flow!AD16,'Maturing receivables'!$J:$J,Vertical_Cash_flow!AD17,'Maturing receivables'!$S:$S,Vertical_Cash_flow!AA$11)</f>
        <v>0</v>
      </c>
      <c r="AE68" s="196">
        <f t="shared" si="148"/>
        <v>346913.8</v>
      </c>
      <c r="AF68" s="196">
        <f t="shared" si="149"/>
        <v>104074.14</v>
      </c>
      <c r="AG68" s="57">
        <f>SUMIFS('Maturing receivables'!$K:$K,'Maturing receivables'!$F:$F,Vertical_Cash_flow!$B$66,'Maturing receivables'!$A:$A,Vertical_Cash_flow!AG16,'Maturing receivables'!$J:$J,Vertical_Cash_flow!AG17,'Maturing receivables'!$S:$S,Vertical_Cash_flow!AG$11)</f>
        <v>0</v>
      </c>
      <c r="AH68" s="56">
        <f>SUMIFS('Maturing receivables'!$K:$K,'Maturing receivables'!$F:$F,Vertical_Cash_flow!$B$66,'Maturing receivables'!$A:$A,Vertical_Cash_flow!AH16,'Maturing receivables'!$J:$J,Vertical_Cash_flow!AH17,'Maturing receivables'!$S:$S,Vertical_Cash_flow!AG$11)</f>
        <v>0</v>
      </c>
      <c r="AI68" s="32">
        <f>SUMIFS('Maturing receivables'!$K:$K,'Maturing receivables'!$S:$S,Vertical_Cash_flow!AG$11,'Maturing receivables'!$J:$J,Vertical_Cash_flow!AI$15,'Maturing receivables'!$A:$A,Vertical_Cash_flow!$E$14,'Maturing receivables'!$G:$G,Vertical_Cash_flow!$B68,'Maturing receivables'!$F:$F,Vertical_Cash_flow!$B$66)</f>
        <v>0</v>
      </c>
      <c r="AJ68" s="56">
        <f>SUMIFS('Maturing receivables'!$K:$K,'Maturing receivables'!$F:$F,Vertical_Cash_flow!$B$66,'Maturing receivables'!$A:$A,Vertical_Cash_flow!AJ16,'Maturing receivables'!$J:$J,Vertical_Cash_flow!AJ17,'Maturing receivables'!$S:$S,Vertical_Cash_flow!AG$11)</f>
        <v>0</v>
      </c>
      <c r="AK68" s="196">
        <f t="shared" si="150"/>
        <v>0</v>
      </c>
      <c r="AL68" s="196">
        <f t="shared" si="151"/>
        <v>0</v>
      </c>
      <c r="AM68" s="57">
        <f>SUMIFS('Maturing receivables'!$K:$K,'Maturing receivables'!$F:$F,Vertical_Cash_flow!$B$66,'Maturing receivables'!$A:$A,Vertical_Cash_flow!AM16,'Maturing receivables'!$J:$J,Vertical_Cash_flow!AM17,'Maturing receivables'!$S:$S,Vertical_Cash_flow!AM$11)</f>
        <v>0</v>
      </c>
      <c r="AN68" s="56">
        <f>SUMIFS('Maturing receivables'!$K:$K,'Maturing receivables'!$F:$F,Vertical_Cash_flow!$B$66,'Maturing receivables'!$A:$A,Vertical_Cash_flow!AN16,'Maturing receivables'!$J:$J,Vertical_Cash_flow!AN17,'Maturing receivables'!$S:$S,Vertical_Cash_flow!AM$11)</f>
        <v>0</v>
      </c>
      <c r="AO68" s="32">
        <f>SUMIFS('Maturing receivables'!$K:$K,'Maturing receivables'!$S:$S,Vertical_Cash_flow!AM$11,'Maturing receivables'!$J:$J,Vertical_Cash_flow!AO$15,'Maturing receivables'!$A:$A,Vertical_Cash_flow!$E$14,'Maturing receivables'!$G:$G,Vertical_Cash_flow!$B68,'Maturing receivables'!$F:$F,Vertical_Cash_flow!$B$66)</f>
        <v>0</v>
      </c>
      <c r="AP68" s="56">
        <f>SUMIFS('Maturing receivables'!$K:$K,'Maturing receivables'!$F:$F,Vertical_Cash_flow!$B$66,'Maturing receivables'!$A:$A,Vertical_Cash_flow!AP16,'Maturing receivables'!$J:$J,Vertical_Cash_flow!AP17,'Maturing receivables'!$S:$S,Vertical_Cash_flow!AM$11)</f>
        <v>0</v>
      </c>
      <c r="AQ68" s="196">
        <f t="shared" si="152"/>
        <v>0</v>
      </c>
      <c r="AR68" s="196">
        <f t="shared" si="153"/>
        <v>0</v>
      </c>
      <c r="AS68" s="57">
        <f>SUMIFS('Maturing receivables'!$K:$K,'Maturing receivables'!$F:$F,Vertical_Cash_flow!$B$66,'Maturing receivables'!$A:$A,Vertical_Cash_flow!AS16,'Maturing receivables'!$J:$J,Vertical_Cash_flow!AS17,'Maturing receivables'!$S:$S,Vertical_Cash_flow!AS$11)</f>
        <v>0</v>
      </c>
      <c r="AT68" s="56">
        <f>SUMIFS('Maturing receivables'!$K:$K,'Maturing receivables'!$F:$F,Vertical_Cash_flow!$B$66,'Maturing receivables'!$A:$A,Vertical_Cash_flow!AT16,'Maturing receivables'!$J:$J,Vertical_Cash_flow!AT17,'Maturing receivables'!$S:$S,Vertical_Cash_flow!AS$11)</f>
        <v>0</v>
      </c>
      <c r="AU68" s="32">
        <f>SUMIFS('Maturing receivables'!$K:$K,'Maturing receivables'!$S:$S,Vertical_Cash_flow!AS$11,'Maturing receivables'!$J:$J,Vertical_Cash_flow!AU$15,'Maturing receivables'!$A:$A,Vertical_Cash_flow!$E$14,'Maturing receivables'!$G:$G,Vertical_Cash_flow!$B68,'Maturing receivables'!$F:$F,Vertical_Cash_flow!$B$66)</f>
        <v>0</v>
      </c>
      <c r="AV68" s="56">
        <f>SUMIFS('Maturing receivables'!$K:$K,'Maturing receivables'!$F:$F,Vertical_Cash_flow!$B$66,'Maturing receivables'!$A:$A,Vertical_Cash_flow!AV16,'Maturing receivables'!$J:$J,Vertical_Cash_flow!AV17,'Maturing receivables'!$S:$S,Vertical_Cash_flow!AS$11)</f>
        <v>0</v>
      </c>
      <c r="AW68" s="196">
        <f t="shared" si="154"/>
        <v>0</v>
      </c>
      <c r="AX68" s="196">
        <f t="shared" si="155"/>
        <v>0</v>
      </c>
      <c r="AZ68" s="196"/>
    </row>
    <row r="69" spans="1:52" s="3" customFormat="1" x14ac:dyDescent="0.2">
      <c r="A69" s="655"/>
      <c r="B69" t="s">
        <v>2304</v>
      </c>
      <c r="C69" s="57">
        <f>SUMIFS('Maturing receivables'!$K:$K,'Maturing receivables'!$F:$F,Vertical_Cash_flow!$B$66,'Maturing receivables'!$A:$A,Vertical_Cash_flow!C17,'Maturing receivables'!$J:$J,Vertical_Cash_flow!C18,'Maturing receivables'!$S:$S,Vertical_Cash_flow!C$11)</f>
        <v>0</v>
      </c>
      <c r="D69" s="56">
        <f>SUMIFS('Maturing receivables'!$K:$K,'Maturing receivables'!$F:$F,Vertical_Cash_flow!$B$66,'Maturing receivables'!$A:$A,Vertical_Cash_flow!D17,'Maturing receivables'!$J:$J,Vertical_Cash_flow!D18,'Maturing receivables'!$S:$S,Vertical_Cash_flow!C$11)</f>
        <v>0</v>
      </c>
      <c r="E69" s="32">
        <f>SUMIFS('Maturing receivables'!$K:$K,'Maturing receivables'!$S:$S,Vertical_Cash_flow!C$11,'Maturing receivables'!$J:$J,Vertical_Cash_flow!E$15,'Maturing receivables'!$A:$A,Vertical_Cash_flow!$E$14,'Maturing receivables'!$G:$G,Vertical_Cash_flow!$B69,'Maturing receivables'!$F:$F,Vertical_Cash_flow!$B$66)</f>
        <v>51848.75</v>
      </c>
      <c r="F69" s="56">
        <f>SUMIFS('Maturing receivables'!$K:$K,'Maturing receivables'!$F:$F,Vertical_Cash_flow!$B$66,'Maturing receivables'!$A:$A,Vertical_Cash_flow!F17,'Maturing receivables'!$J:$J,Vertical_Cash_flow!F18,'Maturing receivables'!$S:$S,Vertical_Cash_flow!C$11)</f>
        <v>0</v>
      </c>
      <c r="G69" s="196">
        <f t="shared" si="140"/>
        <v>172829.16666666669</v>
      </c>
      <c r="H69" s="196">
        <f t="shared" si="141"/>
        <v>51848.750000000007</v>
      </c>
      <c r="I69" s="57">
        <f>SUMIFS('Maturing receivables'!$K:$K,'Maturing receivables'!$F:$F,Vertical_Cash_flow!$B$66,'Maturing receivables'!$A:$A,Vertical_Cash_flow!I17,'Maturing receivables'!$J:$J,Vertical_Cash_flow!I18,'Maturing receivables'!$S:$S,Vertical_Cash_flow!I$11)</f>
        <v>0</v>
      </c>
      <c r="J69" s="56">
        <f>SUMIFS('Maturing receivables'!$K:$K,'Maturing receivables'!$F:$F,Vertical_Cash_flow!$B$66,'Maturing receivables'!$A:$A,Vertical_Cash_flow!J17,'Maturing receivables'!$J:$J,Vertical_Cash_flow!J18,'Maturing receivables'!$S:$S,Vertical_Cash_flow!I$11)</f>
        <v>0</v>
      </c>
      <c r="K69" s="32">
        <f>SUMIFS('Maturing receivables'!$K:$K,'Maturing receivables'!$S:$S,Vertical_Cash_flow!I$11,'Maturing receivables'!$J:$J,Vertical_Cash_flow!K$15,'Maturing receivables'!$A:$A,Vertical_Cash_flow!$E$14,'Maturing receivables'!$G:$G,Vertical_Cash_flow!$B69,'Maturing receivables'!$F:$F,Vertical_Cash_flow!$B$66)</f>
        <v>0</v>
      </c>
      <c r="L69" s="56">
        <f>SUMIFS('Maturing receivables'!$K:$K,'Maturing receivables'!$F:$F,Vertical_Cash_flow!$B$66,'Maturing receivables'!$A:$A,Vertical_Cash_flow!L17,'Maturing receivables'!$J:$J,Vertical_Cash_flow!L18,'Maturing receivables'!$S:$S,Vertical_Cash_flow!I$11)</f>
        <v>0</v>
      </c>
      <c r="M69" s="196">
        <f t="shared" si="142"/>
        <v>0</v>
      </c>
      <c r="N69" s="196">
        <f t="shared" si="143"/>
        <v>0</v>
      </c>
      <c r="O69" s="57">
        <f>SUMIFS('Maturing receivables'!$K:$K,'Maturing receivables'!$F:$F,Vertical_Cash_flow!$B$66,'Maturing receivables'!$A:$A,Vertical_Cash_flow!O17,'Maturing receivables'!$J:$J,Vertical_Cash_flow!O18,'Maturing receivables'!$S:$S,Vertical_Cash_flow!O$11)</f>
        <v>0</v>
      </c>
      <c r="P69" s="56">
        <f>SUMIFS('Maturing receivables'!$K:$K,'Maturing receivables'!$F:$F,Vertical_Cash_flow!$B$66,'Maturing receivables'!$A:$A,Vertical_Cash_flow!P17,'Maturing receivables'!$J:$J,Vertical_Cash_flow!P18,'Maturing receivables'!$S:$S,Vertical_Cash_flow!O$11)</f>
        <v>0</v>
      </c>
      <c r="Q69" s="32">
        <f>SUMIFS('Maturing receivables'!$K:$K,'Maturing receivables'!$S:$S,Vertical_Cash_flow!O$11,'Maturing receivables'!$J:$J,Vertical_Cash_flow!Q$15,'Maturing receivables'!$A:$A,Vertical_Cash_flow!$E$14,'Maturing receivables'!$G:$G,Vertical_Cash_flow!$B69,'Maturing receivables'!$F:$F,Vertical_Cash_flow!$B$66)</f>
        <v>0</v>
      </c>
      <c r="R69" s="56">
        <f>SUMIFS('Maturing receivables'!$K:$K,'Maturing receivables'!$F:$F,Vertical_Cash_flow!$B$66,'Maturing receivables'!$A:$A,Vertical_Cash_flow!R17,'Maturing receivables'!$J:$J,Vertical_Cash_flow!R18,'Maturing receivables'!$S:$S,Vertical_Cash_flow!O$11)</f>
        <v>0</v>
      </c>
      <c r="S69" s="196">
        <f t="shared" si="144"/>
        <v>0</v>
      </c>
      <c r="T69" s="196">
        <f t="shared" si="145"/>
        <v>0</v>
      </c>
      <c r="U69" s="57">
        <f>SUMIFS('Maturing receivables'!$K:$K,'Maturing receivables'!$F:$F,Vertical_Cash_flow!$B$66,'Maturing receivables'!$A:$A,Vertical_Cash_flow!U17,'Maturing receivables'!$J:$J,Vertical_Cash_flow!U18,'Maturing receivables'!$S:$S,Vertical_Cash_flow!U$11)</f>
        <v>0</v>
      </c>
      <c r="V69" s="56">
        <f>SUMIFS('Maturing receivables'!$K:$K,'Maturing receivables'!$F:$F,Vertical_Cash_flow!$B$66,'Maturing receivables'!$A:$A,Vertical_Cash_flow!V17,'Maturing receivables'!$J:$J,Vertical_Cash_flow!V18,'Maturing receivables'!$S:$S,Vertical_Cash_flow!U$11)</f>
        <v>0</v>
      </c>
      <c r="W69" s="32">
        <f>SUMIFS('Maturing receivables'!$K:$K,'Maturing receivables'!$S:$S,Vertical_Cash_flow!U$11,'Maturing receivables'!$J:$J,Vertical_Cash_flow!W$15,'Maturing receivables'!$A:$A,Vertical_Cash_flow!$E$14,'Maturing receivables'!$G:$G,Vertical_Cash_flow!$B69,'Maturing receivables'!$F:$F,Vertical_Cash_flow!$B$66)</f>
        <v>0</v>
      </c>
      <c r="X69" s="56">
        <f>SUMIFS('Maturing receivables'!$K:$K,'Maturing receivables'!$F:$F,Vertical_Cash_flow!$B$66,'Maturing receivables'!$A:$A,Vertical_Cash_flow!X17,'Maturing receivables'!$J:$J,Vertical_Cash_flow!X18,'Maturing receivables'!$S:$S,Vertical_Cash_flow!U$11)</f>
        <v>0</v>
      </c>
      <c r="Y69" s="196">
        <f t="shared" si="146"/>
        <v>0</v>
      </c>
      <c r="Z69" s="196">
        <f t="shared" si="147"/>
        <v>0</v>
      </c>
      <c r="AA69" s="57">
        <f>SUMIFS('Maturing receivables'!$K:$K,'Maturing receivables'!$F:$F,Vertical_Cash_flow!$B$66,'Maturing receivables'!$A:$A,Vertical_Cash_flow!AA17,'Maturing receivables'!$J:$J,Vertical_Cash_flow!AA18,'Maturing receivables'!$S:$S,Vertical_Cash_flow!AA$11)</f>
        <v>0</v>
      </c>
      <c r="AB69" s="56">
        <f>SUMIFS('Maturing receivables'!$K:$K,'Maturing receivables'!$F:$F,Vertical_Cash_flow!$B$66,'Maturing receivables'!$A:$A,Vertical_Cash_flow!AB17,'Maturing receivables'!$J:$J,Vertical_Cash_flow!AB18,'Maturing receivables'!$S:$S,Vertical_Cash_flow!AA$11)</f>
        <v>0</v>
      </c>
      <c r="AC69" s="32">
        <f>SUMIFS('Maturing receivables'!$K:$K,'Maturing receivables'!$S:$S,Vertical_Cash_flow!AA$11,'Maturing receivables'!$J:$J,Vertical_Cash_flow!AC$15,'Maturing receivables'!$A:$A,Vertical_Cash_flow!$E$14,'Maturing receivables'!$G:$G,Vertical_Cash_flow!$B69,'Maturing receivables'!$F:$F,Vertical_Cash_flow!$B$66)</f>
        <v>0</v>
      </c>
      <c r="AD69" s="56">
        <f>SUMIFS('Maturing receivables'!$K:$K,'Maturing receivables'!$F:$F,Vertical_Cash_flow!$B$66,'Maturing receivables'!$A:$A,Vertical_Cash_flow!AD17,'Maturing receivables'!$J:$J,Vertical_Cash_flow!AD18,'Maturing receivables'!$S:$S,Vertical_Cash_flow!AA$11)</f>
        <v>0</v>
      </c>
      <c r="AE69" s="196">
        <f t="shared" si="148"/>
        <v>0</v>
      </c>
      <c r="AF69" s="196">
        <f t="shared" si="149"/>
        <v>0</v>
      </c>
      <c r="AG69" s="57">
        <f>SUMIFS('Maturing receivables'!$K:$K,'Maturing receivables'!$F:$F,Vertical_Cash_flow!$B$66,'Maturing receivables'!$A:$A,Vertical_Cash_flow!AG17,'Maturing receivables'!$J:$J,Vertical_Cash_flow!AG18,'Maturing receivables'!$S:$S,Vertical_Cash_flow!AG$11)</f>
        <v>0</v>
      </c>
      <c r="AH69" s="56">
        <f>SUMIFS('Maturing receivables'!$K:$K,'Maturing receivables'!$F:$F,Vertical_Cash_flow!$B$66,'Maturing receivables'!$A:$A,Vertical_Cash_flow!AH17,'Maturing receivables'!$J:$J,Vertical_Cash_flow!AH18,'Maturing receivables'!$S:$S,Vertical_Cash_flow!AG$11)</f>
        <v>0</v>
      </c>
      <c r="AI69" s="32">
        <f>SUMIFS('Maturing receivables'!$K:$K,'Maturing receivables'!$S:$S,Vertical_Cash_flow!AG$11,'Maturing receivables'!$J:$J,Vertical_Cash_flow!AI$15,'Maturing receivables'!$A:$A,Vertical_Cash_flow!$E$14,'Maturing receivables'!$G:$G,Vertical_Cash_flow!$B69,'Maturing receivables'!$F:$F,Vertical_Cash_flow!$B$66)</f>
        <v>0</v>
      </c>
      <c r="AJ69" s="56">
        <f>SUMIFS('Maturing receivables'!$K:$K,'Maturing receivables'!$F:$F,Vertical_Cash_flow!$B$66,'Maturing receivables'!$A:$A,Vertical_Cash_flow!AJ17,'Maturing receivables'!$J:$J,Vertical_Cash_flow!AJ18,'Maturing receivables'!$S:$S,Vertical_Cash_flow!AG$11)</f>
        <v>0</v>
      </c>
      <c r="AK69" s="196">
        <f t="shared" si="150"/>
        <v>0</v>
      </c>
      <c r="AL69" s="196">
        <f t="shared" si="151"/>
        <v>0</v>
      </c>
      <c r="AM69" s="57">
        <f>SUMIFS('Maturing receivables'!$K:$K,'Maturing receivables'!$F:$F,Vertical_Cash_flow!$B$66,'Maturing receivables'!$A:$A,Vertical_Cash_flow!AM17,'Maturing receivables'!$J:$J,Vertical_Cash_flow!AM18,'Maturing receivables'!$S:$S,Vertical_Cash_flow!AM$11)</f>
        <v>0</v>
      </c>
      <c r="AN69" s="56">
        <f>SUMIFS('Maturing receivables'!$K:$K,'Maturing receivables'!$F:$F,Vertical_Cash_flow!$B$66,'Maturing receivables'!$A:$A,Vertical_Cash_flow!AN17,'Maturing receivables'!$J:$J,Vertical_Cash_flow!AN18,'Maturing receivables'!$S:$S,Vertical_Cash_flow!AM$11)</f>
        <v>0</v>
      </c>
      <c r="AO69" s="32">
        <f>SUMIFS('Maturing receivables'!$K:$K,'Maturing receivables'!$S:$S,Vertical_Cash_flow!AM$11,'Maturing receivables'!$J:$J,Vertical_Cash_flow!AO$15,'Maturing receivables'!$A:$A,Vertical_Cash_flow!$E$14,'Maturing receivables'!$G:$G,Vertical_Cash_flow!$B69,'Maturing receivables'!$F:$F,Vertical_Cash_flow!$B$66)</f>
        <v>0</v>
      </c>
      <c r="AP69" s="56">
        <f>SUMIFS('Maturing receivables'!$K:$K,'Maturing receivables'!$F:$F,Vertical_Cash_flow!$B$66,'Maturing receivables'!$A:$A,Vertical_Cash_flow!AP17,'Maturing receivables'!$J:$J,Vertical_Cash_flow!AP18,'Maturing receivables'!$S:$S,Vertical_Cash_flow!AM$11)</f>
        <v>0</v>
      </c>
      <c r="AQ69" s="196">
        <f t="shared" si="152"/>
        <v>0</v>
      </c>
      <c r="AR69" s="196">
        <f t="shared" si="153"/>
        <v>0</v>
      </c>
      <c r="AS69" s="57">
        <f>SUMIFS('Maturing receivables'!$K:$K,'Maturing receivables'!$F:$F,Vertical_Cash_flow!$B$66,'Maturing receivables'!$A:$A,Vertical_Cash_flow!AS17,'Maturing receivables'!$J:$J,Vertical_Cash_flow!AS18,'Maturing receivables'!$S:$S,Vertical_Cash_flow!AS$11)</f>
        <v>0</v>
      </c>
      <c r="AT69" s="56">
        <f>SUMIFS('Maturing receivables'!$K:$K,'Maturing receivables'!$F:$F,Vertical_Cash_flow!$B$66,'Maturing receivables'!$A:$A,Vertical_Cash_flow!AT17,'Maturing receivables'!$J:$J,Vertical_Cash_flow!AT18,'Maturing receivables'!$S:$S,Vertical_Cash_flow!AS$11)</f>
        <v>0</v>
      </c>
      <c r="AU69" s="32">
        <f>SUMIFS('Maturing receivables'!$K:$K,'Maturing receivables'!$S:$S,Vertical_Cash_flow!AS$11,'Maturing receivables'!$J:$J,Vertical_Cash_flow!AU$15,'Maturing receivables'!$A:$A,Vertical_Cash_flow!$E$14,'Maturing receivables'!$G:$G,Vertical_Cash_flow!$B69,'Maturing receivables'!$F:$F,Vertical_Cash_flow!$B$66)</f>
        <v>0</v>
      </c>
      <c r="AV69" s="56">
        <f>SUMIFS('Maturing receivables'!$K:$K,'Maturing receivables'!$F:$F,Vertical_Cash_flow!$B$66,'Maturing receivables'!$A:$A,Vertical_Cash_flow!AV17,'Maturing receivables'!$J:$J,Vertical_Cash_flow!AV18,'Maturing receivables'!$S:$S,Vertical_Cash_flow!AS$11)</f>
        <v>0</v>
      </c>
      <c r="AW69" s="196">
        <f t="shared" si="154"/>
        <v>0</v>
      </c>
      <c r="AX69" s="196">
        <f t="shared" si="155"/>
        <v>0</v>
      </c>
      <c r="AZ69" s="196"/>
    </row>
    <row r="70" spans="1:52" s="3" customFormat="1" x14ac:dyDescent="0.2">
      <c r="A70" s="655"/>
      <c r="B70" s="33" t="s">
        <v>2977</v>
      </c>
      <c r="C70" s="57"/>
      <c r="D70" s="56"/>
      <c r="E70" s="32">
        <f>SUMIFS('Maturing receivables'!$K:$K,'Maturing receivables'!$S:$S,Vertical_Cash_flow!C$11,'Maturing receivables'!$J:$J,Vertical_Cash_flow!E$15,'Maturing receivables'!$A:$A,Vertical_Cash_flow!$E$14,'Maturing receivables'!$G:$G,Vertical_Cash_flow!$B70,'Maturing receivables'!$F:$F,Vertical_Cash_flow!$B$66)</f>
        <v>0</v>
      </c>
      <c r="F70" s="56"/>
      <c r="G70" s="196">
        <f t="shared" si="140"/>
        <v>0</v>
      </c>
      <c r="H70" s="196"/>
      <c r="I70" s="57"/>
      <c r="J70" s="56"/>
      <c r="K70" s="32">
        <f>SUMIFS('Maturing receivables'!$K:$K,'Maturing receivables'!$S:$S,Vertical_Cash_flow!I$11,'Maturing receivables'!$J:$J,Vertical_Cash_flow!K$15,'Maturing receivables'!$A:$A,Vertical_Cash_flow!$E$14,'Maturing receivables'!$G:$G,Vertical_Cash_flow!$B70,'Maturing receivables'!$F:$F,Vertical_Cash_flow!$B$66)</f>
        <v>0</v>
      </c>
      <c r="L70" s="56"/>
      <c r="M70" s="196">
        <f t="shared" si="142"/>
        <v>0</v>
      </c>
      <c r="N70" s="196"/>
      <c r="O70" s="57"/>
      <c r="P70" s="56"/>
      <c r="Q70" s="32">
        <f>SUMIFS('Maturing receivables'!$K:$K,'Maturing receivables'!$S:$S,Vertical_Cash_flow!O$11,'Maturing receivables'!$J:$J,Vertical_Cash_flow!Q$15,'Maturing receivables'!$A:$A,Vertical_Cash_flow!$E$14,'Maturing receivables'!$G:$G,Vertical_Cash_flow!$B70,'Maturing receivables'!$F:$F,Vertical_Cash_flow!$B$66)</f>
        <v>0</v>
      </c>
      <c r="R70" s="56"/>
      <c r="S70" s="196">
        <f t="shared" si="144"/>
        <v>0</v>
      </c>
      <c r="T70" s="196"/>
      <c r="U70" s="57"/>
      <c r="V70" s="56"/>
      <c r="W70" s="32">
        <f>SUMIFS('Maturing receivables'!$K:$K,'Maturing receivables'!$S:$S,Vertical_Cash_flow!U$11,'Maturing receivables'!$J:$J,Vertical_Cash_flow!W$15,'Maturing receivables'!$A:$A,Vertical_Cash_flow!$E$14,'Maturing receivables'!$G:$G,Vertical_Cash_flow!$B70,'Maturing receivables'!$F:$F,Vertical_Cash_flow!$B$66)</f>
        <v>0</v>
      </c>
      <c r="X70" s="56"/>
      <c r="Y70" s="196">
        <f t="shared" si="146"/>
        <v>0</v>
      </c>
      <c r="Z70" s="196"/>
      <c r="AA70" s="57"/>
      <c r="AB70" s="56"/>
      <c r="AC70" s="32">
        <f>SUMIFS('Maturing receivables'!$K:$K,'Maturing receivables'!$S:$S,Vertical_Cash_flow!AA$11,'Maturing receivables'!$J:$J,Vertical_Cash_flow!AC$15,'Maturing receivables'!$A:$A,Vertical_Cash_flow!$E$14,'Maturing receivables'!$G:$G,Vertical_Cash_flow!$B70,'Maturing receivables'!$F:$F,Vertical_Cash_flow!$B$66)</f>
        <v>0</v>
      </c>
      <c r="AD70" s="56"/>
      <c r="AE70" s="196">
        <f t="shared" si="148"/>
        <v>0</v>
      </c>
      <c r="AF70" s="196"/>
      <c r="AG70" s="57"/>
      <c r="AH70" s="56"/>
      <c r="AI70" s="32">
        <f>SUMIFS('Maturing receivables'!$K:$K,'Maturing receivables'!$S:$S,Vertical_Cash_flow!AG$11,'Maturing receivables'!$J:$J,Vertical_Cash_flow!AI$15,'Maturing receivables'!$A:$A,Vertical_Cash_flow!$E$14,'Maturing receivables'!$G:$G,Vertical_Cash_flow!$B70,'Maturing receivables'!$F:$F,Vertical_Cash_flow!$B$66)</f>
        <v>255443.34</v>
      </c>
      <c r="AJ70" s="56"/>
      <c r="AK70" s="196">
        <f t="shared" si="150"/>
        <v>851477.8</v>
      </c>
      <c r="AL70" s="196"/>
      <c r="AM70" s="57"/>
      <c r="AN70" s="56"/>
      <c r="AO70" s="32">
        <f>SUMIFS('Maturing receivables'!$K:$K,'Maturing receivables'!$S:$S,Vertical_Cash_flow!AM$11,'Maturing receivables'!$J:$J,Vertical_Cash_flow!AO$15,'Maturing receivables'!$A:$A,Vertical_Cash_flow!$E$14,'Maturing receivables'!$G:$G,Vertical_Cash_flow!$B70,'Maturing receivables'!$F:$F,Vertical_Cash_flow!$B$66)</f>
        <v>0</v>
      </c>
      <c r="AP70" s="56"/>
      <c r="AQ70" s="196">
        <f t="shared" si="152"/>
        <v>0</v>
      </c>
      <c r="AR70" s="196"/>
      <c r="AS70" s="57"/>
      <c r="AT70" s="56"/>
      <c r="AU70" s="32">
        <f>SUMIFS('Maturing receivables'!$K:$K,'Maturing receivables'!$S:$S,Vertical_Cash_flow!AS$11,'Maturing receivables'!$J:$J,Vertical_Cash_flow!AU$15,'Maturing receivables'!$A:$A,Vertical_Cash_flow!$E$14,'Maturing receivables'!$G:$G,Vertical_Cash_flow!$B70,'Maturing receivables'!$F:$F,Vertical_Cash_flow!$B$66)</f>
        <v>0</v>
      </c>
      <c r="AV70" s="56"/>
      <c r="AW70" s="196">
        <f t="shared" si="154"/>
        <v>0</v>
      </c>
      <c r="AX70" s="196"/>
      <c r="AZ70" s="196"/>
    </row>
    <row r="71" spans="1:52" s="3" customFormat="1" x14ac:dyDescent="0.2">
      <c r="A71" s="655"/>
      <c r="B71" t="s">
        <v>1226</v>
      </c>
      <c r="C71" s="57">
        <f>SUMIFS('Maturing receivables'!$K:$K,'Maturing receivables'!$F:$F,Vertical_Cash_flow!$B$66,'Maturing receivables'!$A:$A,Vertical_Cash_flow!C18,'Maturing receivables'!$J:$J,Vertical_Cash_flow!C19,'Maturing receivables'!$S:$S,Vertical_Cash_flow!C$11)</f>
        <v>0</v>
      </c>
      <c r="D71" s="56">
        <f>SUMIFS('Maturing receivables'!$K:$K,'Maturing receivables'!$F:$F,Vertical_Cash_flow!$B$66,'Maturing receivables'!$A:$A,Vertical_Cash_flow!D18,'Maturing receivables'!$J:$J,Vertical_Cash_flow!D19,'Maturing receivables'!$S:$S,Vertical_Cash_flow!C$11)</f>
        <v>0</v>
      </c>
      <c r="E71" s="32">
        <f>SUMIFS('Maturing receivables'!$K:$K,'Maturing receivables'!$S:$S,Vertical_Cash_flow!C$11,'Maturing receivables'!$J:$J,Vertical_Cash_flow!E$15,'Maturing receivables'!$A:$A,Vertical_Cash_flow!$E$14,'Maturing receivables'!$G:$G,Vertical_Cash_flow!$B71,'Maturing receivables'!$F:$F,Vertical_Cash_flow!$B$66)</f>
        <v>0</v>
      </c>
      <c r="F71" s="56">
        <f>SUMIFS('Maturing receivables'!$K:$K,'Maturing receivables'!$F:$F,Vertical_Cash_flow!$B$66,'Maturing receivables'!$A:$A,Vertical_Cash_flow!F18,'Maturing receivables'!$J:$J,Vertical_Cash_flow!F19,'Maturing receivables'!$S:$S,Vertical_Cash_flow!C$11)</f>
        <v>0</v>
      </c>
      <c r="G71" s="196">
        <f t="shared" si="140"/>
        <v>0</v>
      </c>
      <c r="H71" s="196">
        <f t="shared" si="141"/>
        <v>0</v>
      </c>
      <c r="I71" s="57">
        <f>SUMIFS('Maturing receivables'!$K:$K,'Maturing receivables'!$F:$F,Vertical_Cash_flow!$B$66,'Maturing receivables'!$A:$A,Vertical_Cash_flow!I18,'Maturing receivables'!$J:$J,Vertical_Cash_flow!I19,'Maturing receivables'!$S:$S,Vertical_Cash_flow!I$11)</f>
        <v>0</v>
      </c>
      <c r="J71" s="56">
        <f>SUMIFS('Maturing receivables'!$K:$K,'Maturing receivables'!$F:$F,Vertical_Cash_flow!$B$66,'Maturing receivables'!$A:$A,Vertical_Cash_flow!J18,'Maturing receivables'!$J:$J,Vertical_Cash_flow!J19,'Maturing receivables'!$S:$S,Vertical_Cash_flow!I$11)</f>
        <v>0</v>
      </c>
      <c r="K71" s="32">
        <f>SUMIFS('Maturing receivables'!$K:$K,'Maturing receivables'!$S:$S,Vertical_Cash_flow!I$11,'Maturing receivables'!$J:$J,Vertical_Cash_flow!K$15,'Maturing receivables'!$A:$A,Vertical_Cash_flow!$E$14,'Maturing receivables'!$G:$G,Vertical_Cash_flow!$B71,'Maturing receivables'!$F:$F,Vertical_Cash_flow!$B$66)</f>
        <v>53529.09</v>
      </c>
      <c r="L71" s="56">
        <f>SUMIFS('Maturing receivables'!$K:$K,'Maturing receivables'!$F:$F,Vertical_Cash_flow!$B$66,'Maturing receivables'!$A:$A,Vertical_Cash_flow!L18,'Maturing receivables'!$J:$J,Vertical_Cash_flow!L19,'Maturing receivables'!$S:$S,Vertical_Cash_flow!I$11)</f>
        <v>0</v>
      </c>
      <c r="M71" s="196">
        <f t="shared" si="142"/>
        <v>178430.3</v>
      </c>
      <c r="N71" s="196">
        <f t="shared" si="143"/>
        <v>53529.09</v>
      </c>
      <c r="O71" s="57">
        <f>SUMIFS('Maturing receivables'!$K:$K,'Maturing receivables'!$F:$F,Vertical_Cash_flow!$B$66,'Maturing receivables'!$A:$A,Vertical_Cash_flow!O18,'Maturing receivables'!$J:$J,Vertical_Cash_flow!O19,'Maturing receivables'!$S:$S,Vertical_Cash_flow!O$11)</f>
        <v>0</v>
      </c>
      <c r="P71" s="56">
        <f>SUMIFS('Maturing receivables'!$K:$K,'Maturing receivables'!$F:$F,Vertical_Cash_flow!$B$66,'Maturing receivables'!$A:$A,Vertical_Cash_flow!P18,'Maturing receivables'!$J:$J,Vertical_Cash_flow!P19,'Maturing receivables'!$S:$S,Vertical_Cash_flow!O$11)</f>
        <v>0</v>
      </c>
      <c r="Q71" s="32">
        <f>SUMIFS('Maturing receivables'!$K:$K,'Maturing receivables'!$S:$S,Vertical_Cash_flow!O$11,'Maturing receivables'!$J:$J,Vertical_Cash_flow!Q$15,'Maturing receivables'!$A:$A,Vertical_Cash_flow!$E$14,'Maturing receivables'!$G:$G,Vertical_Cash_flow!$B71,'Maturing receivables'!$F:$F,Vertical_Cash_flow!$B$66)</f>
        <v>0</v>
      </c>
      <c r="R71" s="56">
        <f>SUMIFS('Maturing receivables'!$K:$K,'Maturing receivables'!$F:$F,Vertical_Cash_flow!$B$66,'Maturing receivables'!$A:$A,Vertical_Cash_flow!R18,'Maturing receivables'!$J:$J,Vertical_Cash_flow!R19,'Maturing receivables'!$S:$S,Vertical_Cash_flow!O$11)</f>
        <v>0</v>
      </c>
      <c r="S71" s="196">
        <f t="shared" si="144"/>
        <v>0</v>
      </c>
      <c r="T71" s="196">
        <f t="shared" si="145"/>
        <v>0</v>
      </c>
      <c r="U71" s="57">
        <f>SUMIFS('Maturing receivables'!$K:$K,'Maturing receivables'!$F:$F,Vertical_Cash_flow!$B$66,'Maturing receivables'!$A:$A,Vertical_Cash_flow!U18,'Maturing receivables'!$J:$J,Vertical_Cash_flow!U19,'Maturing receivables'!$S:$S,Vertical_Cash_flow!U$11)</f>
        <v>0</v>
      </c>
      <c r="V71" s="56">
        <f>SUMIFS('Maturing receivables'!$K:$K,'Maturing receivables'!$F:$F,Vertical_Cash_flow!$B$66,'Maturing receivables'!$A:$A,Vertical_Cash_flow!V18,'Maturing receivables'!$J:$J,Vertical_Cash_flow!V19,'Maturing receivables'!$S:$S,Vertical_Cash_flow!U$11)</f>
        <v>0</v>
      </c>
      <c r="W71" s="32">
        <f>SUMIFS('Maturing receivables'!$K:$K,'Maturing receivables'!$S:$S,Vertical_Cash_flow!U$11,'Maturing receivables'!$J:$J,Vertical_Cash_flow!W$15,'Maturing receivables'!$A:$A,Vertical_Cash_flow!$E$14,'Maturing receivables'!$G:$G,Vertical_Cash_flow!$B71,'Maturing receivables'!$F:$F,Vertical_Cash_flow!$B$66)</f>
        <v>0</v>
      </c>
      <c r="X71" s="56">
        <f>SUMIFS('Maturing receivables'!$K:$K,'Maturing receivables'!$F:$F,Vertical_Cash_flow!$B$66,'Maturing receivables'!$A:$A,Vertical_Cash_flow!X18,'Maturing receivables'!$J:$J,Vertical_Cash_flow!X19,'Maturing receivables'!$S:$S,Vertical_Cash_flow!U$11)</f>
        <v>0</v>
      </c>
      <c r="Y71" s="196">
        <f t="shared" si="146"/>
        <v>0</v>
      </c>
      <c r="Z71" s="196">
        <f t="shared" si="147"/>
        <v>0</v>
      </c>
      <c r="AA71" s="57">
        <f>SUMIFS('Maturing receivables'!$K:$K,'Maturing receivables'!$F:$F,Vertical_Cash_flow!$B$66,'Maturing receivables'!$A:$A,Vertical_Cash_flow!AA18,'Maturing receivables'!$J:$J,Vertical_Cash_flow!AA19,'Maturing receivables'!$S:$S,Vertical_Cash_flow!AA$11)</f>
        <v>0</v>
      </c>
      <c r="AB71" s="56">
        <f>SUMIFS('Maturing receivables'!$K:$K,'Maturing receivables'!$F:$F,Vertical_Cash_flow!$B$66,'Maturing receivables'!$A:$A,Vertical_Cash_flow!AB18,'Maturing receivables'!$J:$J,Vertical_Cash_flow!AB19,'Maturing receivables'!$S:$S,Vertical_Cash_flow!AA$11)</f>
        <v>0</v>
      </c>
      <c r="AC71" s="32">
        <f>SUMIFS('Maturing receivables'!$K:$K,'Maturing receivables'!$S:$S,Vertical_Cash_flow!AA$11,'Maturing receivables'!$J:$J,Vertical_Cash_flow!AC$15,'Maturing receivables'!$A:$A,Vertical_Cash_flow!$E$14,'Maturing receivables'!$G:$G,Vertical_Cash_flow!$B71,'Maturing receivables'!$F:$F,Vertical_Cash_flow!$B$66)</f>
        <v>0</v>
      </c>
      <c r="AD71" s="56">
        <f>SUMIFS('Maturing receivables'!$K:$K,'Maturing receivables'!$F:$F,Vertical_Cash_flow!$B$66,'Maturing receivables'!$A:$A,Vertical_Cash_flow!AD18,'Maturing receivables'!$J:$J,Vertical_Cash_flow!AD19,'Maturing receivables'!$S:$S,Vertical_Cash_flow!AA$11)</f>
        <v>0</v>
      </c>
      <c r="AE71" s="196">
        <f t="shared" si="148"/>
        <v>0</v>
      </c>
      <c r="AF71" s="196">
        <f t="shared" si="149"/>
        <v>0</v>
      </c>
      <c r="AG71" s="57">
        <f>SUMIFS('Maturing receivables'!$K:$K,'Maturing receivables'!$F:$F,Vertical_Cash_flow!$B$66,'Maturing receivables'!$A:$A,Vertical_Cash_flow!AG18,'Maturing receivables'!$J:$J,Vertical_Cash_flow!AG19,'Maturing receivables'!$S:$S,Vertical_Cash_flow!AG$11)</f>
        <v>0</v>
      </c>
      <c r="AH71" s="56">
        <f>SUMIFS('Maturing receivables'!$K:$K,'Maturing receivables'!$F:$F,Vertical_Cash_flow!$B$66,'Maturing receivables'!$A:$A,Vertical_Cash_flow!AH18,'Maturing receivables'!$J:$J,Vertical_Cash_flow!AH19,'Maturing receivables'!$S:$S,Vertical_Cash_flow!AG$11)</f>
        <v>0</v>
      </c>
      <c r="AI71" s="32">
        <f>SUMIFS('Maturing receivables'!$K:$K,'Maturing receivables'!$S:$S,Vertical_Cash_flow!AG$11,'Maturing receivables'!$J:$J,Vertical_Cash_flow!AI$15,'Maturing receivables'!$A:$A,Vertical_Cash_flow!$E$14,'Maturing receivables'!$G:$G,Vertical_Cash_flow!$B71,'Maturing receivables'!$F:$F,Vertical_Cash_flow!$B$66)</f>
        <v>0</v>
      </c>
      <c r="AJ71" s="56">
        <f>SUMIFS('Maturing receivables'!$K:$K,'Maturing receivables'!$F:$F,Vertical_Cash_flow!$B$66,'Maturing receivables'!$A:$A,Vertical_Cash_flow!AJ18,'Maturing receivables'!$J:$J,Vertical_Cash_flow!AJ19,'Maturing receivables'!$S:$S,Vertical_Cash_flow!AG$11)</f>
        <v>0</v>
      </c>
      <c r="AK71" s="196">
        <f t="shared" si="150"/>
        <v>0</v>
      </c>
      <c r="AL71" s="196">
        <f t="shared" si="151"/>
        <v>0</v>
      </c>
      <c r="AM71" s="57">
        <f>SUMIFS('Maturing receivables'!$K:$K,'Maturing receivables'!$F:$F,Vertical_Cash_flow!$B$66,'Maturing receivables'!$A:$A,Vertical_Cash_flow!AM18,'Maturing receivables'!$J:$J,Vertical_Cash_flow!AM19,'Maturing receivables'!$S:$S,Vertical_Cash_flow!AM$11)</f>
        <v>0</v>
      </c>
      <c r="AN71" s="56">
        <f>SUMIFS('Maturing receivables'!$K:$K,'Maturing receivables'!$F:$F,Vertical_Cash_flow!$B$66,'Maturing receivables'!$A:$A,Vertical_Cash_flow!AN18,'Maturing receivables'!$J:$J,Vertical_Cash_flow!AN19,'Maturing receivables'!$S:$S,Vertical_Cash_flow!AM$11)</f>
        <v>0</v>
      </c>
      <c r="AO71" s="32">
        <f>SUMIFS('Maturing receivables'!$K:$K,'Maturing receivables'!$S:$S,Vertical_Cash_flow!AM$11,'Maturing receivables'!$J:$J,Vertical_Cash_flow!AO$15,'Maturing receivables'!$A:$A,Vertical_Cash_flow!$E$14,'Maturing receivables'!$G:$G,Vertical_Cash_flow!$B71,'Maturing receivables'!$F:$F,Vertical_Cash_flow!$B$66)</f>
        <v>0</v>
      </c>
      <c r="AP71" s="56">
        <f>SUMIFS('Maturing receivables'!$K:$K,'Maturing receivables'!$F:$F,Vertical_Cash_flow!$B$66,'Maturing receivables'!$A:$A,Vertical_Cash_flow!AP18,'Maturing receivables'!$J:$J,Vertical_Cash_flow!AP19,'Maturing receivables'!$S:$S,Vertical_Cash_flow!AM$11)</f>
        <v>0</v>
      </c>
      <c r="AQ71" s="196">
        <f t="shared" si="152"/>
        <v>0</v>
      </c>
      <c r="AR71" s="196">
        <f t="shared" si="153"/>
        <v>0</v>
      </c>
      <c r="AS71" s="57">
        <f>SUMIFS('Maturing receivables'!$K:$K,'Maturing receivables'!$F:$F,Vertical_Cash_flow!$B$66,'Maturing receivables'!$A:$A,Vertical_Cash_flow!AS18,'Maturing receivables'!$J:$J,Vertical_Cash_flow!AS19,'Maturing receivables'!$S:$S,Vertical_Cash_flow!AS$11)</f>
        <v>0</v>
      </c>
      <c r="AT71" s="56">
        <f>SUMIFS('Maturing receivables'!$K:$K,'Maturing receivables'!$F:$F,Vertical_Cash_flow!$B$66,'Maturing receivables'!$A:$A,Vertical_Cash_flow!AT18,'Maturing receivables'!$J:$J,Vertical_Cash_flow!AT19,'Maturing receivables'!$S:$S,Vertical_Cash_flow!AS$11)</f>
        <v>0</v>
      </c>
      <c r="AU71" s="32">
        <f>SUMIFS('Maturing receivables'!$K:$K,'Maturing receivables'!$S:$S,Vertical_Cash_flow!AS$11,'Maturing receivables'!$J:$J,Vertical_Cash_flow!AU$15,'Maturing receivables'!$A:$A,Vertical_Cash_flow!$E$14,'Maturing receivables'!$G:$G,Vertical_Cash_flow!$B71,'Maturing receivables'!$F:$F,Vertical_Cash_flow!$B$66)</f>
        <v>0</v>
      </c>
      <c r="AV71" s="56">
        <f>SUMIFS('Maturing receivables'!$K:$K,'Maturing receivables'!$F:$F,Vertical_Cash_flow!$B$66,'Maturing receivables'!$A:$A,Vertical_Cash_flow!AV18,'Maturing receivables'!$J:$J,Vertical_Cash_flow!AV19,'Maturing receivables'!$S:$S,Vertical_Cash_flow!AS$11)</f>
        <v>0</v>
      </c>
      <c r="AW71" s="196">
        <f t="shared" si="154"/>
        <v>0</v>
      </c>
      <c r="AX71" s="196">
        <f t="shared" si="155"/>
        <v>0</v>
      </c>
      <c r="AZ71" s="196"/>
    </row>
    <row r="72" spans="1:52" s="3" customFormat="1" x14ac:dyDescent="0.2">
      <c r="A72" s="655"/>
      <c r="B72" s="182"/>
      <c r="C72" s="57">
        <f>SUMIFS('Maturing receivables'!$K:$K,'Maturing receivables'!$F:$F,Vertical_Cash_flow!$B$66,'Maturing receivables'!$A:$A,Vertical_Cash_flow!C19,'Maturing receivables'!$J:$J,Vertical_Cash_flow!C20,'Maturing receivables'!$S:$S,Vertical_Cash_flow!C$11)</f>
        <v>0</v>
      </c>
      <c r="D72" s="56">
        <f>SUMIFS('Maturing receivables'!$K:$K,'Maturing receivables'!$F:$F,Vertical_Cash_flow!$B$66,'Maturing receivables'!$A:$A,Vertical_Cash_flow!D19,'Maturing receivables'!$J:$J,Vertical_Cash_flow!D20,'Maturing receivables'!$S:$S,Vertical_Cash_flow!C$11)</f>
        <v>0</v>
      </c>
      <c r="E72" s="32">
        <f>SUMIFS('Maturing receivables'!$K:$K,'Maturing receivables'!$S:$S,Vertical_Cash_flow!C$11,'Maturing receivables'!$J:$J,Vertical_Cash_flow!E$15,'Maturing receivables'!$A:$A,Vertical_Cash_flow!$E$14,'Maturing receivables'!$G:$G,Vertical_Cash_flow!$B72,'Maturing receivables'!$F:$F,Vertical_Cash_flow!$B$66)</f>
        <v>0</v>
      </c>
      <c r="F72" s="56">
        <f>SUMIFS('Maturing receivables'!$K:$K,'Maturing receivables'!$F:$F,Vertical_Cash_flow!$B$66,'Maturing receivables'!$A:$A,Vertical_Cash_flow!F19,'Maturing receivables'!$J:$J,Vertical_Cash_flow!F20,'Maturing receivables'!$S:$S,Vertical_Cash_flow!C$11)</f>
        <v>0</v>
      </c>
      <c r="G72" s="196">
        <f t="shared" si="140"/>
        <v>0</v>
      </c>
      <c r="H72" s="196">
        <f t="shared" si="141"/>
        <v>0</v>
      </c>
      <c r="I72" s="57">
        <f>SUMIFS('Maturing receivables'!$K:$K,'Maturing receivables'!$F:$F,Vertical_Cash_flow!$B$66,'Maturing receivables'!$A:$A,Vertical_Cash_flow!I19,'Maturing receivables'!$J:$J,Vertical_Cash_flow!I20,'Maturing receivables'!$S:$S,Vertical_Cash_flow!I$11)</f>
        <v>0</v>
      </c>
      <c r="J72" s="56">
        <f>SUMIFS('Maturing receivables'!$K:$K,'Maturing receivables'!$F:$F,Vertical_Cash_flow!$B$66,'Maturing receivables'!$A:$A,Vertical_Cash_flow!J19,'Maturing receivables'!$J:$J,Vertical_Cash_flow!J20,'Maturing receivables'!$S:$S,Vertical_Cash_flow!I$11)</f>
        <v>0</v>
      </c>
      <c r="K72" s="32">
        <f>SUMIFS('Maturing receivables'!$K:$K,'Maturing receivables'!$S:$S,Vertical_Cash_flow!I$11,'Maturing receivables'!$J:$J,Vertical_Cash_flow!K$15,'Maturing receivables'!$A:$A,Vertical_Cash_flow!$E$14,'Maturing receivables'!$G:$G,Vertical_Cash_flow!$B72,'Maturing receivables'!$F:$F,Vertical_Cash_flow!$B$66)</f>
        <v>0</v>
      </c>
      <c r="L72" s="56">
        <f>SUMIFS('Maturing receivables'!$K:$K,'Maturing receivables'!$F:$F,Vertical_Cash_flow!$B$66,'Maturing receivables'!$A:$A,Vertical_Cash_flow!L19,'Maturing receivables'!$J:$J,Vertical_Cash_flow!L20,'Maturing receivables'!$S:$S,Vertical_Cash_flow!I$11)</f>
        <v>0</v>
      </c>
      <c r="M72" s="196">
        <f t="shared" si="142"/>
        <v>0</v>
      </c>
      <c r="N72" s="196">
        <f t="shared" si="143"/>
        <v>0</v>
      </c>
      <c r="O72" s="57">
        <f>SUMIFS('Maturing receivables'!$K:$K,'Maturing receivables'!$F:$F,Vertical_Cash_flow!$B$66,'Maturing receivables'!$A:$A,Vertical_Cash_flow!O19,'Maturing receivables'!$J:$J,Vertical_Cash_flow!O20,'Maturing receivables'!$S:$S,Vertical_Cash_flow!O$11)</f>
        <v>0</v>
      </c>
      <c r="P72" s="56">
        <f>SUMIFS('Maturing receivables'!$K:$K,'Maturing receivables'!$F:$F,Vertical_Cash_flow!$B$66,'Maturing receivables'!$A:$A,Vertical_Cash_flow!P19,'Maturing receivables'!$J:$J,Vertical_Cash_flow!P20,'Maturing receivables'!$S:$S,Vertical_Cash_flow!O$11)</f>
        <v>0</v>
      </c>
      <c r="Q72" s="32">
        <f>SUMIFS('Maturing receivables'!$K:$K,'Maturing receivables'!$S:$S,Vertical_Cash_flow!O$11,'Maturing receivables'!$J:$J,Vertical_Cash_flow!Q$15,'Maturing receivables'!$A:$A,Vertical_Cash_flow!$E$14,'Maturing receivables'!$G:$G,Vertical_Cash_flow!$B72,'Maturing receivables'!$F:$F,Vertical_Cash_flow!$B$66)</f>
        <v>0</v>
      </c>
      <c r="R72" s="56">
        <f>SUMIFS('Maturing receivables'!$K:$K,'Maturing receivables'!$F:$F,Vertical_Cash_flow!$B$66,'Maturing receivables'!$A:$A,Vertical_Cash_flow!R19,'Maturing receivables'!$J:$J,Vertical_Cash_flow!R20,'Maturing receivables'!$S:$S,Vertical_Cash_flow!O$11)</f>
        <v>0</v>
      </c>
      <c r="S72" s="196">
        <f t="shared" si="144"/>
        <v>0</v>
      </c>
      <c r="T72" s="196">
        <f t="shared" si="145"/>
        <v>0</v>
      </c>
      <c r="U72" s="57">
        <f>SUMIFS('Maturing receivables'!$K:$K,'Maturing receivables'!$F:$F,Vertical_Cash_flow!$B$66,'Maturing receivables'!$A:$A,Vertical_Cash_flow!U19,'Maturing receivables'!$J:$J,Vertical_Cash_flow!U20,'Maturing receivables'!$S:$S,Vertical_Cash_flow!U$11)</f>
        <v>0</v>
      </c>
      <c r="V72" s="56">
        <f>SUMIFS('Maturing receivables'!$K:$K,'Maturing receivables'!$F:$F,Vertical_Cash_flow!$B$66,'Maturing receivables'!$A:$A,Vertical_Cash_flow!V19,'Maturing receivables'!$J:$J,Vertical_Cash_flow!V20,'Maturing receivables'!$S:$S,Vertical_Cash_flow!U$11)</f>
        <v>0</v>
      </c>
      <c r="W72" s="32">
        <f>SUMIFS('Maturing receivables'!$K:$K,'Maturing receivables'!$S:$S,Vertical_Cash_flow!U$11,'Maturing receivables'!$J:$J,Vertical_Cash_flow!W$15,'Maturing receivables'!$A:$A,Vertical_Cash_flow!$E$14,'Maturing receivables'!$G:$G,Vertical_Cash_flow!$B72,'Maturing receivables'!$F:$F,Vertical_Cash_flow!$B$66)</f>
        <v>0</v>
      </c>
      <c r="X72" s="56">
        <f>SUMIFS('Maturing receivables'!$K:$K,'Maturing receivables'!$F:$F,Vertical_Cash_flow!$B$66,'Maturing receivables'!$A:$A,Vertical_Cash_flow!X19,'Maturing receivables'!$J:$J,Vertical_Cash_flow!X20,'Maturing receivables'!$S:$S,Vertical_Cash_flow!U$11)</f>
        <v>0</v>
      </c>
      <c r="Y72" s="196">
        <f t="shared" si="146"/>
        <v>0</v>
      </c>
      <c r="Z72" s="196">
        <f t="shared" si="147"/>
        <v>0</v>
      </c>
      <c r="AA72" s="57">
        <f>SUMIFS('Maturing receivables'!$K:$K,'Maturing receivables'!$F:$F,Vertical_Cash_flow!$B$66,'Maturing receivables'!$A:$A,Vertical_Cash_flow!AA19,'Maturing receivables'!$J:$J,Vertical_Cash_flow!AA20,'Maturing receivables'!$S:$S,Vertical_Cash_flow!AA$11)</f>
        <v>0</v>
      </c>
      <c r="AB72" s="56">
        <f>SUMIFS('Maturing receivables'!$K:$K,'Maturing receivables'!$F:$F,Vertical_Cash_flow!$B$66,'Maturing receivables'!$A:$A,Vertical_Cash_flow!AB19,'Maturing receivables'!$J:$J,Vertical_Cash_flow!AB20,'Maturing receivables'!$S:$S,Vertical_Cash_flow!AA$11)</f>
        <v>0</v>
      </c>
      <c r="AC72" s="32">
        <f>SUMIFS('Maturing receivables'!$K:$K,'Maturing receivables'!$S:$S,Vertical_Cash_flow!AA$11,'Maturing receivables'!$J:$J,Vertical_Cash_flow!AC$15,'Maturing receivables'!$A:$A,Vertical_Cash_flow!$E$14,'Maturing receivables'!$G:$G,Vertical_Cash_flow!$B72,'Maturing receivables'!$F:$F,Vertical_Cash_flow!$B$66)</f>
        <v>0</v>
      </c>
      <c r="AD72" s="56">
        <f>SUMIFS('Maturing receivables'!$K:$K,'Maturing receivables'!$F:$F,Vertical_Cash_flow!$B$66,'Maturing receivables'!$A:$A,Vertical_Cash_flow!AD19,'Maturing receivables'!$J:$J,Vertical_Cash_flow!AD20,'Maturing receivables'!$S:$S,Vertical_Cash_flow!AA$11)</f>
        <v>0</v>
      </c>
      <c r="AE72" s="196">
        <f t="shared" si="148"/>
        <v>0</v>
      </c>
      <c r="AF72" s="196">
        <f t="shared" si="149"/>
        <v>0</v>
      </c>
      <c r="AG72" s="57">
        <f>SUMIFS('Maturing receivables'!$K:$K,'Maturing receivables'!$F:$F,Vertical_Cash_flow!$B$66,'Maturing receivables'!$A:$A,Vertical_Cash_flow!AG19,'Maturing receivables'!$J:$J,Vertical_Cash_flow!AG20,'Maturing receivables'!$S:$S,Vertical_Cash_flow!AG$11)</f>
        <v>0</v>
      </c>
      <c r="AH72" s="56">
        <f>SUMIFS('Maturing receivables'!$K:$K,'Maturing receivables'!$F:$F,Vertical_Cash_flow!$B$66,'Maturing receivables'!$A:$A,Vertical_Cash_flow!AH19,'Maturing receivables'!$J:$J,Vertical_Cash_flow!AH20,'Maturing receivables'!$S:$S,Vertical_Cash_flow!AG$11)</f>
        <v>0</v>
      </c>
      <c r="AI72" s="32">
        <f>SUMIFS('Maturing receivables'!$K:$K,'Maturing receivables'!$S:$S,Vertical_Cash_flow!AG$11,'Maturing receivables'!$J:$J,Vertical_Cash_flow!AI$15,'Maturing receivables'!$A:$A,Vertical_Cash_flow!$E$14,'Maturing receivables'!$G:$G,Vertical_Cash_flow!$B72,'Maturing receivables'!$F:$F,Vertical_Cash_flow!$B$66)</f>
        <v>0</v>
      </c>
      <c r="AJ72" s="56">
        <f>SUMIFS('Maturing receivables'!$K:$K,'Maturing receivables'!$F:$F,Vertical_Cash_flow!$B$66,'Maturing receivables'!$A:$A,Vertical_Cash_flow!AJ19,'Maturing receivables'!$J:$J,Vertical_Cash_flow!AJ20,'Maturing receivables'!$S:$S,Vertical_Cash_flow!AG$11)</f>
        <v>0</v>
      </c>
      <c r="AK72" s="196">
        <f t="shared" si="150"/>
        <v>0</v>
      </c>
      <c r="AL72" s="196">
        <f t="shared" si="151"/>
        <v>0</v>
      </c>
      <c r="AM72" s="57">
        <f>SUMIFS('Maturing receivables'!$K:$K,'Maturing receivables'!$F:$F,Vertical_Cash_flow!$B$66,'Maturing receivables'!$A:$A,Vertical_Cash_flow!AM19,'Maturing receivables'!$J:$J,Vertical_Cash_flow!AM20,'Maturing receivables'!$S:$S,Vertical_Cash_flow!AM$11)</f>
        <v>0</v>
      </c>
      <c r="AN72" s="56">
        <f>SUMIFS('Maturing receivables'!$K:$K,'Maturing receivables'!$F:$F,Vertical_Cash_flow!$B$66,'Maturing receivables'!$A:$A,Vertical_Cash_flow!AN19,'Maturing receivables'!$J:$J,Vertical_Cash_flow!AN20,'Maturing receivables'!$S:$S,Vertical_Cash_flow!AM$11)</f>
        <v>0</v>
      </c>
      <c r="AO72" s="32">
        <f>SUMIFS('Maturing receivables'!$K:$K,'Maturing receivables'!$S:$S,Vertical_Cash_flow!AM$11,'Maturing receivables'!$J:$J,Vertical_Cash_flow!AO$15,'Maturing receivables'!$A:$A,Vertical_Cash_flow!$E$14,'Maturing receivables'!$G:$G,Vertical_Cash_flow!$B72,'Maturing receivables'!$F:$F,Vertical_Cash_flow!$B$66)</f>
        <v>0</v>
      </c>
      <c r="AP72" s="56">
        <f>SUMIFS('Maturing receivables'!$K:$K,'Maturing receivables'!$F:$F,Vertical_Cash_flow!$B$66,'Maturing receivables'!$A:$A,Vertical_Cash_flow!AP19,'Maturing receivables'!$J:$J,Vertical_Cash_flow!AP20,'Maturing receivables'!$S:$S,Vertical_Cash_flow!AM$11)</f>
        <v>0</v>
      </c>
      <c r="AQ72" s="196">
        <f t="shared" si="152"/>
        <v>0</v>
      </c>
      <c r="AR72" s="196">
        <f t="shared" si="153"/>
        <v>0</v>
      </c>
      <c r="AS72" s="57">
        <f>SUMIFS('Maturing receivables'!$K:$K,'Maturing receivables'!$F:$F,Vertical_Cash_flow!$B$66,'Maturing receivables'!$A:$A,Vertical_Cash_flow!AS19,'Maturing receivables'!$J:$J,Vertical_Cash_flow!AS20,'Maturing receivables'!$S:$S,Vertical_Cash_flow!AS$11)</f>
        <v>0</v>
      </c>
      <c r="AT72" s="56">
        <f>SUMIFS('Maturing receivables'!$K:$K,'Maturing receivables'!$F:$F,Vertical_Cash_flow!$B$66,'Maturing receivables'!$A:$A,Vertical_Cash_flow!AT19,'Maturing receivables'!$J:$J,Vertical_Cash_flow!AT20,'Maturing receivables'!$S:$S,Vertical_Cash_flow!AS$11)</f>
        <v>0</v>
      </c>
      <c r="AU72" s="32">
        <f>SUMIFS('Maturing receivables'!$K:$K,'Maturing receivables'!$S:$S,Vertical_Cash_flow!AS$11,'Maturing receivables'!$J:$J,Vertical_Cash_flow!AU$15,'Maturing receivables'!$A:$A,Vertical_Cash_flow!$E$14,'Maturing receivables'!$G:$G,Vertical_Cash_flow!$B72,'Maturing receivables'!$F:$F,Vertical_Cash_flow!$B$66)</f>
        <v>0</v>
      </c>
      <c r="AV72" s="56">
        <f>SUMIFS('Maturing receivables'!$K:$K,'Maturing receivables'!$F:$F,Vertical_Cash_flow!$B$66,'Maturing receivables'!$A:$A,Vertical_Cash_flow!AV19,'Maturing receivables'!$J:$J,Vertical_Cash_flow!AV20,'Maturing receivables'!$S:$S,Vertical_Cash_flow!AS$11)</f>
        <v>0</v>
      </c>
      <c r="AW72" s="196">
        <f t="shared" si="154"/>
        <v>0</v>
      </c>
      <c r="AX72" s="196">
        <f t="shared" si="155"/>
        <v>0</v>
      </c>
      <c r="AZ72" s="196"/>
    </row>
    <row r="73" spans="1:52" x14ac:dyDescent="0.2">
      <c r="A73" s="655"/>
      <c r="B73" s="188" t="s">
        <v>695</v>
      </c>
      <c r="C73" s="45"/>
      <c r="D73" s="25"/>
      <c r="E73" s="25"/>
      <c r="F73" s="25"/>
      <c r="G73" s="45">
        <f>C73+D73+E73/C$16+F73/F$16</f>
        <v>0</v>
      </c>
      <c r="H73" s="45">
        <f>C73*C$16+D73*D$16+G73*G$16+E73+F73*F$16</f>
        <v>0</v>
      </c>
      <c r="I73" s="45"/>
      <c r="J73" s="25"/>
      <c r="K73" s="25"/>
      <c r="L73" s="25"/>
      <c r="M73" s="45">
        <f>I73+J73+K73/I$16+L73/L$16</f>
        <v>0</v>
      </c>
      <c r="N73" s="45">
        <f>I73*I$16+J73*J$16+M73*M$16+K73+L73*L$16</f>
        <v>0</v>
      </c>
      <c r="O73" s="45"/>
      <c r="P73" s="25"/>
      <c r="Q73" s="25"/>
      <c r="R73" s="25"/>
      <c r="S73" s="45">
        <f>O73+P73+Q73/O$16+R73/R$16</f>
        <v>0</v>
      </c>
      <c r="T73" s="45">
        <f>O73*O$16+P73*P$16+S73*S$16+Q73+R73*R$16</f>
        <v>0</v>
      </c>
      <c r="U73" s="45"/>
      <c r="V73" s="25"/>
      <c r="W73" s="25"/>
      <c r="X73" s="25"/>
      <c r="Y73" s="45">
        <f>U73+V73+W73/U$16+X73/X$16</f>
        <v>0</v>
      </c>
      <c r="Z73" s="45">
        <f>U73*U$16+V73*V$16+Y73*Y$16+W73+X73*X$16</f>
        <v>0</v>
      </c>
      <c r="AA73" s="45"/>
      <c r="AB73" s="25"/>
      <c r="AC73" s="25"/>
      <c r="AD73" s="25"/>
      <c r="AE73" s="45">
        <f>AA73+AB73+AC73/AA$16+AD73/AD$16</f>
        <v>0</v>
      </c>
      <c r="AF73" s="45">
        <f>AA73*AA$16+AB73*AB$16+AE73*AE$16+AC73+AD73*AD$16</f>
        <v>0</v>
      </c>
      <c r="AG73" s="45"/>
      <c r="AH73" s="25"/>
      <c r="AI73" s="25"/>
      <c r="AJ73" s="25"/>
      <c r="AK73" s="45">
        <f>AG73+AH73+AI73/AG$16+AJ73/AJ$16</f>
        <v>0</v>
      </c>
      <c r="AL73" s="45">
        <f>AG73*AG$16+AH73*AH$16+AK73*AK$16+AI73+AJ73*AJ$16</f>
        <v>0</v>
      </c>
      <c r="AM73" s="45"/>
      <c r="AN73" s="25"/>
      <c r="AO73" s="25"/>
      <c r="AP73" s="25"/>
      <c r="AQ73" s="45">
        <f>AM73+AN73+AO73/AM$16+AP73/AP$16</f>
        <v>0</v>
      </c>
      <c r="AR73" s="45">
        <f>AM73*AM$16+AN73*AN$16+AQ73*AQ$16+AO73+AP73*AP$16</f>
        <v>0</v>
      </c>
      <c r="AS73" s="45"/>
      <c r="AT73" s="25"/>
      <c r="AU73" s="25"/>
      <c r="AV73" s="25"/>
      <c r="AW73" s="45">
        <f>AS73+AT73+AU73/AS$16+AV73/AV$16</f>
        <v>0</v>
      </c>
      <c r="AX73" s="45">
        <f>AS73*AS$16+AT73*AT$16+AW73*AW$16+AU73+AV73*AV$16</f>
        <v>0</v>
      </c>
      <c r="AZ73" s="45">
        <f>SUM(G73,S73,Y73,AE73,AK73,AQ73,AW73,M73)</f>
        <v>0</v>
      </c>
    </row>
    <row r="74" spans="1:52" x14ac:dyDescent="0.2">
      <c r="A74" s="655"/>
      <c r="B74" s="188"/>
      <c r="C74" s="45"/>
      <c r="D74" s="25"/>
      <c r="E74" s="25"/>
      <c r="F74" s="25"/>
      <c r="G74" s="45">
        <f>C74+D74+E74/C$16+F74/F$16</f>
        <v>0</v>
      </c>
      <c r="H74" s="45">
        <f>C74*C$16+D74*D$16+G74*G$16+E74+F74*F$16</f>
        <v>0</v>
      </c>
      <c r="I74" s="45"/>
      <c r="J74" s="25"/>
      <c r="K74" s="25"/>
      <c r="L74" s="25"/>
      <c r="M74" s="45">
        <f>I74+J74+K74/I$16+L74/L$16</f>
        <v>0</v>
      </c>
      <c r="N74" s="45">
        <f>I74*I$16+J74*J$16+M74*M$16+K74+L74*L$16</f>
        <v>0</v>
      </c>
      <c r="O74" s="45"/>
      <c r="P74" s="25"/>
      <c r="Q74" s="25"/>
      <c r="R74" s="25"/>
      <c r="S74" s="45">
        <f>O74+P74+Q74/O$16+R74/R$16</f>
        <v>0</v>
      </c>
      <c r="T74" s="45">
        <f>O74*O$16+P74*P$16+S74*S$16+Q74+R74*R$16</f>
        <v>0</v>
      </c>
      <c r="U74" s="45"/>
      <c r="V74" s="25"/>
      <c r="W74" s="25"/>
      <c r="X74" s="25"/>
      <c r="Y74" s="45">
        <f>U74+V74+W74/U$16+X74/X$16</f>
        <v>0</v>
      </c>
      <c r="Z74" s="45">
        <f>U74*U$16+V74*V$16+Y74*Y$16+W74+X74*X$16</f>
        <v>0</v>
      </c>
      <c r="AA74" s="45"/>
      <c r="AB74" s="25"/>
      <c r="AC74" s="25"/>
      <c r="AD74" s="25"/>
      <c r="AE74" s="45">
        <f>AA74+AB74+AC74/AA$16+AD74/AD$16</f>
        <v>0</v>
      </c>
      <c r="AF74" s="45">
        <f>AA74*AA$16+AB74*AB$16+AE74*AE$16+AC74+AD74*AD$16</f>
        <v>0</v>
      </c>
      <c r="AG74" s="45"/>
      <c r="AH74" s="25"/>
      <c r="AI74" s="25"/>
      <c r="AJ74" s="25"/>
      <c r="AK74" s="45">
        <f>AG74+AH74+AI74/AG$16+AJ74/AJ$16</f>
        <v>0</v>
      </c>
      <c r="AL74" s="45">
        <f>AG74*AG$16+AH74*AH$16+AK74*AK$16+AI74+AJ74*AJ$16</f>
        <v>0</v>
      </c>
      <c r="AM74" s="45"/>
      <c r="AN74" s="25"/>
      <c r="AO74" s="25"/>
      <c r="AP74" s="25"/>
      <c r="AQ74" s="45">
        <f>AM74+AN74+AO74/AM$16+AP74/AP$16</f>
        <v>0</v>
      </c>
      <c r="AR74" s="45">
        <f>AM74*AM$16+AN74*AN$16+AQ74*AQ$16+AO74+AP74*AP$16</f>
        <v>0</v>
      </c>
      <c r="AS74" s="45"/>
      <c r="AT74" s="25"/>
      <c r="AU74" s="25"/>
      <c r="AV74" s="25"/>
      <c r="AW74" s="45">
        <f>AS74+AT74+AU74/AS$16+AV74/AV$16</f>
        <v>0</v>
      </c>
      <c r="AX74" s="45">
        <f>AS74*AS$16+AT74*AT$16+AW74*AW$16+AU74+AV74*AV$16</f>
        <v>0</v>
      </c>
      <c r="AZ74" s="45"/>
    </row>
    <row r="75" spans="1:52" ht="13.5" thickBot="1" x14ac:dyDescent="0.25">
      <c r="A75" s="656"/>
      <c r="B75" s="181"/>
      <c r="C75" s="45"/>
      <c r="D75" s="25"/>
      <c r="E75" s="25"/>
      <c r="F75" s="25"/>
      <c r="G75" s="45"/>
      <c r="H75" s="45"/>
      <c r="I75" s="45"/>
      <c r="J75" s="25"/>
      <c r="K75" s="25"/>
      <c r="L75" s="25"/>
      <c r="M75" s="45"/>
      <c r="N75" s="45"/>
      <c r="O75" s="45"/>
      <c r="P75" s="25"/>
      <c r="Q75" s="25"/>
      <c r="R75" s="25"/>
      <c r="S75" s="45"/>
      <c r="T75" s="45"/>
      <c r="U75" s="45"/>
      <c r="V75" s="25"/>
      <c r="W75" s="25"/>
      <c r="X75" s="25"/>
      <c r="Y75" s="45"/>
      <c r="Z75" s="45"/>
      <c r="AA75" s="45"/>
      <c r="AB75" s="25"/>
      <c r="AC75" s="25"/>
      <c r="AD75" s="25"/>
      <c r="AE75" s="45"/>
      <c r="AF75" s="45"/>
      <c r="AG75" s="45"/>
      <c r="AH75" s="25"/>
      <c r="AI75" s="25"/>
      <c r="AJ75" s="25"/>
      <c r="AK75" s="45"/>
      <c r="AL75" s="45"/>
      <c r="AM75" s="45"/>
      <c r="AN75" s="25"/>
      <c r="AO75" s="25"/>
      <c r="AP75" s="25"/>
      <c r="AQ75" s="45"/>
      <c r="AR75" s="45"/>
      <c r="AS75" s="45"/>
      <c r="AT75" s="25"/>
      <c r="AU75" s="25"/>
      <c r="AV75" s="25"/>
      <c r="AW75" s="45"/>
      <c r="AX75" s="45"/>
      <c r="AZ75" s="45"/>
    </row>
    <row r="76" spans="1:52" s="38" customFormat="1" ht="13.5" thickBot="1" x14ac:dyDescent="0.25">
      <c r="A76" s="232"/>
      <c r="B76" s="132" t="s">
        <v>7</v>
      </c>
      <c r="C76" s="133">
        <f>C39+C45+C52+C56+C64+C66</f>
        <v>745788.58299999987</v>
      </c>
      <c r="D76" s="134">
        <f>D39+D45+D52+D56+D64+D66</f>
        <v>1270000</v>
      </c>
      <c r="E76" s="135">
        <f>E39+E45+E52+E56+E64+E66</f>
        <v>342981.17000000004</v>
      </c>
      <c r="F76" s="135">
        <f>F39+F45+F52+F56+F64+F66</f>
        <v>0</v>
      </c>
      <c r="G76" s="199">
        <f t="shared" ref="G76:H76" si="156">G39+G45+G52+G56+G64+G66</f>
        <v>3159059.1496666665</v>
      </c>
      <c r="H76" s="199">
        <f t="shared" si="156"/>
        <v>947717.74490000005</v>
      </c>
      <c r="I76" s="133">
        <f>I39+I45+I52+I56+I64+I66</f>
        <v>1050844.3559999997</v>
      </c>
      <c r="J76" s="134">
        <f>J39+J45+J52+J56+J64+J66</f>
        <v>855000</v>
      </c>
      <c r="K76" s="135">
        <f>K39+K45+K52+K56+K64+K66</f>
        <v>126144.56999999999</v>
      </c>
      <c r="L76" s="135">
        <f>L39+L45+L52+L56+L64+L66</f>
        <v>0</v>
      </c>
      <c r="M76" s="199">
        <f t="shared" ref="M76" si="157">M39+M45+M52+M56+M64+M66</f>
        <v>2326326.2559999996</v>
      </c>
      <c r="N76" s="199">
        <f t="shared" ref="N76" si="158">N39+N45+N52+N56+N64+N66</f>
        <v>697897.87679999985</v>
      </c>
      <c r="O76" s="133">
        <f>O39+O45+O52+O56+O64+O66</f>
        <v>411406.84100000007</v>
      </c>
      <c r="P76" s="134">
        <f>P39+P45+P52+P56+P64+P66</f>
        <v>400000</v>
      </c>
      <c r="Q76" s="135">
        <f>Q39+Q45+Q52+Q56+Q64+Q66</f>
        <v>241617.90000000002</v>
      </c>
      <c r="R76" s="135">
        <f>R39+R45+R52+R56+R64+R66</f>
        <v>0</v>
      </c>
      <c r="S76" s="199">
        <f t="shared" ref="S76:T76" si="159">S39+S45+S52+S56+S64+S66</f>
        <v>1616799.841</v>
      </c>
      <c r="T76" s="199">
        <f t="shared" si="159"/>
        <v>485039.9523</v>
      </c>
      <c r="U76" s="133">
        <f>U39+U45+U52+U56+U64+U66</f>
        <v>642203.0959999999</v>
      </c>
      <c r="V76" s="134">
        <f>V39+V45+V52+V56+V64+V66</f>
        <v>625000</v>
      </c>
      <c r="W76" s="135">
        <f>W39+W45+W52+W56+W64+W66</f>
        <v>73062.600000000006</v>
      </c>
      <c r="X76" s="135">
        <f>X39+X45+X52+X56+X64+X66</f>
        <v>0</v>
      </c>
      <c r="Y76" s="199">
        <f t="shared" ref="Y76:Z76" si="160">Y39+Y45+Y52+Y56+Y64+Y66</f>
        <v>1510745.0959999999</v>
      </c>
      <c r="Z76" s="199">
        <f t="shared" si="160"/>
        <v>453223.52879999997</v>
      </c>
      <c r="AA76" s="133">
        <f>AA39+AA45+AA52+AA56+AA64+AA66</f>
        <v>776832.96399999992</v>
      </c>
      <c r="AB76" s="134">
        <f>AB39+AB45+AB52+AB56+AB64+AB66</f>
        <v>765000</v>
      </c>
      <c r="AC76" s="135">
        <f>AC39+AC45+AC52+AC56+AC64+AC66</f>
        <v>342364.44000000006</v>
      </c>
      <c r="AD76" s="135">
        <f>AD39+AD45+AD52+AD56+AD64+AD66</f>
        <v>0</v>
      </c>
      <c r="AE76" s="199">
        <f t="shared" ref="AE76:AF76" si="161">AE39+AE45+AE52+AE56+AE64+AE66</f>
        <v>2683047.764</v>
      </c>
      <c r="AF76" s="199">
        <f t="shared" si="161"/>
        <v>804914.32920000004</v>
      </c>
      <c r="AG76" s="133">
        <f>AG39+AG45+AG52+AG56+AG64+AG66</f>
        <v>507245.63199999998</v>
      </c>
      <c r="AH76" s="134">
        <f>AH39+AH45+AH52+AH56+AH64+AH66</f>
        <v>350000</v>
      </c>
      <c r="AI76" s="135">
        <f>AI39+AI45+AI52+AI56+AI64+AI66</f>
        <v>328703.73</v>
      </c>
      <c r="AJ76" s="135">
        <f>AJ39+AJ45+AJ52+AJ56+AJ64+AJ66</f>
        <v>0</v>
      </c>
      <c r="AK76" s="199">
        <f t="shared" ref="AK76:AL76" si="162">AK39+AK45+AK52+AK56+AK64+AK66</f>
        <v>1952924.7320000001</v>
      </c>
      <c r="AL76" s="199">
        <f t="shared" si="162"/>
        <v>585877.41960000002</v>
      </c>
      <c r="AM76" s="133">
        <f>AM39+AM45+AM52+AM56+AM64+AM66</f>
        <v>962496.23599999992</v>
      </c>
      <c r="AN76" s="134">
        <f>AN39+AN45+AN52+AN56+AN64+AN66</f>
        <v>665000</v>
      </c>
      <c r="AO76" s="135">
        <f>AO39+AO45+AO52+AO56+AO64+AO66</f>
        <v>240026.19</v>
      </c>
      <c r="AP76" s="135">
        <f>AP39+AP45+AP52+AP56+AP64+AP66</f>
        <v>0</v>
      </c>
      <c r="AQ76" s="199">
        <f t="shared" ref="AQ76:AR76" si="163">AQ39+AQ45+AQ52+AQ56+AQ64+AQ66</f>
        <v>2427583.5359999998</v>
      </c>
      <c r="AR76" s="199">
        <f t="shared" si="163"/>
        <v>728275.06080000009</v>
      </c>
      <c r="AS76" s="133">
        <f>AS39+AS45+AS52+AS56+AS64+AS66</f>
        <v>521899.30700000003</v>
      </c>
      <c r="AT76" s="134">
        <f>AT39+AT45+AT52+AT56+AT64+AT66</f>
        <v>470000</v>
      </c>
      <c r="AU76" s="135">
        <f>AU39+AU45+AU52+AU56+AU64+AU66</f>
        <v>71190</v>
      </c>
      <c r="AV76" s="135">
        <f>AV39+AV45+AV52+AV56+AV64+AV66</f>
        <v>0</v>
      </c>
      <c r="AW76" s="199">
        <f t="shared" ref="AW76:AX76" si="164">AW39+AW45+AW52+AW56+AW64+AW66</f>
        <v>1229199.307</v>
      </c>
      <c r="AX76" s="199">
        <f t="shared" si="164"/>
        <v>368759.79209999996</v>
      </c>
      <c r="AZ76" s="199">
        <f>SUM(G76,S76,Y76,AE76,AK76,AQ76,AW76,M76)</f>
        <v>16905685.681666669</v>
      </c>
    </row>
    <row r="77" spans="1:52" ht="13.5" thickBot="1" x14ac:dyDescent="0.25">
      <c r="A77" s="232"/>
      <c r="B77" s="94"/>
      <c r="C77" s="45"/>
      <c r="D77" s="25"/>
      <c r="E77" s="25"/>
      <c r="F77" s="25"/>
      <c r="G77" s="45"/>
      <c r="H77" s="45"/>
      <c r="I77" s="45"/>
      <c r="J77" s="25"/>
      <c r="K77" s="25"/>
      <c r="L77" s="25"/>
      <c r="M77" s="45"/>
      <c r="N77" s="45"/>
      <c r="O77" s="45"/>
      <c r="P77" s="25"/>
      <c r="Q77" s="25"/>
      <c r="R77" s="25"/>
      <c r="S77" s="45"/>
      <c r="T77" s="45"/>
      <c r="U77" s="45"/>
      <c r="V77" s="25"/>
      <c r="W77" s="25"/>
      <c r="X77" s="25"/>
      <c r="Y77" s="45"/>
      <c r="Z77" s="45"/>
      <c r="AA77" s="45"/>
      <c r="AB77" s="25"/>
      <c r="AC77" s="25"/>
      <c r="AD77" s="25"/>
      <c r="AE77" s="45"/>
      <c r="AF77" s="45"/>
      <c r="AG77" s="45"/>
      <c r="AH77" s="25"/>
      <c r="AI77" s="25"/>
      <c r="AJ77" s="25"/>
      <c r="AK77" s="45"/>
      <c r="AL77" s="45"/>
      <c r="AM77" s="45"/>
      <c r="AN77" s="25"/>
      <c r="AO77" s="25"/>
      <c r="AP77" s="25"/>
      <c r="AQ77" s="45"/>
      <c r="AR77" s="45"/>
      <c r="AS77" s="45"/>
      <c r="AT77" s="25"/>
      <c r="AU77" s="25"/>
      <c r="AV77" s="25"/>
      <c r="AW77" s="45"/>
      <c r="AX77" s="45"/>
      <c r="AZ77" s="45"/>
    </row>
    <row r="78" spans="1:52" s="1" customFormat="1" x14ac:dyDescent="0.2">
      <c r="A78" s="233"/>
      <c r="B78" s="139" t="s">
        <v>92</v>
      </c>
      <c r="C78" s="47"/>
      <c r="D78" s="27"/>
      <c r="E78" s="27"/>
      <c r="F78" s="27"/>
      <c r="G78" s="47"/>
      <c r="H78" s="47"/>
      <c r="I78" s="47"/>
      <c r="J78" s="27"/>
      <c r="K78" s="27"/>
      <c r="L78" s="27"/>
      <c r="M78" s="47"/>
      <c r="N78" s="47"/>
      <c r="O78" s="47"/>
      <c r="P78" s="27"/>
      <c r="Q78" s="27"/>
      <c r="R78" s="27"/>
      <c r="S78" s="47"/>
      <c r="T78" s="47"/>
      <c r="U78" s="47"/>
      <c r="V78" s="27"/>
      <c r="W78" s="27"/>
      <c r="X78" s="27"/>
      <c r="Y78" s="47"/>
      <c r="Z78" s="47"/>
      <c r="AA78" s="47"/>
      <c r="AB78" s="27"/>
      <c r="AC78" s="27"/>
      <c r="AD78" s="27"/>
      <c r="AE78" s="47"/>
      <c r="AF78" s="47"/>
      <c r="AG78" s="47"/>
      <c r="AH78" s="27"/>
      <c r="AI78" s="27"/>
      <c r="AJ78" s="27"/>
      <c r="AK78" s="47"/>
      <c r="AL78" s="47"/>
      <c r="AM78" s="47"/>
      <c r="AN78" s="27"/>
      <c r="AO78" s="27"/>
      <c r="AP78" s="27"/>
      <c r="AQ78" s="47"/>
      <c r="AR78" s="47"/>
      <c r="AS78" s="47"/>
      <c r="AT78" s="27"/>
      <c r="AU78" s="27"/>
      <c r="AV78" s="27"/>
      <c r="AW78" s="47"/>
      <c r="AX78" s="47"/>
      <c r="AZ78" s="47"/>
    </row>
    <row r="79" spans="1:52" x14ac:dyDescent="0.2">
      <c r="A79" s="232"/>
      <c r="B79" s="97"/>
      <c r="C79" s="49"/>
      <c r="D79" s="61"/>
      <c r="E79" s="61"/>
      <c r="F79" s="61"/>
      <c r="G79" s="49"/>
      <c r="H79" s="49"/>
      <c r="I79" s="49"/>
      <c r="J79" s="61"/>
      <c r="K79" s="61"/>
      <c r="L79" s="61"/>
      <c r="M79" s="49"/>
      <c r="N79" s="49"/>
      <c r="O79" s="49"/>
      <c r="P79" s="61"/>
      <c r="Q79" s="61"/>
      <c r="R79" s="61"/>
      <c r="S79" s="49"/>
      <c r="T79" s="49"/>
      <c r="U79" s="49"/>
      <c r="V79" s="61"/>
      <c r="W79" s="61"/>
      <c r="X79" s="61"/>
      <c r="Y79" s="49"/>
      <c r="Z79" s="49"/>
      <c r="AA79" s="49"/>
      <c r="AB79" s="61"/>
      <c r="AC79" s="61"/>
      <c r="AD79" s="61"/>
      <c r="AE79" s="49"/>
      <c r="AF79" s="49"/>
      <c r="AG79" s="49"/>
      <c r="AH79" s="61"/>
      <c r="AI79" s="61"/>
      <c r="AJ79" s="61"/>
      <c r="AK79" s="49"/>
      <c r="AL79" s="49"/>
      <c r="AM79" s="49"/>
      <c r="AN79" s="61"/>
      <c r="AO79" s="61"/>
      <c r="AP79" s="61"/>
      <c r="AQ79" s="49"/>
      <c r="AR79" s="49"/>
      <c r="AS79" s="49"/>
      <c r="AT79" s="61"/>
      <c r="AU79" s="61"/>
      <c r="AV79" s="61"/>
      <c r="AW79" s="49"/>
      <c r="AX79" s="49"/>
      <c r="AZ79" s="49"/>
    </row>
    <row r="80" spans="1:52" s="3" customFormat="1" x14ac:dyDescent="0.2">
      <c r="A80" s="654" t="s">
        <v>461</v>
      </c>
      <c r="B80" s="182" t="s">
        <v>66</v>
      </c>
      <c r="C80" s="54">
        <f>SUM(C81:C87)</f>
        <v>0</v>
      </c>
      <c r="D80" s="31">
        <f t="shared" ref="D80:G80" si="165">SUM(D81:D87)</f>
        <v>678011.67799999996</v>
      </c>
      <c r="E80" s="31">
        <f t="shared" si="165"/>
        <v>388933.35</v>
      </c>
      <c r="F80" s="31">
        <f t="shared" si="165"/>
        <v>0</v>
      </c>
      <c r="G80" s="54">
        <f t="shared" si="165"/>
        <v>1974456.1779999998</v>
      </c>
      <c r="H80" s="54">
        <f>SUM(H81:H87)</f>
        <v>592336.85340000002</v>
      </c>
      <c r="I80" s="54">
        <f>SUM(I81:I87)</f>
        <v>0</v>
      </c>
      <c r="J80" s="31">
        <f t="shared" ref="J80:M80" si="166">SUM(J81:J87)</f>
        <v>644420.69999999995</v>
      </c>
      <c r="K80" s="31">
        <f t="shared" si="166"/>
        <v>0</v>
      </c>
      <c r="L80" s="31">
        <f t="shared" si="166"/>
        <v>0</v>
      </c>
      <c r="M80" s="54">
        <f t="shared" si="166"/>
        <v>644420.69999999995</v>
      </c>
      <c r="N80" s="54">
        <f>SUM(N81:N87)</f>
        <v>193326.21</v>
      </c>
      <c r="O80" s="54">
        <f>SUM(O81:O87)</f>
        <v>0</v>
      </c>
      <c r="P80" s="31">
        <f t="shared" ref="P80:S80" si="167">SUM(P81:P87)</f>
        <v>644420.69999999995</v>
      </c>
      <c r="Q80" s="31">
        <f t="shared" si="167"/>
        <v>397474.06</v>
      </c>
      <c r="R80" s="31">
        <f t="shared" si="167"/>
        <v>0</v>
      </c>
      <c r="S80" s="54">
        <f t="shared" si="167"/>
        <v>1969334.2333333334</v>
      </c>
      <c r="T80" s="54">
        <f>SUM(T81:T87)</f>
        <v>590800.27</v>
      </c>
      <c r="U80" s="54">
        <f>SUM(U81:U87)</f>
        <v>0</v>
      </c>
      <c r="V80" s="31">
        <f t="shared" ref="V80:Y80" si="168">SUM(V81:V87)</f>
        <v>644420.69999999995</v>
      </c>
      <c r="W80" s="31">
        <f t="shared" si="168"/>
        <v>0</v>
      </c>
      <c r="X80" s="31">
        <f t="shared" si="168"/>
        <v>0</v>
      </c>
      <c r="Y80" s="54">
        <f t="shared" si="168"/>
        <v>644420.69999999995</v>
      </c>
      <c r="Z80" s="54">
        <f>SUM(Z81:Z87)</f>
        <v>193326.21</v>
      </c>
      <c r="AA80" s="54">
        <f>SUM(AA81:AA87)</f>
        <v>0</v>
      </c>
      <c r="AB80" s="31">
        <f t="shared" ref="AB80:AE80" si="169">SUM(AB81:AB87)</f>
        <v>644420.69999999995</v>
      </c>
      <c r="AC80" s="31">
        <f t="shared" si="169"/>
        <v>0</v>
      </c>
      <c r="AD80" s="31">
        <f t="shared" si="169"/>
        <v>0</v>
      </c>
      <c r="AE80" s="54">
        <f t="shared" si="169"/>
        <v>644420.69999999995</v>
      </c>
      <c r="AF80" s="54">
        <f>SUM(AF81:AF87)</f>
        <v>193326.21</v>
      </c>
      <c r="AG80" s="54">
        <f>SUM(AG81:AG87)</f>
        <v>0</v>
      </c>
      <c r="AH80" s="31">
        <f t="shared" ref="AH80:AK80" si="170">SUM(AH81:AH87)</f>
        <v>644420.69999999995</v>
      </c>
      <c r="AI80" s="31">
        <f t="shared" si="170"/>
        <v>0</v>
      </c>
      <c r="AJ80" s="31">
        <f t="shared" si="170"/>
        <v>0</v>
      </c>
      <c r="AK80" s="54">
        <f t="shared" si="170"/>
        <v>644420.69999999995</v>
      </c>
      <c r="AL80" s="54">
        <f>SUM(AL81:AL87)</f>
        <v>193326.21</v>
      </c>
      <c r="AM80" s="54">
        <f>SUM(AM81:AM87)</f>
        <v>0</v>
      </c>
      <c r="AN80" s="31">
        <f t="shared" ref="AN80:AQ80" si="171">SUM(AN81:AN87)</f>
        <v>644420.69999999995</v>
      </c>
      <c r="AO80" s="31">
        <f t="shared" si="171"/>
        <v>0</v>
      </c>
      <c r="AP80" s="31">
        <f t="shared" si="171"/>
        <v>0</v>
      </c>
      <c r="AQ80" s="54">
        <f t="shared" si="171"/>
        <v>644420.69999999995</v>
      </c>
      <c r="AR80" s="54">
        <f>SUM(AR81:AR87)</f>
        <v>193326.21</v>
      </c>
      <c r="AS80" s="54">
        <f>SUM(AS81:AS87)</f>
        <v>0</v>
      </c>
      <c r="AT80" s="31">
        <f t="shared" ref="AT80:AW80" si="172">SUM(AT81:AT87)</f>
        <v>644420.69999999995</v>
      </c>
      <c r="AU80" s="31">
        <f t="shared" si="172"/>
        <v>0</v>
      </c>
      <c r="AV80" s="31">
        <f t="shared" si="172"/>
        <v>0</v>
      </c>
      <c r="AW80" s="54">
        <f t="shared" si="172"/>
        <v>644420.69999999995</v>
      </c>
      <c r="AX80" s="54">
        <f>SUM(AX81:AX87)</f>
        <v>193326.21</v>
      </c>
      <c r="AZ80" s="54">
        <f t="shared" ref="AZ80:AZ123" si="173">SUM(G80,S80,Y80,AE80,AK80,AQ80,AW80,M80)</f>
        <v>7810314.6113333339</v>
      </c>
    </row>
    <row r="81" spans="1:52" outlineLevel="1" x14ac:dyDescent="0.2">
      <c r="A81" s="655"/>
      <c r="B81" s="189" t="s">
        <v>55</v>
      </c>
      <c r="C81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payments'!$D:$D,Vertical_Cash_flow!$B81,'Sourcing &amp; MRP payments'!$C:$C,Vertical_Cash_flow!$B$80)</f>
        <v>0</v>
      </c>
      <c r="D81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payments'!$D:$D,Vertical_Cash_flow!$B81,'Sourcing &amp; MRP payments'!$C:$C,Vertical_Cash_flow!$B$80)</f>
        <v>359320.5</v>
      </c>
      <c r="E81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payments'!$D:$D,Vertical_Cash_flow!$B81,'Sourcing &amp; MRP payments'!$C:$C,Vertical_Cash_flow!$B$80)</f>
        <v>0</v>
      </c>
      <c r="F81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payments'!$D:$D,Vertical_Cash_flow!$B81,'Sourcing &amp; MRP payments'!$C:$C,Vertical_Cash_flow!$B$80)</f>
        <v>0</v>
      </c>
      <c r="G81" s="200">
        <f>C81+D81+E81/$C$16+F81/$F$16</f>
        <v>359320.5</v>
      </c>
      <c r="H81" s="200">
        <f t="shared" ref="H81:H87" si="174">G81*$C$16</f>
        <v>107796.15</v>
      </c>
      <c r="I81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payments'!$D:$D,Vertical_Cash_flow!$B81,'Sourcing &amp; MRP payments'!$C:$C,Vertical_Cash_flow!$B$80)</f>
        <v>0</v>
      </c>
      <c r="J81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payments'!$D:$D,Vertical_Cash_flow!$B81,'Sourcing &amp; MRP payments'!$C:$C,Vertical_Cash_flow!$B$80)</f>
        <v>359320.5</v>
      </c>
      <c r="K81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payments'!$D:$D,Vertical_Cash_flow!$B81,'Sourcing &amp; MRP payments'!$C:$C,Vertical_Cash_flow!$B$80)</f>
        <v>0</v>
      </c>
      <c r="L81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payments'!$D:$D,Vertical_Cash_flow!$B81,'Sourcing &amp; MRP payments'!$C:$C,Vertical_Cash_flow!$B$80)</f>
        <v>0</v>
      </c>
      <c r="M81" s="200">
        <f>I81+J81+K81/$C$16+L81/$F$16</f>
        <v>359320.5</v>
      </c>
      <c r="N81" s="200">
        <f t="shared" ref="N81:N87" si="175">M81*$C$16</f>
        <v>107796.15</v>
      </c>
      <c r="O81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payments'!$D:$D,Vertical_Cash_flow!$B81,'Sourcing &amp; MRP payments'!$C:$C,Vertical_Cash_flow!$B$80)</f>
        <v>0</v>
      </c>
      <c r="P81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payments'!$D:$D,Vertical_Cash_flow!$B81,'Sourcing &amp; MRP payments'!$C:$C,Vertical_Cash_flow!$B$80)</f>
        <v>359320.5</v>
      </c>
      <c r="Q81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payments'!$D:$D,Vertical_Cash_flow!$B81,'Sourcing &amp; MRP payments'!$C:$C,Vertical_Cash_flow!$B$80)</f>
        <v>0</v>
      </c>
      <c r="R81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payments'!$D:$D,Vertical_Cash_flow!$B81,'Sourcing &amp; MRP payments'!$C:$C,Vertical_Cash_flow!$B$80)</f>
        <v>0</v>
      </c>
      <c r="S81" s="200">
        <f>O81+P81+Q81/$C$16+R81/$F$16</f>
        <v>359320.5</v>
      </c>
      <c r="T81" s="200">
        <f t="shared" ref="T81:T87" si="176">S81*$C$16</f>
        <v>107796.15</v>
      </c>
      <c r="U81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payments'!$D:$D,Vertical_Cash_flow!$B81,'Sourcing &amp; MRP payments'!$C:$C,Vertical_Cash_flow!$B$80)</f>
        <v>0</v>
      </c>
      <c r="V81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payments'!$D:$D,Vertical_Cash_flow!$B81,'Sourcing &amp; MRP payments'!$C:$C,Vertical_Cash_flow!$B$80)</f>
        <v>359320.5</v>
      </c>
      <c r="W81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payments'!$D:$D,Vertical_Cash_flow!$B81,'Sourcing &amp; MRP payments'!$C:$C,Vertical_Cash_flow!$B$80)</f>
        <v>0</v>
      </c>
      <c r="X81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payments'!$D:$D,Vertical_Cash_flow!$B81,'Sourcing &amp; MRP payments'!$C:$C,Vertical_Cash_flow!$B$80)</f>
        <v>0</v>
      </c>
      <c r="Y81" s="200">
        <f>U81+V81+W81/$C$16+X81/$F$16</f>
        <v>359320.5</v>
      </c>
      <c r="Z81" s="200">
        <f t="shared" ref="Z81:Z87" si="177">Y81*$C$16</f>
        <v>107796.15</v>
      </c>
      <c r="AA81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payments'!$D:$D,Vertical_Cash_flow!$B81,'Sourcing &amp; MRP payments'!$C:$C,Vertical_Cash_flow!$B$80)</f>
        <v>0</v>
      </c>
      <c r="AB81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payments'!$D:$D,Vertical_Cash_flow!$B81,'Sourcing &amp; MRP payments'!$C:$C,Vertical_Cash_flow!$B$80)</f>
        <v>359320.5</v>
      </c>
      <c r="AC81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payments'!$D:$D,Vertical_Cash_flow!$B81,'Sourcing &amp; MRP payments'!$C:$C,Vertical_Cash_flow!$B$80)</f>
        <v>0</v>
      </c>
      <c r="AD81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payments'!$D:$D,Vertical_Cash_flow!$B81,'Sourcing &amp; MRP payments'!$C:$C,Vertical_Cash_flow!$B$80)</f>
        <v>0</v>
      </c>
      <c r="AE81" s="200">
        <f>AA81+AB81+AC81/$C$16+AD81/$F$16</f>
        <v>359320.5</v>
      </c>
      <c r="AF81" s="200">
        <f t="shared" ref="AF81:AF87" si="178">AE81*$C$16</f>
        <v>107796.15</v>
      </c>
      <c r="AG81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payments'!$D:$D,Vertical_Cash_flow!$B81,'Sourcing &amp; MRP payments'!$C:$C,Vertical_Cash_flow!$B$80)</f>
        <v>0</v>
      </c>
      <c r="AH81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payments'!$D:$D,Vertical_Cash_flow!$B81,'Sourcing &amp; MRP payments'!$C:$C,Vertical_Cash_flow!$B$80)</f>
        <v>359320.5</v>
      </c>
      <c r="AI81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payments'!$D:$D,Vertical_Cash_flow!$B81,'Sourcing &amp; MRP payments'!$C:$C,Vertical_Cash_flow!$B$80)</f>
        <v>0</v>
      </c>
      <c r="AJ81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payments'!$D:$D,Vertical_Cash_flow!$B81,'Sourcing &amp; MRP payments'!$C:$C,Vertical_Cash_flow!$B$80)</f>
        <v>0</v>
      </c>
      <c r="AK81" s="200">
        <f>AG81+AH81+AI81/$C$16+AJ81/$F$16</f>
        <v>359320.5</v>
      </c>
      <c r="AL81" s="200">
        <f t="shared" ref="AL81:AL87" si="179">AK81*$C$16</f>
        <v>107796.15</v>
      </c>
      <c r="AM81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payments'!$D:$D,Vertical_Cash_flow!$B81,'Sourcing &amp; MRP payments'!$C:$C,Vertical_Cash_flow!$B$80)</f>
        <v>0</v>
      </c>
      <c r="AN81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payments'!$D:$D,Vertical_Cash_flow!$B81,'Sourcing &amp; MRP payments'!$C:$C,Vertical_Cash_flow!$B$80)</f>
        <v>359320.5</v>
      </c>
      <c r="AO81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payments'!$D:$D,Vertical_Cash_flow!$B81,'Sourcing &amp; MRP payments'!$C:$C,Vertical_Cash_flow!$B$80)</f>
        <v>0</v>
      </c>
      <c r="AP81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payments'!$D:$D,Vertical_Cash_flow!$B81,'Sourcing &amp; MRP payments'!$C:$C,Vertical_Cash_flow!$B$80)</f>
        <v>0</v>
      </c>
      <c r="AQ81" s="200">
        <f>AM81+AN81+AO81/$C$16+AP81/$F$16</f>
        <v>359320.5</v>
      </c>
      <c r="AR81" s="200">
        <f t="shared" ref="AR81:AR87" si="180">AQ81*$C$16</f>
        <v>107796.15</v>
      </c>
      <c r="AS81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payments'!$D:$D,Vertical_Cash_flow!$B81,'Sourcing &amp; MRP payments'!$C:$C,Vertical_Cash_flow!$B$80)</f>
        <v>0</v>
      </c>
      <c r="AT81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payments'!$D:$D,Vertical_Cash_flow!$B81,'Sourcing &amp; MRP payments'!$C:$C,Vertical_Cash_flow!$B$80)</f>
        <v>359320.5</v>
      </c>
      <c r="AU81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payments'!$D:$D,Vertical_Cash_flow!$B81,'Sourcing &amp; MRP payments'!$C:$C,Vertical_Cash_flow!$B$80)</f>
        <v>0</v>
      </c>
      <c r="AV81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payments'!$D:$D,Vertical_Cash_flow!$B81,'Sourcing &amp; MRP payments'!$C:$C,Vertical_Cash_flow!$B$80)</f>
        <v>0</v>
      </c>
      <c r="AW81" s="200">
        <f>AS81+AT81+AU81/$C$16+AV81/$F$16</f>
        <v>359320.5</v>
      </c>
      <c r="AX81" s="200">
        <f t="shared" ref="AX81:AX87" si="181">AW81*$C$16</f>
        <v>107796.15</v>
      </c>
      <c r="AZ81" s="200">
        <f t="shared" si="173"/>
        <v>2874564</v>
      </c>
    </row>
    <row r="82" spans="1:52" outlineLevel="1" x14ac:dyDescent="0.2">
      <c r="A82" s="655"/>
      <c r="B82" s="189" t="s">
        <v>3399</v>
      </c>
      <c r="C82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payments'!$D:$D,Vertical_Cash_flow!$B82,'Sourcing &amp; MRP payments'!$C:$C,Vertical_Cash_flow!$B$80)</f>
        <v>0</v>
      </c>
      <c r="D82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payments'!$D:$D,Vertical_Cash_flow!$B82,'Sourcing &amp; MRP payments'!$C:$C,Vertical_Cash_flow!$B$80)</f>
        <v>111345.57800000001</v>
      </c>
      <c r="E82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payments'!$D:$D,Vertical_Cash_flow!$B82,'Sourcing &amp; MRP payments'!$C:$C,Vertical_Cash_flow!$B$80)</f>
        <v>0</v>
      </c>
      <c r="F82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payments'!$D:$D,Vertical_Cash_flow!$B82,'Sourcing &amp; MRP payments'!$C:$C,Vertical_Cash_flow!B$80)</f>
        <v>0</v>
      </c>
      <c r="G82" s="200">
        <f t="shared" ref="G82:G87" si="182">C82+D82+E82/$C$16+F82/$F$16</f>
        <v>111345.57800000001</v>
      </c>
      <c r="H82" s="200">
        <f t="shared" si="174"/>
        <v>33403.6734</v>
      </c>
      <c r="I82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payments'!$D:$D,Vertical_Cash_flow!$B82,'Sourcing &amp; MRP payments'!$C:$C,Vertical_Cash_flow!$B$80)</f>
        <v>0</v>
      </c>
      <c r="J82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payments'!$D:$D,Vertical_Cash_flow!$B82,'Sourcing &amp; MRP payments'!$C:$C,Vertical_Cash_flow!$B$80)</f>
        <v>77754.600000000006</v>
      </c>
      <c r="K82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payments'!$D:$D,Vertical_Cash_flow!$B82,'Sourcing &amp; MRP payments'!$C:$C,Vertical_Cash_flow!$B$80)</f>
        <v>0</v>
      </c>
      <c r="L82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payments'!$D:$D,Vertical_Cash_flow!$B82,'Sourcing &amp; MRP payments'!$C:$C,Vertical_Cash_flow!H$80)</f>
        <v>0</v>
      </c>
      <c r="M82" s="200">
        <f t="shared" ref="M82:M87" si="183">I82+J82+K82/$C$16+L82/$F$16</f>
        <v>77754.600000000006</v>
      </c>
      <c r="N82" s="200">
        <f t="shared" si="175"/>
        <v>23326.38</v>
      </c>
      <c r="O82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payments'!$D:$D,Vertical_Cash_flow!$B82,'Sourcing &amp; MRP payments'!$C:$C,Vertical_Cash_flow!$B$80)</f>
        <v>0</v>
      </c>
      <c r="P82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payments'!$D:$D,Vertical_Cash_flow!$B82,'Sourcing &amp; MRP payments'!$C:$C,Vertical_Cash_flow!$B$80)</f>
        <v>77754.600000000006</v>
      </c>
      <c r="Q82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payments'!$D:$D,Vertical_Cash_flow!$B82,'Sourcing &amp; MRP payments'!$C:$C,Vertical_Cash_flow!$B$80)</f>
        <v>0</v>
      </c>
      <c r="R82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payments'!$D:$D,Vertical_Cash_flow!$B82,'Sourcing &amp; MRP payments'!$C:$C,Vertical_Cash_flow!N$80)</f>
        <v>0</v>
      </c>
      <c r="S82" s="200">
        <f t="shared" ref="S82:S87" si="184">O82+P82+Q82/$C$16+R82/$F$16</f>
        <v>77754.600000000006</v>
      </c>
      <c r="T82" s="200">
        <f t="shared" si="176"/>
        <v>23326.38</v>
      </c>
      <c r="U82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payments'!$D:$D,Vertical_Cash_flow!$B82,'Sourcing &amp; MRP payments'!$C:$C,Vertical_Cash_flow!$B$80)</f>
        <v>0</v>
      </c>
      <c r="V82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payments'!$D:$D,Vertical_Cash_flow!$B82,'Sourcing &amp; MRP payments'!$C:$C,Vertical_Cash_flow!$B$80)</f>
        <v>77754.600000000006</v>
      </c>
      <c r="W82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payments'!$D:$D,Vertical_Cash_flow!$B82,'Sourcing &amp; MRP payments'!$C:$C,Vertical_Cash_flow!$B$80)</f>
        <v>0</v>
      </c>
      <c r="X82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payments'!$D:$D,Vertical_Cash_flow!$B82,'Sourcing &amp; MRP payments'!$C:$C,Vertical_Cash_flow!T$80)</f>
        <v>0</v>
      </c>
      <c r="Y82" s="200">
        <f t="shared" ref="Y82:Y87" si="185">U82+V82+W82/$C$16+X82/$F$16</f>
        <v>77754.600000000006</v>
      </c>
      <c r="Z82" s="200">
        <f t="shared" si="177"/>
        <v>23326.38</v>
      </c>
      <c r="AA82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payments'!$D:$D,Vertical_Cash_flow!$B82,'Sourcing &amp; MRP payments'!$C:$C,Vertical_Cash_flow!$B$80)</f>
        <v>0</v>
      </c>
      <c r="AB82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payments'!$D:$D,Vertical_Cash_flow!$B82,'Sourcing &amp; MRP payments'!$C:$C,Vertical_Cash_flow!$B$80)</f>
        <v>77754.600000000006</v>
      </c>
      <c r="AC82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payments'!$D:$D,Vertical_Cash_flow!$B82,'Sourcing &amp; MRP payments'!$C:$C,Vertical_Cash_flow!$B$80)</f>
        <v>0</v>
      </c>
      <c r="AD82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payments'!$D:$D,Vertical_Cash_flow!$B82,'Sourcing &amp; MRP payments'!$C:$C,Vertical_Cash_flow!Z$80)</f>
        <v>0</v>
      </c>
      <c r="AE82" s="200">
        <f t="shared" ref="AE82:AE87" si="186">AA82+AB82+AC82/$C$16+AD82/$F$16</f>
        <v>77754.600000000006</v>
      </c>
      <c r="AF82" s="200">
        <f t="shared" si="178"/>
        <v>23326.38</v>
      </c>
      <c r="AG82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payments'!$D:$D,Vertical_Cash_flow!$B82,'Sourcing &amp; MRP payments'!$C:$C,Vertical_Cash_flow!$B$80)</f>
        <v>0</v>
      </c>
      <c r="AH82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payments'!$D:$D,Vertical_Cash_flow!$B82,'Sourcing &amp; MRP payments'!$C:$C,Vertical_Cash_flow!$B$80)</f>
        <v>77754.600000000006</v>
      </c>
      <c r="AI82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payments'!$D:$D,Vertical_Cash_flow!$B82,'Sourcing &amp; MRP payments'!$C:$C,Vertical_Cash_flow!$B$80)</f>
        <v>0</v>
      </c>
      <c r="AJ82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payments'!$D:$D,Vertical_Cash_flow!$B82,'Sourcing &amp; MRP payments'!$C:$C,Vertical_Cash_flow!AF$80)</f>
        <v>0</v>
      </c>
      <c r="AK82" s="200">
        <f t="shared" ref="AK82:AK87" si="187">AG82+AH82+AI82/$C$16+AJ82/$F$16</f>
        <v>77754.600000000006</v>
      </c>
      <c r="AL82" s="200">
        <f t="shared" si="179"/>
        <v>23326.38</v>
      </c>
      <c r="AM82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payments'!$D:$D,Vertical_Cash_flow!$B82,'Sourcing &amp; MRP payments'!$C:$C,Vertical_Cash_flow!$B$80)</f>
        <v>0</v>
      </c>
      <c r="AN82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payments'!$D:$D,Vertical_Cash_flow!$B82,'Sourcing &amp; MRP payments'!$C:$C,Vertical_Cash_flow!$B$80)</f>
        <v>77754.600000000006</v>
      </c>
      <c r="AO82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payments'!$D:$D,Vertical_Cash_flow!$B82,'Sourcing &amp; MRP payments'!$C:$C,Vertical_Cash_flow!$B$80)</f>
        <v>0</v>
      </c>
      <c r="AP82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payments'!$D:$D,Vertical_Cash_flow!$B82,'Sourcing &amp; MRP payments'!$C:$C,Vertical_Cash_flow!AL$80)</f>
        <v>0</v>
      </c>
      <c r="AQ82" s="200">
        <f t="shared" ref="AQ82:AQ87" si="188">AM82+AN82+AO82/$C$16+AP82/$F$16</f>
        <v>77754.600000000006</v>
      </c>
      <c r="AR82" s="200">
        <f t="shared" si="180"/>
        <v>23326.38</v>
      </c>
      <c r="AS82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payments'!$D:$D,Vertical_Cash_flow!$B82,'Sourcing &amp; MRP payments'!$C:$C,Vertical_Cash_flow!$B$80)</f>
        <v>0</v>
      </c>
      <c r="AT82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payments'!$D:$D,Vertical_Cash_flow!$B82,'Sourcing &amp; MRP payments'!$C:$C,Vertical_Cash_flow!$B$80)</f>
        <v>77754.600000000006</v>
      </c>
      <c r="AU82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payments'!$D:$D,Vertical_Cash_flow!$B82,'Sourcing &amp; MRP payments'!$C:$C,Vertical_Cash_flow!$B$80)</f>
        <v>0</v>
      </c>
      <c r="AV82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payments'!$D:$D,Vertical_Cash_flow!$B82,'Sourcing &amp; MRP payments'!$C:$C,Vertical_Cash_flow!AR$80)</f>
        <v>0</v>
      </c>
      <c r="AW82" s="200">
        <f t="shared" ref="AW82:AW87" si="189">AS82+AT82+AU82/$C$16+AV82/$F$16</f>
        <v>77754.600000000006</v>
      </c>
      <c r="AX82" s="200">
        <f t="shared" si="181"/>
        <v>23326.38</v>
      </c>
      <c r="AZ82" s="200">
        <f t="shared" si="173"/>
        <v>655627.77799999993</v>
      </c>
    </row>
    <row r="83" spans="1:52" outlineLevel="1" x14ac:dyDescent="0.2">
      <c r="A83" s="655"/>
      <c r="B83" s="33" t="s">
        <v>3403</v>
      </c>
      <c r="C83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payments'!$D:$D,Vertical_Cash_flow!$B83,'Sourcing &amp; MRP payments'!$C:$C,Vertical_Cash_flow!$B$80)</f>
        <v>0</v>
      </c>
      <c r="D83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payments'!$D:$D,Vertical_Cash_flow!$B83,'Sourcing &amp; MRP payments'!$C:$C,Vertical_Cash_flow!$B$80)</f>
        <v>77754.600000000006</v>
      </c>
      <c r="E83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payments'!$D:$D,Vertical_Cash_flow!$B83,'Sourcing &amp; MRP payments'!$C:$C,Vertical_Cash_flow!$B$80)</f>
        <v>0</v>
      </c>
      <c r="F83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payments'!$D:$D,Vertical_Cash_flow!$B83,'Sourcing &amp; MRP payments'!$C:$C,Vertical_Cash_flow!B$80)</f>
        <v>0</v>
      </c>
      <c r="G83" s="200">
        <f t="shared" si="182"/>
        <v>77754.600000000006</v>
      </c>
      <c r="H83" s="200">
        <f t="shared" si="174"/>
        <v>23326.38</v>
      </c>
      <c r="I83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payments'!$D:$D,Vertical_Cash_flow!$B83,'Sourcing &amp; MRP payments'!$C:$C,Vertical_Cash_flow!$B$80)</f>
        <v>0</v>
      </c>
      <c r="J83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payments'!$D:$D,Vertical_Cash_flow!$B83,'Sourcing &amp; MRP payments'!$C:$C,Vertical_Cash_flow!$B$80)</f>
        <v>77754.600000000006</v>
      </c>
      <c r="K83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payments'!$D:$D,Vertical_Cash_flow!$B83,'Sourcing &amp; MRP payments'!$C:$C,Vertical_Cash_flow!$B$80)</f>
        <v>0</v>
      </c>
      <c r="L83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payments'!$D:$D,Vertical_Cash_flow!$B83,'Sourcing &amp; MRP payments'!$C:$C,Vertical_Cash_flow!H$80)</f>
        <v>0</v>
      </c>
      <c r="M83" s="200">
        <f t="shared" si="183"/>
        <v>77754.600000000006</v>
      </c>
      <c r="N83" s="200">
        <f t="shared" si="175"/>
        <v>23326.38</v>
      </c>
      <c r="O83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payments'!$D:$D,Vertical_Cash_flow!$B83,'Sourcing &amp; MRP payments'!$C:$C,Vertical_Cash_flow!$B$80)</f>
        <v>0</v>
      </c>
      <c r="P83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payments'!$D:$D,Vertical_Cash_flow!$B83,'Sourcing &amp; MRP payments'!$C:$C,Vertical_Cash_flow!$B$80)</f>
        <v>77754.600000000006</v>
      </c>
      <c r="Q83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payments'!$D:$D,Vertical_Cash_flow!$B83,'Sourcing &amp; MRP payments'!$C:$C,Vertical_Cash_flow!$B$80)</f>
        <v>0</v>
      </c>
      <c r="R83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payments'!$D:$D,Vertical_Cash_flow!$B83,'Sourcing &amp; MRP payments'!$C:$C,Vertical_Cash_flow!N$80)</f>
        <v>0</v>
      </c>
      <c r="S83" s="200">
        <f t="shared" si="184"/>
        <v>77754.600000000006</v>
      </c>
      <c r="T83" s="200">
        <f t="shared" si="176"/>
        <v>23326.38</v>
      </c>
      <c r="U83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payments'!$D:$D,Vertical_Cash_flow!$B83,'Sourcing &amp; MRP payments'!$C:$C,Vertical_Cash_flow!$B$80)</f>
        <v>0</v>
      </c>
      <c r="V83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payments'!$D:$D,Vertical_Cash_flow!$B83,'Sourcing &amp; MRP payments'!$C:$C,Vertical_Cash_flow!$B$80)</f>
        <v>77754.600000000006</v>
      </c>
      <c r="W83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payments'!$D:$D,Vertical_Cash_flow!$B83,'Sourcing &amp; MRP payments'!$C:$C,Vertical_Cash_flow!$B$80)</f>
        <v>0</v>
      </c>
      <c r="X83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payments'!$D:$D,Vertical_Cash_flow!$B83,'Sourcing &amp; MRP payments'!$C:$C,Vertical_Cash_flow!T$80)</f>
        <v>0</v>
      </c>
      <c r="Y83" s="200">
        <f t="shared" si="185"/>
        <v>77754.600000000006</v>
      </c>
      <c r="Z83" s="200">
        <f t="shared" si="177"/>
        <v>23326.38</v>
      </c>
      <c r="AA83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payments'!$D:$D,Vertical_Cash_flow!$B83,'Sourcing &amp; MRP payments'!$C:$C,Vertical_Cash_flow!$B$80)</f>
        <v>0</v>
      </c>
      <c r="AB83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payments'!$D:$D,Vertical_Cash_flow!$B83,'Sourcing &amp; MRP payments'!$C:$C,Vertical_Cash_flow!$B$80)</f>
        <v>77754.600000000006</v>
      </c>
      <c r="AC83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payments'!$D:$D,Vertical_Cash_flow!$B83,'Sourcing &amp; MRP payments'!$C:$C,Vertical_Cash_flow!$B$80)</f>
        <v>0</v>
      </c>
      <c r="AD83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payments'!$D:$D,Vertical_Cash_flow!$B83,'Sourcing &amp; MRP payments'!$C:$C,Vertical_Cash_flow!Z$80)</f>
        <v>0</v>
      </c>
      <c r="AE83" s="200">
        <f t="shared" si="186"/>
        <v>77754.600000000006</v>
      </c>
      <c r="AF83" s="200">
        <f t="shared" si="178"/>
        <v>23326.38</v>
      </c>
      <c r="AG83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payments'!$D:$D,Vertical_Cash_flow!$B83,'Sourcing &amp; MRP payments'!$C:$C,Vertical_Cash_flow!$B$80)</f>
        <v>0</v>
      </c>
      <c r="AH83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payments'!$D:$D,Vertical_Cash_flow!$B83,'Sourcing &amp; MRP payments'!$C:$C,Vertical_Cash_flow!$B$80)</f>
        <v>77754.600000000006</v>
      </c>
      <c r="AI83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payments'!$D:$D,Vertical_Cash_flow!$B83,'Sourcing &amp; MRP payments'!$C:$C,Vertical_Cash_flow!$B$80)</f>
        <v>0</v>
      </c>
      <c r="AJ83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payments'!$D:$D,Vertical_Cash_flow!$B83,'Sourcing &amp; MRP payments'!$C:$C,Vertical_Cash_flow!AF$80)</f>
        <v>0</v>
      </c>
      <c r="AK83" s="200">
        <f t="shared" si="187"/>
        <v>77754.600000000006</v>
      </c>
      <c r="AL83" s="200">
        <f t="shared" si="179"/>
        <v>23326.38</v>
      </c>
      <c r="AM83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payments'!$D:$D,Vertical_Cash_flow!$B83,'Sourcing &amp; MRP payments'!$C:$C,Vertical_Cash_flow!$B$80)</f>
        <v>0</v>
      </c>
      <c r="AN83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payments'!$D:$D,Vertical_Cash_flow!$B83,'Sourcing &amp; MRP payments'!$C:$C,Vertical_Cash_flow!$B$80)</f>
        <v>77754.600000000006</v>
      </c>
      <c r="AO83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payments'!$D:$D,Vertical_Cash_flow!$B83,'Sourcing &amp; MRP payments'!$C:$C,Vertical_Cash_flow!$B$80)</f>
        <v>0</v>
      </c>
      <c r="AP83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payments'!$D:$D,Vertical_Cash_flow!$B83,'Sourcing &amp; MRP payments'!$C:$C,Vertical_Cash_flow!AL$80)</f>
        <v>0</v>
      </c>
      <c r="AQ83" s="200">
        <f t="shared" si="188"/>
        <v>77754.600000000006</v>
      </c>
      <c r="AR83" s="200">
        <f t="shared" si="180"/>
        <v>23326.38</v>
      </c>
      <c r="AS83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payments'!$D:$D,Vertical_Cash_flow!$B83,'Sourcing &amp; MRP payments'!$C:$C,Vertical_Cash_flow!$B$80)</f>
        <v>0</v>
      </c>
      <c r="AT83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payments'!$D:$D,Vertical_Cash_flow!$B83,'Sourcing &amp; MRP payments'!$C:$C,Vertical_Cash_flow!$B$80)</f>
        <v>77754.600000000006</v>
      </c>
      <c r="AU83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payments'!$D:$D,Vertical_Cash_flow!$B83,'Sourcing &amp; MRP payments'!$C:$C,Vertical_Cash_flow!$B$80)</f>
        <v>0</v>
      </c>
      <c r="AV83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payments'!$D:$D,Vertical_Cash_flow!$B83,'Sourcing &amp; MRP payments'!$C:$C,Vertical_Cash_flow!AR$80)</f>
        <v>0</v>
      </c>
      <c r="AW83" s="200">
        <f t="shared" si="189"/>
        <v>77754.600000000006</v>
      </c>
      <c r="AX83" s="200">
        <f t="shared" si="181"/>
        <v>23326.38</v>
      </c>
      <c r="AZ83" s="200">
        <f t="shared" si="173"/>
        <v>622036.79999999993</v>
      </c>
    </row>
    <row r="84" spans="1:52" outlineLevel="1" x14ac:dyDescent="0.2">
      <c r="A84" s="655"/>
      <c r="B84" s="189" t="s">
        <v>3400</v>
      </c>
      <c r="C84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payments'!$D:$D,Vertical_Cash_flow!$B84,'Sourcing &amp; MRP payments'!$C:$C,Vertical_Cash_flow!$B$80)</f>
        <v>0</v>
      </c>
      <c r="D84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payments'!$D:$D,Vertical_Cash_flow!$B84,'Sourcing &amp; MRP payments'!$C:$C,Vertical_Cash_flow!$B$80)</f>
        <v>64795.500000000007</v>
      </c>
      <c r="E84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payments'!$D:$D,Vertical_Cash_flow!$B84,'Sourcing &amp; MRP payments'!$C:$C,Vertical_Cash_flow!$B$80)</f>
        <v>0</v>
      </c>
      <c r="F84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payments'!$D:$D,Vertical_Cash_flow!$B84,'Sourcing &amp; MRP payments'!$C:$C,Vertical_Cash_flow!B$80)</f>
        <v>0</v>
      </c>
      <c r="G84" s="200">
        <f t="shared" si="182"/>
        <v>64795.500000000007</v>
      </c>
      <c r="H84" s="200">
        <f t="shared" si="174"/>
        <v>19438.650000000001</v>
      </c>
      <c r="I84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payments'!$D:$D,Vertical_Cash_flow!$B84,'Sourcing &amp; MRP payments'!$C:$C,Vertical_Cash_flow!$B$80)</f>
        <v>0</v>
      </c>
      <c r="J84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payments'!$D:$D,Vertical_Cash_flow!$B84,'Sourcing &amp; MRP payments'!$C:$C,Vertical_Cash_flow!$B$80)</f>
        <v>64795.500000000007</v>
      </c>
      <c r="K84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payments'!$D:$D,Vertical_Cash_flow!$B84,'Sourcing &amp; MRP payments'!$C:$C,Vertical_Cash_flow!$B$80)</f>
        <v>0</v>
      </c>
      <c r="L84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payments'!$D:$D,Vertical_Cash_flow!$B84,'Sourcing &amp; MRP payments'!$C:$C,Vertical_Cash_flow!H$80)</f>
        <v>0</v>
      </c>
      <c r="M84" s="200">
        <f t="shared" si="183"/>
        <v>64795.500000000007</v>
      </c>
      <c r="N84" s="200">
        <f t="shared" si="175"/>
        <v>19438.650000000001</v>
      </c>
      <c r="O84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payments'!$D:$D,Vertical_Cash_flow!$B84,'Sourcing &amp; MRP payments'!$C:$C,Vertical_Cash_flow!$B$80)</f>
        <v>0</v>
      </c>
      <c r="P84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payments'!$D:$D,Vertical_Cash_flow!$B84,'Sourcing &amp; MRP payments'!$C:$C,Vertical_Cash_flow!$B$80)</f>
        <v>64795.500000000007</v>
      </c>
      <c r="Q84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payments'!$D:$D,Vertical_Cash_flow!$B84,'Sourcing &amp; MRP payments'!$C:$C,Vertical_Cash_flow!$B$80)</f>
        <v>0</v>
      </c>
      <c r="R84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payments'!$D:$D,Vertical_Cash_flow!$B84,'Sourcing &amp; MRP payments'!$C:$C,Vertical_Cash_flow!N$80)</f>
        <v>0</v>
      </c>
      <c r="S84" s="200">
        <f t="shared" si="184"/>
        <v>64795.500000000007</v>
      </c>
      <c r="T84" s="200">
        <f t="shared" si="176"/>
        <v>19438.650000000001</v>
      </c>
      <c r="U84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payments'!$D:$D,Vertical_Cash_flow!$B84,'Sourcing &amp; MRP payments'!$C:$C,Vertical_Cash_flow!$B$80)</f>
        <v>0</v>
      </c>
      <c r="V84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payments'!$D:$D,Vertical_Cash_flow!$B84,'Sourcing &amp; MRP payments'!$C:$C,Vertical_Cash_flow!$B$80)</f>
        <v>64795.500000000007</v>
      </c>
      <c r="W84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payments'!$D:$D,Vertical_Cash_flow!$B84,'Sourcing &amp; MRP payments'!$C:$C,Vertical_Cash_flow!$B$80)</f>
        <v>0</v>
      </c>
      <c r="X84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payments'!$D:$D,Vertical_Cash_flow!$B84,'Sourcing &amp; MRP payments'!$C:$C,Vertical_Cash_flow!T$80)</f>
        <v>0</v>
      </c>
      <c r="Y84" s="200">
        <f t="shared" si="185"/>
        <v>64795.500000000007</v>
      </c>
      <c r="Z84" s="200">
        <f t="shared" si="177"/>
        <v>19438.650000000001</v>
      </c>
      <c r="AA84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payments'!$D:$D,Vertical_Cash_flow!$B84,'Sourcing &amp; MRP payments'!$C:$C,Vertical_Cash_flow!$B$80)</f>
        <v>0</v>
      </c>
      <c r="AB84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payments'!$D:$D,Vertical_Cash_flow!$B84,'Sourcing &amp; MRP payments'!$C:$C,Vertical_Cash_flow!$B$80)</f>
        <v>64795.500000000007</v>
      </c>
      <c r="AC84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payments'!$D:$D,Vertical_Cash_flow!$B84,'Sourcing &amp; MRP payments'!$C:$C,Vertical_Cash_flow!$B$80)</f>
        <v>0</v>
      </c>
      <c r="AD84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payments'!$D:$D,Vertical_Cash_flow!$B84,'Sourcing &amp; MRP payments'!$C:$C,Vertical_Cash_flow!Z$80)</f>
        <v>0</v>
      </c>
      <c r="AE84" s="200">
        <f t="shared" si="186"/>
        <v>64795.500000000007</v>
      </c>
      <c r="AF84" s="200">
        <f t="shared" si="178"/>
        <v>19438.650000000001</v>
      </c>
      <c r="AG84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payments'!$D:$D,Vertical_Cash_flow!$B84,'Sourcing &amp; MRP payments'!$C:$C,Vertical_Cash_flow!$B$80)</f>
        <v>0</v>
      </c>
      <c r="AH84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payments'!$D:$D,Vertical_Cash_flow!$B84,'Sourcing &amp; MRP payments'!$C:$C,Vertical_Cash_flow!$B$80)</f>
        <v>64795.500000000007</v>
      </c>
      <c r="AI84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payments'!$D:$D,Vertical_Cash_flow!$B84,'Sourcing &amp; MRP payments'!$C:$C,Vertical_Cash_flow!$B$80)</f>
        <v>0</v>
      </c>
      <c r="AJ84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payments'!$D:$D,Vertical_Cash_flow!$B84,'Sourcing &amp; MRP payments'!$C:$C,Vertical_Cash_flow!AF$80)</f>
        <v>0</v>
      </c>
      <c r="AK84" s="200">
        <f t="shared" si="187"/>
        <v>64795.500000000007</v>
      </c>
      <c r="AL84" s="200">
        <f t="shared" si="179"/>
        <v>19438.650000000001</v>
      </c>
      <c r="AM84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payments'!$D:$D,Vertical_Cash_flow!$B84,'Sourcing &amp; MRP payments'!$C:$C,Vertical_Cash_flow!$B$80)</f>
        <v>0</v>
      </c>
      <c r="AN84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payments'!$D:$D,Vertical_Cash_flow!$B84,'Sourcing &amp; MRP payments'!$C:$C,Vertical_Cash_flow!$B$80)</f>
        <v>64795.500000000007</v>
      </c>
      <c r="AO84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payments'!$D:$D,Vertical_Cash_flow!$B84,'Sourcing &amp; MRP payments'!$C:$C,Vertical_Cash_flow!$B$80)</f>
        <v>0</v>
      </c>
      <c r="AP84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payments'!$D:$D,Vertical_Cash_flow!$B84,'Sourcing &amp; MRP payments'!$C:$C,Vertical_Cash_flow!AL$80)</f>
        <v>0</v>
      </c>
      <c r="AQ84" s="200">
        <f t="shared" si="188"/>
        <v>64795.500000000007</v>
      </c>
      <c r="AR84" s="200">
        <f t="shared" si="180"/>
        <v>19438.650000000001</v>
      </c>
      <c r="AS84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payments'!$D:$D,Vertical_Cash_flow!$B84,'Sourcing &amp; MRP payments'!$C:$C,Vertical_Cash_flow!$B$80)</f>
        <v>0</v>
      </c>
      <c r="AT84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payments'!$D:$D,Vertical_Cash_flow!$B84,'Sourcing &amp; MRP payments'!$C:$C,Vertical_Cash_flow!$B$80)</f>
        <v>64795.500000000007</v>
      </c>
      <c r="AU84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payments'!$D:$D,Vertical_Cash_flow!$B84,'Sourcing &amp; MRP payments'!$C:$C,Vertical_Cash_flow!$B$80)</f>
        <v>0</v>
      </c>
      <c r="AV84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payments'!$D:$D,Vertical_Cash_flow!$B84,'Sourcing &amp; MRP payments'!$C:$C,Vertical_Cash_flow!AR$80)</f>
        <v>0</v>
      </c>
      <c r="AW84" s="200">
        <f t="shared" si="189"/>
        <v>64795.500000000007</v>
      </c>
      <c r="AX84" s="200">
        <f t="shared" si="181"/>
        <v>19438.650000000001</v>
      </c>
      <c r="AZ84" s="200">
        <f t="shared" si="173"/>
        <v>518364.00000000006</v>
      </c>
    </row>
    <row r="85" spans="1:52" outlineLevel="1" x14ac:dyDescent="0.2">
      <c r="A85" s="655"/>
      <c r="B85" s="189" t="s">
        <v>1013</v>
      </c>
      <c r="C85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payments'!$D:$D,Vertical_Cash_flow!$B85,'Sourcing &amp; MRP payments'!$C:$C,Vertical_Cash_flow!$B$80)</f>
        <v>0</v>
      </c>
      <c r="D85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payments'!$D:$D,Vertical_Cash_flow!$B85,'Sourcing &amp; MRP payments'!$C:$C,Vertical_Cash_flow!$B$80)</f>
        <v>0</v>
      </c>
      <c r="E85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payments'!$D:$D,Vertical_Cash_flow!$B85,'Sourcing &amp; MRP payments'!$C:$C,Vertical_Cash_flow!$B$80)</f>
        <v>0</v>
      </c>
      <c r="F85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payments'!$D:$D,Vertical_Cash_flow!$B85,'Sourcing &amp; MRP payments'!$C:$C,Vertical_Cash_flow!B$80)</f>
        <v>0</v>
      </c>
      <c r="G85" s="200">
        <f t="shared" si="182"/>
        <v>0</v>
      </c>
      <c r="H85" s="200">
        <f t="shared" si="174"/>
        <v>0</v>
      </c>
      <c r="I85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payments'!$D:$D,Vertical_Cash_flow!$B85,'Sourcing &amp; MRP payments'!$C:$C,Vertical_Cash_flow!$B$80)</f>
        <v>0</v>
      </c>
      <c r="J85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payments'!$D:$D,Vertical_Cash_flow!$B85,'Sourcing &amp; MRP payments'!$C:$C,Vertical_Cash_flow!$B$80)</f>
        <v>0</v>
      </c>
      <c r="K85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payments'!$D:$D,Vertical_Cash_flow!$B85,'Sourcing &amp; MRP payments'!$C:$C,Vertical_Cash_flow!$B$80)</f>
        <v>0</v>
      </c>
      <c r="L85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payments'!$D:$D,Vertical_Cash_flow!$B85,'Sourcing &amp; MRP payments'!$C:$C,Vertical_Cash_flow!H$80)</f>
        <v>0</v>
      </c>
      <c r="M85" s="200">
        <f t="shared" si="183"/>
        <v>0</v>
      </c>
      <c r="N85" s="200">
        <f t="shared" si="175"/>
        <v>0</v>
      </c>
      <c r="O85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payments'!$D:$D,Vertical_Cash_flow!$B85,'Sourcing &amp; MRP payments'!$C:$C,Vertical_Cash_flow!$B$80)</f>
        <v>0</v>
      </c>
      <c r="P85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payments'!$D:$D,Vertical_Cash_flow!$B85,'Sourcing &amp; MRP payments'!$C:$C,Vertical_Cash_flow!$B$80)</f>
        <v>0</v>
      </c>
      <c r="Q85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payments'!$D:$D,Vertical_Cash_flow!$B85,'Sourcing &amp; MRP payments'!$C:$C,Vertical_Cash_flow!$B$80)</f>
        <v>0</v>
      </c>
      <c r="R85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payments'!$D:$D,Vertical_Cash_flow!$B85,'Sourcing &amp; MRP payments'!$C:$C,Vertical_Cash_flow!N$80)</f>
        <v>0</v>
      </c>
      <c r="S85" s="200">
        <f t="shared" si="184"/>
        <v>0</v>
      </c>
      <c r="T85" s="200">
        <f t="shared" si="176"/>
        <v>0</v>
      </c>
      <c r="U85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payments'!$D:$D,Vertical_Cash_flow!$B85,'Sourcing &amp; MRP payments'!$C:$C,Vertical_Cash_flow!$B$80)</f>
        <v>0</v>
      </c>
      <c r="V85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payments'!$D:$D,Vertical_Cash_flow!$B85,'Sourcing &amp; MRP payments'!$C:$C,Vertical_Cash_flow!$B$80)</f>
        <v>0</v>
      </c>
      <c r="W85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payments'!$D:$D,Vertical_Cash_flow!$B85,'Sourcing &amp; MRP payments'!$C:$C,Vertical_Cash_flow!$B$80)</f>
        <v>0</v>
      </c>
      <c r="X85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payments'!$D:$D,Vertical_Cash_flow!$B85,'Sourcing &amp; MRP payments'!$C:$C,Vertical_Cash_flow!T$80)</f>
        <v>0</v>
      </c>
      <c r="Y85" s="200">
        <f t="shared" si="185"/>
        <v>0</v>
      </c>
      <c r="Z85" s="200">
        <f t="shared" si="177"/>
        <v>0</v>
      </c>
      <c r="AA85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payments'!$D:$D,Vertical_Cash_flow!$B85,'Sourcing &amp; MRP payments'!$C:$C,Vertical_Cash_flow!$B$80)</f>
        <v>0</v>
      </c>
      <c r="AB85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payments'!$D:$D,Vertical_Cash_flow!$B85,'Sourcing &amp; MRP payments'!$C:$C,Vertical_Cash_flow!$B$80)</f>
        <v>0</v>
      </c>
      <c r="AC85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payments'!$D:$D,Vertical_Cash_flow!$B85,'Sourcing &amp; MRP payments'!$C:$C,Vertical_Cash_flow!$B$80)</f>
        <v>0</v>
      </c>
      <c r="AD85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payments'!$D:$D,Vertical_Cash_flow!$B85,'Sourcing &amp; MRP payments'!$C:$C,Vertical_Cash_flow!Z$80)</f>
        <v>0</v>
      </c>
      <c r="AE85" s="200">
        <f t="shared" si="186"/>
        <v>0</v>
      </c>
      <c r="AF85" s="200">
        <f t="shared" si="178"/>
        <v>0</v>
      </c>
      <c r="AG85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payments'!$D:$D,Vertical_Cash_flow!$B85,'Sourcing &amp; MRP payments'!$C:$C,Vertical_Cash_flow!$B$80)</f>
        <v>0</v>
      </c>
      <c r="AH85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payments'!$D:$D,Vertical_Cash_flow!$B85,'Sourcing &amp; MRP payments'!$C:$C,Vertical_Cash_flow!$B$80)</f>
        <v>0</v>
      </c>
      <c r="AI85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payments'!$D:$D,Vertical_Cash_flow!$B85,'Sourcing &amp; MRP payments'!$C:$C,Vertical_Cash_flow!$B$80)</f>
        <v>0</v>
      </c>
      <c r="AJ85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payments'!$D:$D,Vertical_Cash_flow!$B85,'Sourcing &amp; MRP payments'!$C:$C,Vertical_Cash_flow!AF$80)</f>
        <v>0</v>
      </c>
      <c r="AK85" s="200">
        <f t="shared" si="187"/>
        <v>0</v>
      </c>
      <c r="AL85" s="200">
        <f t="shared" si="179"/>
        <v>0</v>
      </c>
      <c r="AM85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payments'!$D:$D,Vertical_Cash_flow!$B85,'Sourcing &amp; MRP payments'!$C:$C,Vertical_Cash_flow!$B$80)</f>
        <v>0</v>
      </c>
      <c r="AN85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payments'!$D:$D,Vertical_Cash_flow!$B85,'Sourcing &amp; MRP payments'!$C:$C,Vertical_Cash_flow!$B$80)</f>
        <v>0</v>
      </c>
      <c r="AO85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payments'!$D:$D,Vertical_Cash_flow!$B85,'Sourcing &amp; MRP payments'!$C:$C,Vertical_Cash_flow!$B$80)</f>
        <v>0</v>
      </c>
      <c r="AP85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payments'!$D:$D,Vertical_Cash_flow!$B85,'Sourcing &amp; MRP payments'!$C:$C,Vertical_Cash_flow!AL$80)</f>
        <v>0</v>
      </c>
      <c r="AQ85" s="200">
        <f t="shared" si="188"/>
        <v>0</v>
      </c>
      <c r="AR85" s="200">
        <f t="shared" si="180"/>
        <v>0</v>
      </c>
      <c r="AS85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payments'!$D:$D,Vertical_Cash_flow!$B85,'Sourcing &amp; MRP payments'!$C:$C,Vertical_Cash_flow!$B$80)</f>
        <v>0</v>
      </c>
      <c r="AT85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payments'!$D:$D,Vertical_Cash_flow!$B85,'Sourcing &amp; MRP payments'!$C:$C,Vertical_Cash_flow!$B$80)</f>
        <v>0</v>
      </c>
      <c r="AU85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payments'!$D:$D,Vertical_Cash_flow!$B85,'Sourcing &amp; MRP payments'!$C:$C,Vertical_Cash_flow!$B$80)</f>
        <v>0</v>
      </c>
      <c r="AV85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payments'!$D:$D,Vertical_Cash_flow!$B85,'Sourcing &amp; MRP payments'!$C:$C,Vertical_Cash_flow!AR$80)</f>
        <v>0</v>
      </c>
      <c r="AW85" s="200">
        <f t="shared" si="189"/>
        <v>0</v>
      </c>
      <c r="AX85" s="200">
        <f t="shared" si="181"/>
        <v>0</v>
      </c>
      <c r="AZ85" s="200">
        <f t="shared" si="173"/>
        <v>0</v>
      </c>
    </row>
    <row r="86" spans="1:52" outlineLevel="1" x14ac:dyDescent="0.2">
      <c r="A86" s="655"/>
      <c r="B86" s="189" t="s">
        <v>3402</v>
      </c>
      <c r="C86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payments'!$D:$D,Vertical_Cash_flow!$B86,'Sourcing &amp; MRP payments'!$C:$C,Vertical_Cash_flow!$B$80)</f>
        <v>0</v>
      </c>
      <c r="D86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payments'!$D:$D,Vertical_Cash_flow!$B86,'Sourcing &amp; MRP payments'!$C:$C,Vertical_Cash_flow!$B$80)</f>
        <v>0</v>
      </c>
      <c r="E86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payments'!$D:$D,Vertical_Cash_flow!$B86,'Sourcing &amp; MRP payments'!$C:$C,Vertical_Cash_flow!$B$80)</f>
        <v>388933.35</v>
      </c>
      <c r="F86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payments'!$D:$D,Vertical_Cash_flow!$B86,'Sourcing &amp; MRP payments'!$C:$C,Vertical_Cash_flow!B$80)</f>
        <v>0</v>
      </c>
      <c r="G86" s="200">
        <f t="shared" si="182"/>
        <v>1296444.5</v>
      </c>
      <c r="H86" s="200">
        <f t="shared" ref="H86" si="190">G86*$C$16</f>
        <v>388933.35</v>
      </c>
      <c r="I86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payments'!$D:$D,Vertical_Cash_flow!$B86,'Sourcing &amp; MRP payments'!$C:$C,Vertical_Cash_flow!$B$80)</f>
        <v>0</v>
      </c>
      <c r="J86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payments'!$D:$D,Vertical_Cash_flow!$B86,'Sourcing &amp; MRP payments'!$C:$C,Vertical_Cash_flow!$B$80)</f>
        <v>0</v>
      </c>
      <c r="K86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payments'!$D:$D,Vertical_Cash_flow!$B86,'Sourcing &amp; MRP payments'!$C:$C,Vertical_Cash_flow!$B$80)</f>
        <v>0</v>
      </c>
      <c r="L86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payments'!$D:$D,Vertical_Cash_flow!$B86,'Sourcing &amp; MRP payments'!$C:$C,Vertical_Cash_flow!H$80)</f>
        <v>0</v>
      </c>
      <c r="M86" s="200">
        <f t="shared" si="183"/>
        <v>0</v>
      </c>
      <c r="N86" s="200">
        <f t="shared" ref="N86" si="191">M86*$C$16</f>
        <v>0</v>
      </c>
      <c r="O86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payments'!$D:$D,Vertical_Cash_flow!$B86,'Sourcing &amp; MRP payments'!$C:$C,Vertical_Cash_flow!$B$80)</f>
        <v>0</v>
      </c>
      <c r="P86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payments'!$D:$D,Vertical_Cash_flow!$B86,'Sourcing &amp; MRP payments'!$C:$C,Vertical_Cash_flow!$B$80)</f>
        <v>0</v>
      </c>
      <c r="Q86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payments'!$D:$D,Vertical_Cash_flow!$B86,'Sourcing &amp; MRP payments'!$C:$C,Vertical_Cash_flow!$B$80)</f>
        <v>397474.06</v>
      </c>
      <c r="R86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payments'!$D:$D,Vertical_Cash_flow!$B86,'Sourcing &amp; MRP payments'!$C:$C,Vertical_Cash_flow!N$80)</f>
        <v>0</v>
      </c>
      <c r="S86" s="200">
        <f t="shared" si="184"/>
        <v>1324913.5333333334</v>
      </c>
      <c r="T86" s="200">
        <f t="shared" ref="T86" si="192">S86*$C$16</f>
        <v>397474.06</v>
      </c>
      <c r="U86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payments'!$D:$D,Vertical_Cash_flow!$B86,'Sourcing &amp; MRP payments'!$C:$C,Vertical_Cash_flow!$B$80)</f>
        <v>0</v>
      </c>
      <c r="V86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payments'!$D:$D,Vertical_Cash_flow!$B86,'Sourcing &amp; MRP payments'!$C:$C,Vertical_Cash_flow!$B$80)</f>
        <v>0</v>
      </c>
      <c r="W86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payments'!$D:$D,Vertical_Cash_flow!$B86,'Sourcing &amp; MRP payments'!$C:$C,Vertical_Cash_flow!$B$80)</f>
        <v>0</v>
      </c>
      <c r="X86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payments'!$D:$D,Vertical_Cash_flow!$B86,'Sourcing &amp; MRP payments'!$C:$C,Vertical_Cash_flow!T$80)</f>
        <v>0</v>
      </c>
      <c r="Y86" s="200">
        <f t="shared" si="185"/>
        <v>0</v>
      </c>
      <c r="Z86" s="200">
        <f t="shared" ref="Z86" si="193">Y86*$C$16</f>
        <v>0</v>
      </c>
      <c r="AA86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payments'!$D:$D,Vertical_Cash_flow!$B86,'Sourcing &amp; MRP payments'!$C:$C,Vertical_Cash_flow!$B$80)</f>
        <v>0</v>
      </c>
      <c r="AB86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payments'!$D:$D,Vertical_Cash_flow!$B86,'Sourcing &amp; MRP payments'!$C:$C,Vertical_Cash_flow!$B$80)</f>
        <v>0</v>
      </c>
      <c r="AC86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payments'!$D:$D,Vertical_Cash_flow!$B86,'Sourcing &amp; MRP payments'!$C:$C,Vertical_Cash_flow!$B$80)</f>
        <v>0</v>
      </c>
      <c r="AD86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payments'!$D:$D,Vertical_Cash_flow!$B86,'Sourcing &amp; MRP payments'!$C:$C,Vertical_Cash_flow!Z$80)</f>
        <v>0</v>
      </c>
      <c r="AE86" s="200">
        <f t="shared" si="186"/>
        <v>0</v>
      </c>
      <c r="AF86" s="200">
        <f t="shared" ref="AF86" si="194">AE86*$C$16</f>
        <v>0</v>
      </c>
      <c r="AG86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payments'!$D:$D,Vertical_Cash_flow!$B86,'Sourcing &amp; MRP payments'!$C:$C,Vertical_Cash_flow!$B$80)</f>
        <v>0</v>
      </c>
      <c r="AH86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payments'!$D:$D,Vertical_Cash_flow!$B86,'Sourcing &amp; MRP payments'!$C:$C,Vertical_Cash_flow!$B$80)</f>
        <v>0</v>
      </c>
      <c r="AI86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payments'!$D:$D,Vertical_Cash_flow!$B86,'Sourcing &amp; MRP payments'!$C:$C,Vertical_Cash_flow!$B$80)</f>
        <v>0</v>
      </c>
      <c r="AJ86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payments'!$D:$D,Vertical_Cash_flow!$B86,'Sourcing &amp; MRP payments'!$C:$C,Vertical_Cash_flow!AF$80)</f>
        <v>0</v>
      </c>
      <c r="AK86" s="200">
        <f t="shared" si="187"/>
        <v>0</v>
      </c>
      <c r="AL86" s="200">
        <f t="shared" ref="AL86" si="195">AK86*$C$16</f>
        <v>0</v>
      </c>
      <c r="AM86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payments'!$D:$D,Vertical_Cash_flow!$B86,'Sourcing &amp; MRP payments'!$C:$C,Vertical_Cash_flow!$B$80)</f>
        <v>0</v>
      </c>
      <c r="AN86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payments'!$D:$D,Vertical_Cash_flow!$B86,'Sourcing &amp; MRP payments'!$C:$C,Vertical_Cash_flow!$B$80)</f>
        <v>0</v>
      </c>
      <c r="AO86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payments'!$D:$D,Vertical_Cash_flow!$B86,'Sourcing &amp; MRP payments'!$C:$C,Vertical_Cash_flow!$B$80)</f>
        <v>0</v>
      </c>
      <c r="AP86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payments'!$D:$D,Vertical_Cash_flow!$B86,'Sourcing &amp; MRP payments'!$C:$C,Vertical_Cash_flow!AL$80)</f>
        <v>0</v>
      </c>
      <c r="AQ86" s="200">
        <f t="shared" si="188"/>
        <v>0</v>
      </c>
      <c r="AR86" s="200">
        <f t="shared" ref="AR86" si="196">AQ86*$C$16</f>
        <v>0</v>
      </c>
      <c r="AS86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payments'!$D:$D,Vertical_Cash_flow!$B86,'Sourcing &amp; MRP payments'!$C:$C,Vertical_Cash_flow!$B$80)</f>
        <v>0</v>
      </c>
      <c r="AT86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payments'!$D:$D,Vertical_Cash_flow!$B86,'Sourcing &amp; MRP payments'!$C:$C,Vertical_Cash_flow!$B$80)</f>
        <v>0</v>
      </c>
      <c r="AU86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payments'!$D:$D,Vertical_Cash_flow!$B86,'Sourcing &amp; MRP payments'!$C:$C,Vertical_Cash_flow!$B$80)</f>
        <v>0</v>
      </c>
      <c r="AV86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payments'!$D:$D,Vertical_Cash_flow!$B86,'Sourcing &amp; MRP payments'!$C:$C,Vertical_Cash_flow!AR$80)</f>
        <v>0</v>
      </c>
      <c r="AW86" s="200">
        <f t="shared" si="189"/>
        <v>0</v>
      </c>
      <c r="AX86" s="200">
        <f t="shared" ref="AX86" si="197">AW86*$C$16</f>
        <v>0</v>
      </c>
      <c r="AZ86" s="200">
        <f t="shared" si="173"/>
        <v>2621358.0333333332</v>
      </c>
    </row>
    <row r="87" spans="1:52" outlineLevel="1" x14ac:dyDescent="0.2">
      <c r="A87" s="655"/>
      <c r="B87" s="189" t="s">
        <v>3401</v>
      </c>
      <c r="C87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payments'!$D:$D,Vertical_Cash_flow!$B87,'Sourcing &amp; MRP payments'!$C:$C,Vertical_Cash_flow!$B$80)</f>
        <v>0</v>
      </c>
      <c r="D87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payments'!$D:$D,Vertical_Cash_flow!$B87,'Sourcing &amp; MRP payments'!$C:$C,Vertical_Cash_flow!$B$80)</f>
        <v>64795.500000000007</v>
      </c>
      <c r="E87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payments'!$D:$D,Vertical_Cash_flow!$B87,'Sourcing &amp; MRP payments'!$C:$C,Vertical_Cash_flow!$B$80)</f>
        <v>0</v>
      </c>
      <c r="F87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payments'!$D:$D,Vertical_Cash_flow!$B87,'Sourcing &amp; MRP payments'!$C:$C,Vertical_Cash_flow!B$80)</f>
        <v>0</v>
      </c>
      <c r="G87" s="200">
        <f t="shared" si="182"/>
        <v>64795.500000000007</v>
      </c>
      <c r="H87" s="200">
        <f t="shared" si="174"/>
        <v>19438.650000000001</v>
      </c>
      <c r="I87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payments'!$D:$D,Vertical_Cash_flow!$B87,'Sourcing &amp; MRP payments'!$C:$C,Vertical_Cash_flow!$B$80)</f>
        <v>0</v>
      </c>
      <c r="J87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payments'!$D:$D,Vertical_Cash_flow!$B87,'Sourcing &amp; MRP payments'!$C:$C,Vertical_Cash_flow!$B$80)</f>
        <v>64795.500000000007</v>
      </c>
      <c r="K87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payments'!$D:$D,Vertical_Cash_flow!$B87,'Sourcing &amp; MRP payments'!$C:$C,Vertical_Cash_flow!$B$80)</f>
        <v>0</v>
      </c>
      <c r="L87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payments'!$D:$D,Vertical_Cash_flow!$B87,'Sourcing &amp; MRP payments'!$C:$C,Vertical_Cash_flow!H$80)</f>
        <v>0</v>
      </c>
      <c r="M87" s="200">
        <f t="shared" si="183"/>
        <v>64795.500000000007</v>
      </c>
      <c r="N87" s="200">
        <f t="shared" si="175"/>
        <v>19438.650000000001</v>
      </c>
      <c r="O87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payments'!$D:$D,Vertical_Cash_flow!$B87,'Sourcing &amp; MRP payments'!$C:$C,Vertical_Cash_flow!$B$80)</f>
        <v>0</v>
      </c>
      <c r="P87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payments'!$D:$D,Vertical_Cash_flow!$B87,'Sourcing &amp; MRP payments'!$C:$C,Vertical_Cash_flow!$B$80)</f>
        <v>64795.500000000007</v>
      </c>
      <c r="Q87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payments'!$D:$D,Vertical_Cash_flow!$B87,'Sourcing &amp; MRP payments'!$C:$C,Vertical_Cash_flow!$B$80)</f>
        <v>0</v>
      </c>
      <c r="R87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payments'!$D:$D,Vertical_Cash_flow!$B87,'Sourcing &amp; MRP payments'!$C:$C,Vertical_Cash_flow!N$80)</f>
        <v>0</v>
      </c>
      <c r="S87" s="200">
        <f t="shared" si="184"/>
        <v>64795.500000000007</v>
      </c>
      <c r="T87" s="200">
        <f t="shared" si="176"/>
        <v>19438.650000000001</v>
      </c>
      <c r="U87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payments'!$D:$D,Vertical_Cash_flow!$B87,'Sourcing &amp; MRP payments'!$C:$C,Vertical_Cash_flow!$B$80)</f>
        <v>0</v>
      </c>
      <c r="V87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payments'!$D:$D,Vertical_Cash_flow!$B87,'Sourcing &amp; MRP payments'!$C:$C,Vertical_Cash_flow!$B$80)</f>
        <v>64795.500000000007</v>
      </c>
      <c r="W87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payments'!$D:$D,Vertical_Cash_flow!$B87,'Sourcing &amp; MRP payments'!$C:$C,Vertical_Cash_flow!$B$80)</f>
        <v>0</v>
      </c>
      <c r="X87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payments'!$D:$D,Vertical_Cash_flow!$B87,'Sourcing &amp; MRP payments'!$C:$C,Vertical_Cash_flow!T$80)</f>
        <v>0</v>
      </c>
      <c r="Y87" s="200">
        <f t="shared" si="185"/>
        <v>64795.500000000007</v>
      </c>
      <c r="Z87" s="200">
        <f t="shared" si="177"/>
        <v>19438.650000000001</v>
      </c>
      <c r="AA87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payments'!$D:$D,Vertical_Cash_flow!$B87,'Sourcing &amp; MRP payments'!$C:$C,Vertical_Cash_flow!$B$80)</f>
        <v>0</v>
      </c>
      <c r="AB87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payments'!$D:$D,Vertical_Cash_flow!$B87,'Sourcing &amp; MRP payments'!$C:$C,Vertical_Cash_flow!$B$80)</f>
        <v>64795.500000000007</v>
      </c>
      <c r="AC87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payments'!$D:$D,Vertical_Cash_flow!$B87,'Sourcing &amp; MRP payments'!$C:$C,Vertical_Cash_flow!$B$80)</f>
        <v>0</v>
      </c>
      <c r="AD87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payments'!$D:$D,Vertical_Cash_flow!$B87,'Sourcing &amp; MRP payments'!$C:$C,Vertical_Cash_flow!Z$80)</f>
        <v>0</v>
      </c>
      <c r="AE87" s="200">
        <f t="shared" si="186"/>
        <v>64795.500000000007</v>
      </c>
      <c r="AF87" s="200">
        <f t="shared" si="178"/>
        <v>19438.650000000001</v>
      </c>
      <c r="AG87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payments'!$D:$D,Vertical_Cash_flow!$B87,'Sourcing &amp; MRP payments'!$C:$C,Vertical_Cash_flow!$B$80)</f>
        <v>0</v>
      </c>
      <c r="AH87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payments'!$D:$D,Vertical_Cash_flow!$B87,'Sourcing &amp; MRP payments'!$C:$C,Vertical_Cash_flow!$B$80)</f>
        <v>64795.500000000007</v>
      </c>
      <c r="AI87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payments'!$D:$D,Vertical_Cash_flow!$B87,'Sourcing &amp; MRP payments'!$C:$C,Vertical_Cash_flow!$B$80)</f>
        <v>0</v>
      </c>
      <c r="AJ87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payments'!$D:$D,Vertical_Cash_flow!$B87,'Sourcing &amp; MRP payments'!$C:$C,Vertical_Cash_flow!AF$80)</f>
        <v>0</v>
      </c>
      <c r="AK87" s="200">
        <f t="shared" si="187"/>
        <v>64795.500000000007</v>
      </c>
      <c r="AL87" s="200">
        <f t="shared" si="179"/>
        <v>19438.650000000001</v>
      </c>
      <c r="AM87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payments'!$D:$D,Vertical_Cash_flow!$B87,'Sourcing &amp; MRP payments'!$C:$C,Vertical_Cash_flow!$B$80)</f>
        <v>0</v>
      </c>
      <c r="AN87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payments'!$D:$D,Vertical_Cash_flow!$B87,'Sourcing &amp; MRP payments'!$C:$C,Vertical_Cash_flow!$B$80)</f>
        <v>64795.500000000007</v>
      </c>
      <c r="AO87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payments'!$D:$D,Vertical_Cash_flow!$B87,'Sourcing &amp; MRP payments'!$C:$C,Vertical_Cash_flow!$B$80)</f>
        <v>0</v>
      </c>
      <c r="AP87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payments'!$D:$D,Vertical_Cash_flow!$B87,'Sourcing &amp; MRP payments'!$C:$C,Vertical_Cash_flow!AL$80)</f>
        <v>0</v>
      </c>
      <c r="AQ87" s="200">
        <f t="shared" si="188"/>
        <v>64795.500000000007</v>
      </c>
      <c r="AR87" s="200">
        <f t="shared" si="180"/>
        <v>19438.650000000001</v>
      </c>
      <c r="AS87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payments'!$D:$D,Vertical_Cash_flow!$B87,'Sourcing &amp; MRP payments'!$C:$C,Vertical_Cash_flow!$B$80)</f>
        <v>0</v>
      </c>
      <c r="AT87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payments'!$D:$D,Vertical_Cash_flow!$B87,'Sourcing &amp; MRP payments'!$C:$C,Vertical_Cash_flow!$B$80)</f>
        <v>64795.500000000007</v>
      </c>
      <c r="AU87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payments'!$D:$D,Vertical_Cash_flow!$B87,'Sourcing &amp; MRP payments'!$C:$C,Vertical_Cash_flow!$B$80)</f>
        <v>0</v>
      </c>
      <c r="AV87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payments'!$D:$D,Vertical_Cash_flow!$B87,'Sourcing &amp; MRP payments'!$C:$C,Vertical_Cash_flow!AR$80)</f>
        <v>0</v>
      </c>
      <c r="AW87" s="200">
        <f t="shared" si="189"/>
        <v>64795.500000000007</v>
      </c>
      <c r="AX87" s="200">
        <f t="shared" si="181"/>
        <v>19438.650000000001</v>
      </c>
      <c r="AZ87" s="200">
        <f t="shared" si="173"/>
        <v>518364.00000000006</v>
      </c>
    </row>
    <row r="88" spans="1:52" outlineLevel="1" x14ac:dyDescent="0.2">
      <c r="A88" s="655"/>
      <c r="B88" s="189"/>
      <c r="C88" s="45"/>
      <c r="D88" s="25"/>
      <c r="E88" s="25"/>
      <c r="F88" s="25"/>
      <c r="G88" s="45"/>
      <c r="H88" s="45"/>
      <c r="I88" s="45"/>
      <c r="J88" s="25"/>
      <c r="K88" s="25"/>
      <c r="L88" s="25"/>
      <c r="M88" s="45"/>
      <c r="N88" s="45"/>
      <c r="O88" s="45"/>
      <c r="P88" s="25"/>
      <c r="Q88" s="25"/>
      <c r="R88" s="25"/>
      <c r="S88" s="45"/>
      <c r="T88" s="45"/>
      <c r="U88" s="45"/>
      <c r="V88" s="25"/>
      <c r="W88" s="25"/>
      <c r="X88" s="25"/>
      <c r="Y88" s="45"/>
      <c r="Z88" s="45"/>
      <c r="AA88" s="45"/>
      <c r="AB88" s="25"/>
      <c r="AC88" s="25"/>
      <c r="AD88" s="25"/>
      <c r="AE88" s="45"/>
      <c r="AF88" s="45"/>
      <c r="AG88" s="45"/>
      <c r="AH88" s="25"/>
      <c r="AI88" s="25"/>
      <c r="AJ88" s="25"/>
      <c r="AK88" s="45"/>
      <c r="AL88" s="45"/>
      <c r="AM88" s="45"/>
      <c r="AN88" s="25"/>
      <c r="AO88" s="25"/>
      <c r="AP88" s="25"/>
      <c r="AQ88" s="45"/>
      <c r="AR88" s="45"/>
      <c r="AS88" s="45"/>
      <c r="AT88" s="25"/>
      <c r="AU88" s="25"/>
      <c r="AV88" s="25"/>
      <c r="AW88" s="45"/>
      <c r="AX88" s="45"/>
      <c r="AZ88" s="45">
        <f t="shared" si="173"/>
        <v>0</v>
      </c>
    </row>
    <row r="89" spans="1:52" s="3" customFormat="1" outlineLevel="1" x14ac:dyDescent="0.2">
      <c r="A89" s="655"/>
      <c r="B89" s="182" t="s">
        <v>69</v>
      </c>
      <c r="C89" s="54">
        <f t="shared" ref="C89:AD89" si="198">SUM(C90:C92)</f>
        <v>0</v>
      </c>
      <c r="D89" s="31">
        <f t="shared" si="198"/>
        <v>0</v>
      </c>
      <c r="E89" s="31">
        <f t="shared" si="198"/>
        <v>111463.5</v>
      </c>
      <c r="F89" s="31">
        <f t="shared" si="198"/>
        <v>0</v>
      </c>
      <c r="G89" s="54">
        <f t="shared" si="198"/>
        <v>371545</v>
      </c>
      <c r="H89" s="54">
        <f t="shared" si="198"/>
        <v>111463.5</v>
      </c>
      <c r="I89" s="54">
        <f t="shared" si="198"/>
        <v>0</v>
      </c>
      <c r="J89" s="31">
        <f t="shared" si="198"/>
        <v>0</v>
      </c>
      <c r="K89" s="31">
        <f t="shared" si="198"/>
        <v>92837.260000000009</v>
      </c>
      <c r="L89" s="31">
        <f t="shared" si="198"/>
        <v>0</v>
      </c>
      <c r="M89" s="54">
        <f t="shared" si="198"/>
        <v>309457.53333333338</v>
      </c>
      <c r="N89" s="54">
        <f t="shared" si="198"/>
        <v>92837.260000000009</v>
      </c>
      <c r="O89" s="54">
        <f t="shared" si="198"/>
        <v>0</v>
      </c>
      <c r="P89" s="31">
        <f t="shared" si="198"/>
        <v>0</v>
      </c>
      <c r="Q89" s="31">
        <f t="shared" si="198"/>
        <v>63419.64</v>
      </c>
      <c r="R89" s="31">
        <f t="shared" si="198"/>
        <v>0</v>
      </c>
      <c r="S89" s="54">
        <f t="shared" si="198"/>
        <v>211398.80000000002</v>
      </c>
      <c r="T89" s="54">
        <f t="shared" si="198"/>
        <v>63419.64</v>
      </c>
      <c r="U89" s="54">
        <f t="shared" si="198"/>
        <v>0</v>
      </c>
      <c r="V89" s="31">
        <f t="shared" si="198"/>
        <v>0</v>
      </c>
      <c r="W89" s="31">
        <f t="shared" si="198"/>
        <v>64720.94</v>
      </c>
      <c r="X89" s="31">
        <f t="shared" si="198"/>
        <v>0</v>
      </c>
      <c r="Y89" s="54">
        <f t="shared" si="198"/>
        <v>215736.46666666667</v>
      </c>
      <c r="Z89" s="54">
        <f t="shared" si="198"/>
        <v>64720.94</v>
      </c>
      <c r="AA89" s="54">
        <f t="shared" si="198"/>
        <v>0</v>
      </c>
      <c r="AB89" s="31">
        <f t="shared" si="198"/>
        <v>0</v>
      </c>
      <c r="AC89" s="31">
        <f t="shared" si="198"/>
        <v>37055.11</v>
      </c>
      <c r="AD89" s="31">
        <f t="shared" si="198"/>
        <v>0</v>
      </c>
      <c r="AE89" s="54">
        <f t="shared" ref="AE89:AX89" si="199">SUM(AE90:AE92)</f>
        <v>123517.03333333334</v>
      </c>
      <c r="AF89" s="54">
        <f t="shared" si="199"/>
        <v>37055.11</v>
      </c>
      <c r="AG89" s="54">
        <f t="shared" si="199"/>
        <v>0</v>
      </c>
      <c r="AH89" s="31">
        <f t="shared" si="199"/>
        <v>0</v>
      </c>
      <c r="AI89" s="31">
        <f t="shared" si="199"/>
        <v>0</v>
      </c>
      <c r="AJ89" s="31">
        <f t="shared" si="199"/>
        <v>0</v>
      </c>
      <c r="AK89" s="54">
        <f t="shared" si="199"/>
        <v>0</v>
      </c>
      <c r="AL89" s="54">
        <f t="shared" si="199"/>
        <v>0</v>
      </c>
      <c r="AM89" s="54">
        <f t="shared" si="199"/>
        <v>0</v>
      </c>
      <c r="AN89" s="31">
        <f t="shared" si="199"/>
        <v>0</v>
      </c>
      <c r="AO89" s="31">
        <f t="shared" si="199"/>
        <v>40503.67</v>
      </c>
      <c r="AP89" s="31">
        <f t="shared" si="199"/>
        <v>0</v>
      </c>
      <c r="AQ89" s="54">
        <f t="shared" si="199"/>
        <v>135012.23333333334</v>
      </c>
      <c r="AR89" s="54">
        <f t="shared" si="199"/>
        <v>40503.67</v>
      </c>
      <c r="AS89" s="54">
        <f t="shared" si="199"/>
        <v>0</v>
      </c>
      <c r="AT89" s="31">
        <f t="shared" si="199"/>
        <v>0</v>
      </c>
      <c r="AU89" s="31">
        <f t="shared" si="199"/>
        <v>0</v>
      </c>
      <c r="AV89" s="31">
        <f t="shared" si="199"/>
        <v>0</v>
      </c>
      <c r="AW89" s="54">
        <f t="shared" si="199"/>
        <v>0</v>
      </c>
      <c r="AX89" s="54">
        <f t="shared" si="199"/>
        <v>0</v>
      </c>
      <c r="AZ89" s="54">
        <f t="shared" si="173"/>
        <v>1366667.0666666669</v>
      </c>
    </row>
    <row r="90" spans="1:52" outlineLevel="1" x14ac:dyDescent="0.2">
      <c r="A90" s="655"/>
      <c r="B90" s="189" t="s">
        <v>67</v>
      </c>
      <c r="C90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payments'!$D:$D,Vertical_Cash_flow!$B90,'Sourcing &amp; MRP payments'!$C:$C,Vertical_Cash_flow!$B$89)</f>
        <v>0</v>
      </c>
      <c r="D90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payments'!$D:$D,Vertical_Cash_flow!$B90,'Sourcing &amp; MRP payments'!$C:$C,Vertical_Cash_flow!$B$89)</f>
        <v>0</v>
      </c>
      <c r="E90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payments'!$D:$D,Vertical_Cash_flow!$B90,'Sourcing &amp; MRP payments'!$C:$C,Vertical_Cash_flow!$B$89)</f>
        <v>28639.399999999998</v>
      </c>
      <c r="F90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payments'!$D:$D,Vertical_Cash_flow!$B90,'Sourcing &amp; MRP payments'!$C:$C,Vertical_Cash_flow!$B$89)</f>
        <v>0</v>
      </c>
      <c r="G90" s="200">
        <f>C90+D90+E90/$C$16+F90/$F$16</f>
        <v>95464.666666666657</v>
      </c>
      <c r="H90" s="200">
        <f>G90*$C$16</f>
        <v>28639.399999999998</v>
      </c>
      <c r="I90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payments'!$D:$D,Vertical_Cash_flow!$B90,'Sourcing &amp; MRP payments'!$C:$C,Vertical_Cash_flow!$B$89)</f>
        <v>0</v>
      </c>
      <c r="J90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payments'!$D:$D,Vertical_Cash_flow!$B90,'Sourcing &amp; MRP payments'!$C:$C,Vertical_Cash_flow!$B$89)</f>
        <v>0</v>
      </c>
      <c r="K90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payments'!$D:$D,Vertical_Cash_flow!$B90,'Sourcing &amp; MRP payments'!$C:$C,Vertical_Cash_flow!$B$89)</f>
        <v>22821.199999999997</v>
      </c>
      <c r="L90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payments'!$D:$D,Vertical_Cash_flow!$B90,'Sourcing &amp; MRP payments'!$C:$C,Vertical_Cash_flow!$B$89)</f>
        <v>0</v>
      </c>
      <c r="M90" s="200">
        <f>I90+J90+K90/$C$16+L90/$F$16</f>
        <v>76070.666666666657</v>
      </c>
      <c r="N90" s="200">
        <f t="shared" ref="N90" si="200">M90*$C$16</f>
        <v>22821.199999999997</v>
      </c>
      <c r="O90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payments'!$D:$D,Vertical_Cash_flow!$B90,'Sourcing &amp; MRP payments'!$C:$C,Vertical_Cash_flow!$B$89)</f>
        <v>0</v>
      </c>
      <c r="P90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payments'!$D:$D,Vertical_Cash_flow!$B90,'Sourcing &amp; MRP payments'!$C:$C,Vertical_Cash_flow!$B$89)</f>
        <v>0</v>
      </c>
      <c r="Q90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payments'!$D:$D,Vertical_Cash_flow!$B90,'Sourcing &amp; MRP payments'!$C:$C,Vertical_Cash_flow!$B$89)</f>
        <v>63419.64</v>
      </c>
      <c r="R90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payments'!$D:$D,Vertical_Cash_flow!$B90,'Sourcing &amp; MRP payments'!$C:$C,Vertical_Cash_flow!$B$89)</f>
        <v>0</v>
      </c>
      <c r="S90" s="200">
        <f>O90+P90+Q90/$C$16+R90/$F$16</f>
        <v>211398.80000000002</v>
      </c>
      <c r="T90" s="200">
        <f t="shared" ref="T90" si="201">S90*$C$16</f>
        <v>63419.64</v>
      </c>
      <c r="U90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payments'!$D:$D,Vertical_Cash_flow!$B90,'Sourcing &amp; MRP payments'!$C:$C,Vertical_Cash_flow!$B$89)</f>
        <v>0</v>
      </c>
      <c r="V90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payments'!$D:$D,Vertical_Cash_flow!$B90,'Sourcing &amp; MRP payments'!$C:$C,Vertical_Cash_flow!$B$89)</f>
        <v>0</v>
      </c>
      <c r="W90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payments'!$D:$D,Vertical_Cash_flow!$B90,'Sourcing &amp; MRP payments'!$C:$C,Vertical_Cash_flow!$B$89)</f>
        <v>0</v>
      </c>
      <c r="X90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payments'!$D:$D,Vertical_Cash_flow!$B90,'Sourcing &amp; MRP payments'!$C:$C,Vertical_Cash_flow!$B$89)</f>
        <v>0</v>
      </c>
      <c r="Y90" s="200">
        <f>U90+V90+W90/$C$16+X90/$F$16</f>
        <v>0</v>
      </c>
      <c r="Z90" s="200">
        <f t="shared" ref="Z90" si="202">Y90*$C$16</f>
        <v>0</v>
      </c>
      <c r="AA90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payments'!$D:$D,Vertical_Cash_flow!$B90,'Sourcing &amp; MRP payments'!$C:$C,Vertical_Cash_flow!$B$89)</f>
        <v>0</v>
      </c>
      <c r="AB90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payments'!$D:$D,Vertical_Cash_flow!$B90,'Sourcing &amp; MRP payments'!$C:$C,Vertical_Cash_flow!$B$89)</f>
        <v>0</v>
      </c>
      <c r="AC90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payments'!$D:$D,Vertical_Cash_flow!$B90,'Sourcing &amp; MRP payments'!$C:$C,Vertical_Cash_flow!$B$89)</f>
        <v>37055.11</v>
      </c>
      <c r="AD90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payments'!$D:$D,Vertical_Cash_flow!$B90,'Sourcing &amp; MRP payments'!$C:$C,Vertical_Cash_flow!$B$89)</f>
        <v>0</v>
      </c>
      <c r="AE90" s="200">
        <f>AA90+AB90+AC90/$C$16+AD90/$F$16</f>
        <v>123517.03333333334</v>
      </c>
      <c r="AF90" s="200">
        <f t="shared" ref="AF90" si="203">AE90*$C$16</f>
        <v>37055.11</v>
      </c>
      <c r="AG90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payments'!$D:$D,Vertical_Cash_flow!$B90,'Sourcing &amp; MRP payments'!$C:$C,Vertical_Cash_flow!$B$89)</f>
        <v>0</v>
      </c>
      <c r="AH90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payments'!$D:$D,Vertical_Cash_flow!$B90,'Sourcing &amp; MRP payments'!$C:$C,Vertical_Cash_flow!$B$89)</f>
        <v>0</v>
      </c>
      <c r="AI90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payments'!$D:$D,Vertical_Cash_flow!$B90,'Sourcing &amp; MRP payments'!$C:$C,Vertical_Cash_flow!$B$89)</f>
        <v>0</v>
      </c>
      <c r="AJ90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payments'!$D:$D,Vertical_Cash_flow!$B90,'Sourcing &amp; MRP payments'!$C:$C,Vertical_Cash_flow!$B$89)</f>
        <v>0</v>
      </c>
      <c r="AK90" s="200">
        <f>AG90+AH90+AI90/$C$16+AJ90/$F$16</f>
        <v>0</v>
      </c>
      <c r="AL90" s="200">
        <f t="shared" ref="AL90" si="204">AK90*$C$16</f>
        <v>0</v>
      </c>
      <c r="AM90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payments'!$D:$D,Vertical_Cash_flow!$B90,'Sourcing &amp; MRP payments'!$C:$C,Vertical_Cash_flow!$B$89)</f>
        <v>0</v>
      </c>
      <c r="AN90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payments'!$D:$D,Vertical_Cash_flow!$B90,'Sourcing &amp; MRP payments'!$C:$C,Vertical_Cash_flow!$B$89)</f>
        <v>0</v>
      </c>
      <c r="AO90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payments'!$D:$D,Vertical_Cash_flow!$B90,'Sourcing &amp; MRP payments'!$C:$C,Vertical_Cash_flow!$B$89)</f>
        <v>0</v>
      </c>
      <c r="AP90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payments'!$D:$D,Vertical_Cash_flow!$B90,'Sourcing &amp; MRP payments'!$C:$C,Vertical_Cash_flow!$B$89)</f>
        <v>0</v>
      </c>
      <c r="AQ90" s="200">
        <f>AM90+AN90+AO90/$C$16+AP90/$F$16</f>
        <v>0</v>
      </c>
      <c r="AR90" s="200">
        <f t="shared" ref="AR90" si="205">AQ90*$C$16</f>
        <v>0</v>
      </c>
      <c r="AS90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payments'!$D:$D,Vertical_Cash_flow!$B90,'Sourcing &amp; MRP payments'!$C:$C,Vertical_Cash_flow!$B$89)</f>
        <v>0</v>
      </c>
      <c r="AT90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payments'!$D:$D,Vertical_Cash_flow!$B90,'Sourcing &amp; MRP payments'!$C:$C,Vertical_Cash_flow!$B$89)</f>
        <v>0</v>
      </c>
      <c r="AU90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payments'!$D:$D,Vertical_Cash_flow!$B90,'Sourcing &amp; MRP payments'!$C:$C,Vertical_Cash_flow!$B$89)</f>
        <v>0</v>
      </c>
      <c r="AV90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payments'!$D:$D,Vertical_Cash_flow!$B90,'Sourcing &amp; MRP payments'!$C:$C,Vertical_Cash_flow!$B$89)</f>
        <v>0</v>
      </c>
      <c r="AW90" s="200">
        <f>AS90+AT90+AU90/$C$16+AV90/$F$16</f>
        <v>0</v>
      </c>
      <c r="AX90" s="200">
        <f t="shared" ref="AX90" si="206">AW90*$C$16</f>
        <v>0</v>
      </c>
      <c r="AZ90" s="200">
        <f t="shared" si="173"/>
        <v>506451.16666666663</v>
      </c>
    </row>
    <row r="91" spans="1:52" outlineLevel="1" x14ac:dyDescent="0.2">
      <c r="A91" s="655"/>
      <c r="B91" s="33" t="s">
        <v>877</v>
      </c>
      <c r="C91" s="48"/>
      <c r="D91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payments'!$D:$D,Vertical_Cash_flow!$B91,'Sourcing &amp; MRP payments'!$C:$C,Vertical_Cash_flow!$B$89)</f>
        <v>0</v>
      </c>
      <c r="E91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payments'!$D:$D,Vertical_Cash_flow!$B91,'Sourcing &amp; MRP payments'!$C:$C,Vertical_Cash_flow!$B$89)</f>
        <v>82824.100000000006</v>
      </c>
      <c r="F91" s="32">
        <f>SUMIFS('Sourcing &amp; MRP payments'!$G:$G,'Sourcing &amp; MRP payments'!$O:$O,Vertical_Cash_flow!E$11,'Sourcing &amp; MRP payments'!$F:$F,Vertical_Cash_flow!F$15,'Sourcing &amp; MRP payments'!$A:$A,Vertical_Cash_flow!$D$14,'Sourcing &amp; MRP payments'!$D:$D,Vertical_Cash_flow!$B91,'Sourcing &amp; MRP payments'!$C:$C,Vertical_Cash_flow!$B$89)</f>
        <v>0</v>
      </c>
      <c r="G91" s="200">
        <f t="shared" ref="G91:G92" si="207">C91+D91+E91/$C$16+F91/$F$16</f>
        <v>276080.33333333337</v>
      </c>
      <c r="H91" s="200">
        <f t="shared" ref="H91:H92" si="208">G91*$C$16</f>
        <v>82824.100000000006</v>
      </c>
      <c r="I91" s="48"/>
      <c r="J91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payments'!$D:$D,Vertical_Cash_flow!$B91,'Sourcing &amp; MRP payments'!$C:$C,Vertical_Cash_flow!$B$89)</f>
        <v>0</v>
      </c>
      <c r="K91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payments'!$D:$D,Vertical_Cash_flow!$B91,'Sourcing &amp; MRP payments'!$C:$C,Vertical_Cash_flow!$B$89)</f>
        <v>70016.060000000012</v>
      </c>
      <c r="L91" s="32">
        <f>SUMIFS('Sourcing &amp; MRP payments'!$G:$G,'Sourcing &amp; MRP payments'!$O:$O,Vertical_Cash_flow!K$11,'Sourcing &amp; MRP payments'!$F:$F,Vertical_Cash_flow!L$15,'Sourcing &amp; MRP payments'!$A:$A,Vertical_Cash_flow!$D$14,'Sourcing &amp; MRP payments'!$D:$D,Vertical_Cash_flow!$B91,'Sourcing &amp; MRP payments'!$C:$C,Vertical_Cash_flow!$B$89)</f>
        <v>0</v>
      </c>
      <c r="M91" s="200">
        <f t="shared" ref="M91:M92" si="209">I91+J91+K91/$C$16+L91/$F$16</f>
        <v>233386.86666666673</v>
      </c>
      <c r="N91" s="200">
        <f t="shared" ref="N91:N92" si="210">M91*$C$16</f>
        <v>70016.060000000012</v>
      </c>
      <c r="O91" s="48"/>
      <c r="P91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payments'!$D:$D,Vertical_Cash_flow!$B91,'Sourcing &amp; MRP payments'!$C:$C,Vertical_Cash_flow!$B$89)</f>
        <v>0</v>
      </c>
      <c r="Q91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payments'!$D:$D,Vertical_Cash_flow!$B91,'Sourcing &amp; MRP payments'!$C:$C,Vertical_Cash_flow!$B$89)</f>
        <v>0</v>
      </c>
      <c r="R91" s="32">
        <f>SUMIFS('Sourcing &amp; MRP payments'!$G:$G,'Sourcing &amp; MRP payments'!$O:$O,Vertical_Cash_flow!Q$11,'Sourcing &amp; MRP payments'!$F:$F,Vertical_Cash_flow!R$15,'Sourcing &amp; MRP payments'!$A:$A,Vertical_Cash_flow!$D$14,'Sourcing &amp; MRP payments'!$D:$D,Vertical_Cash_flow!$B91,'Sourcing &amp; MRP payments'!$C:$C,Vertical_Cash_flow!$B$89)</f>
        <v>0</v>
      </c>
      <c r="S91" s="200">
        <f t="shared" ref="S91:S92" si="211">O91+P91+Q91/$C$16+R91/$F$16</f>
        <v>0</v>
      </c>
      <c r="T91" s="200">
        <f t="shared" ref="T91:T92" si="212">S91*$C$16</f>
        <v>0</v>
      </c>
      <c r="U91" s="48"/>
      <c r="V91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payments'!$D:$D,Vertical_Cash_flow!$B91,'Sourcing &amp; MRP payments'!$C:$C,Vertical_Cash_flow!$B$89)</f>
        <v>0</v>
      </c>
      <c r="W91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payments'!$D:$D,Vertical_Cash_flow!$B91,'Sourcing &amp; MRP payments'!$C:$C,Vertical_Cash_flow!$B$89)</f>
        <v>64720.94</v>
      </c>
      <c r="X91" s="32">
        <f>SUMIFS('Sourcing &amp; MRP payments'!$G:$G,'Sourcing &amp; MRP payments'!$O:$O,Vertical_Cash_flow!W$11,'Sourcing &amp; MRP payments'!$F:$F,Vertical_Cash_flow!X$15,'Sourcing &amp; MRP payments'!$A:$A,Vertical_Cash_flow!$D$14,'Sourcing &amp; MRP payments'!$D:$D,Vertical_Cash_flow!$B91,'Sourcing &amp; MRP payments'!$C:$C,Vertical_Cash_flow!$B$89)</f>
        <v>0</v>
      </c>
      <c r="Y91" s="200">
        <f t="shared" ref="Y91:Y92" si="213">U91+V91+W91/$C$16+X91/$F$16</f>
        <v>215736.46666666667</v>
      </c>
      <c r="Z91" s="200">
        <f t="shared" ref="Z91:Z92" si="214">Y91*$C$16</f>
        <v>64720.94</v>
      </c>
      <c r="AA91" s="48"/>
      <c r="AB91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payments'!$D:$D,Vertical_Cash_flow!$B91,'Sourcing &amp; MRP payments'!$C:$C,Vertical_Cash_flow!$B$89)</f>
        <v>0</v>
      </c>
      <c r="AC91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payments'!$D:$D,Vertical_Cash_flow!$B91,'Sourcing &amp; MRP payments'!$C:$C,Vertical_Cash_flow!$B$89)</f>
        <v>0</v>
      </c>
      <c r="AD91" s="32">
        <f>SUMIFS('Sourcing &amp; MRP payments'!$G:$G,'Sourcing &amp; MRP payments'!$O:$O,Vertical_Cash_flow!AC$11,'Sourcing &amp; MRP payments'!$F:$F,Vertical_Cash_flow!AD$15,'Sourcing &amp; MRP payments'!$A:$A,Vertical_Cash_flow!$D$14,'Sourcing &amp; MRP payments'!$D:$D,Vertical_Cash_flow!$B91,'Sourcing &amp; MRP payments'!$C:$C,Vertical_Cash_flow!$B$89)</f>
        <v>0</v>
      </c>
      <c r="AE91" s="200">
        <f t="shared" ref="AE91:AE92" si="215">AA91+AB91+AC91/$C$16+AD91/$F$16</f>
        <v>0</v>
      </c>
      <c r="AF91" s="200">
        <f t="shared" ref="AF91:AF92" si="216">AE91*$C$16</f>
        <v>0</v>
      </c>
      <c r="AG91" s="48"/>
      <c r="AH91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payments'!$D:$D,Vertical_Cash_flow!$B91,'Sourcing &amp; MRP payments'!$C:$C,Vertical_Cash_flow!$B$89)</f>
        <v>0</v>
      </c>
      <c r="AI91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payments'!$D:$D,Vertical_Cash_flow!$B91,'Sourcing &amp; MRP payments'!$C:$C,Vertical_Cash_flow!$B$89)</f>
        <v>0</v>
      </c>
      <c r="AJ91" s="32">
        <f>SUMIFS('Sourcing &amp; MRP payments'!$G:$G,'Sourcing &amp; MRP payments'!$O:$O,Vertical_Cash_flow!AI$11,'Sourcing &amp; MRP payments'!$F:$F,Vertical_Cash_flow!AJ$15,'Sourcing &amp; MRP payments'!$A:$A,Vertical_Cash_flow!$D$14,'Sourcing &amp; MRP payments'!$D:$D,Vertical_Cash_flow!$B91,'Sourcing &amp; MRP payments'!$C:$C,Vertical_Cash_flow!$B$89)</f>
        <v>0</v>
      </c>
      <c r="AK91" s="200">
        <f t="shared" ref="AK91:AK92" si="217">AG91+AH91+AI91/$C$16+AJ91/$F$16</f>
        <v>0</v>
      </c>
      <c r="AL91" s="200">
        <f t="shared" ref="AL91:AL92" si="218">AK91*$C$16</f>
        <v>0</v>
      </c>
      <c r="AM91" s="48"/>
      <c r="AN91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payments'!$D:$D,Vertical_Cash_flow!$B91,'Sourcing &amp; MRP payments'!$C:$C,Vertical_Cash_flow!$B$89)</f>
        <v>0</v>
      </c>
      <c r="AO91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payments'!$D:$D,Vertical_Cash_flow!$B91,'Sourcing &amp; MRP payments'!$C:$C,Vertical_Cash_flow!$B$89)</f>
        <v>40503.67</v>
      </c>
      <c r="AP91" s="32">
        <f>SUMIFS('Sourcing &amp; MRP payments'!$G:$G,'Sourcing &amp; MRP payments'!$O:$O,Vertical_Cash_flow!AO$11,'Sourcing &amp; MRP payments'!$F:$F,Vertical_Cash_flow!AP$15,'Sourcing &amp; MRP payments'!$A:$A,Vertical_Cash_flow!$D$14,'Sourcing &amp; MRP payments'!$D:$D,Vertical_Cash_flow!$B91,'Sourcing &amp; MRP payments'!$C:$C,Vertical_Cash_flow!$B$89)</f>
        <v>0</v>
      </c>
      <c r="AQ91" s="200">
        <f t="shared" ref="AQ91:AQ92" si="219">AM91+AN91+AO91/$C$16+AP91/$F$16</f>
        <v>135012.23333333334</v>
      </c>
      <c r="AR91" s="200">
        <f t="shared" ref="AR91:AR92" si="220">AQ91*$C$16</f>
        <v>40503.67</v>
      </c>
      <c r="AS91" s="48"/>
      <c r="AT91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payments'!$D:$D,Vertical_Cash_flow!$B91,'Sourcing &amp; MRP payments'!$C:$C,Vertical_Cash_flow!$B$89)</f>
        <v>0</v>
      </c>
      <c r="AU91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payments'!$D:$D,Vertical_Cash_flow!$B91,'Sourcing &amp; MRP payments'!$C:$C,Vertical_Cash_flow!$B$89)</f>
        <v>0</v>
      </c>
      <c r="AV91" s="32">
        <f>SUMIFS('Sourcing &amp; MRP payments'!$G:$G,'Sourcing &amp; MRP payments'!$O:$O,Vertical_Cash_flow!AU$11,'Sourcing &amp; MRP payments'!$F:$F,Vertical_Cash_flow!AV$15,'Sourcing &amp; MRP payments'!$A:$A,Vertical_Cash_flow!$D$14,'Sourcing &amp; MRP payments'!$D:$D,Vertical_Cash_flow!$B91,'Sourcing &amp; MRP payments'!$C:$C,Vertical_Cash_flow!$B$89)</f>
        <v>0</v>
      </c>
      <c r="AW91" s="200">
        <f t="shared" ref="AW91:AW92" si="221">AS91+AT91+AU91/$C$16+AV91/$F$16</f>
        <v>0</v>
      </c>
      <c r="AX91" s="200">
        <f t="shared" ref="AX91:AX92" si="222">AW91*$C$16</f>
        <v>0</v>
      </c>
      <c r="AZ91" s="200">
        <f t="shared" si="173"/>
        <v>860215.90000000014</v>
      </c>
    </row>
    <row r="92" spans="1:52" outlineLevel="1" x14ac:dyDescent="0.2">
      <c r="A92" s="656"/>
      <c r="B92" s="189" t="s">
        <v>68</v>
      </c>
      <c r="C92" s="48">
        <f>SUMIFS('Sourcing &amp; MRP payments'!$G:$G,'Sourcing &amp; MRP payments'!$O:$O,Vertical_Cash_flow!C$11,'Sourcing &amp; MRP payments'!$F:$F,Vertical_Cash_flow!C$15,'Sourcing &amp; MRP payments'!$A:$A,Vertical_Cash_flow!$C$14,'Sourcing &amp; MRP payments'!$D:$D,Vertical_Cash_flow!$B92,'Sourcing &amp; MRP payments'!$C:$C,Vertical_Cash_flow!$B$89)</f>
        <v>0</v>
      </c>
      <c r="D92" s="32">
        <f>SUMIFS('Sourcing &amp; MRP payments'!$G:$G,'Sourcing &amp; MRP payments'!$O:$O,Vertical_Cash_flow!C$11,'Sourcing &amp; MRP payments'!$F:$F,Vertical_Cash_flow!D$15,'Sourcing &amp; MRP payments'!$A:$A,Vertical_Cash_flow!$D$14,'Sourcing &amp; MRP payments'!$D:$D,Vertical_Cash_flow!$B92,'Sourcing &amp; MRP payments'!$C:$C,Vertical_Cash_flow!$B$89)</f>
        <v>0</v>
      </c>
      <c r="E92" s="32">
        <f>SUMIFS('Sourcing &amp; MRP payments'!$G:$G,'Sourcing &amp; MRP payments'!$O:$O,Vertical_Cash_flow!C$11,'Sourcing &amp; MRP payments'!$F:$F,Vertical_Cash_flow!E$15,'Sourcing &amp; MRP payments'!$A:$A,Vertical_Cash_flow!$E$14,'Sourcing &amp; MRP payments'!$D:$D,Vertical_Cash_flow!$B92,'Sourcing &amp; MRP payments'!$C:$C,Vertical_Cash_flow!$B$89)</f>
        <v>0</v>
      </c>
      <c r="F92" s="32">
        <f>SUMIFS('Sourcing &amp; MRP payments'!$G:$G,'Sourcing &amp; MRP payments'!$O:$O,Vertical_Cash_flow!C$11,'Sourcing &amp; MRP payments'!$F:$F,Vertical_Cash_flow!F$15,'Sourcing &amp; MRP payments'!$A:$A,Vertical_Cash_flow!$F$14,'Sourcing &amp; MRP payments'!$D:$D,Vertical_Cash_flow!$B92,'Sourcing &amp; MRP payments'!$C:$C,Vertical_Cash_flow!$B$89)</f>
        <v>0</v>
      </c>
      <c r="G92" s="200">
        <f t="shared" si="207"/>
        <v>0</v>
      </c>
      <c r="H92" s="200">
        <f t="shared" si="208"/>
        <v>0</v>
      </c>
      <c r="I92" s="48">
        <f>SUMIFS('Sourcing &amp; MRP payments'!$G:$G,'Sourcing &amp; MRP payments'!$O:$O,Vertical_Cash_flow!I$11,'Sourcing &amp; MRP payments'!$F:$F,Vertical_Cash_flow!I$15,'Sourcing &amp; MRP payments'!$A:$A,Vertical_Cash_flow!$C$14,'Sourcing &amp; MRP payments'!$D:$D,Vertical_Cash_flow!$B92,'Sourcing &amp; MRP payments'!$C:$C,Vertical_Cash_flow!$B$89)</f>
        <v>0</v>
      </c>
      <c r="J92" s="32">
        <f>SUMIFS('Sourcing &amp; MRP payments'!$G:$G,'Sourcing &amp; MRP payments'!$O:$O,Vertical_Cash_flow!I$11,'Sourcing &amp; MRP payments'!$F:$F,Vertical_Cash_flow!J$15,'Sourcing &amp; MRP payments'!$A:$A,Vertical_Cash_flow!$D$14,'Sourcing &amp; MRP payments'!$D:$D,Vertical_Cash_flow!$B92,'Sourcing &amp; MRP payments'!$C:$C,Vertical_Cash_flow!$B$89)</f>
        <v>0</v>
      </c>
      <c r="K92" s="32">
        <f>SUMIFS('Sourcing &amp; MRP payments'!$G:$G,'Sourcing &amp; MRP payments'!$O:$O,Vertical_Cash_flow!I$11,'Sourcing &amp; MRP payments'!$F:$F,Vertical_Cash_flow!K$15,'Sourcing &amp; MRP payments'!$A:$A,Vertical_Cash_flow!$E$14,'Sourcing &amp; MRP payments'!$D:$D,Vertical_Cash_flow!$B92,'Sourcing &amp; MRP payments'!$C:$C,Vertical_Cash_flow!$B$89)</f>
        <v>0</v>
      </c>
      <c r="L92" s="32">
        <f>SUMIFS('Sourcing &amp; MRP payments'!$G:$G,'Sourcing &amp; MRP payments'!$O:$O,Vertical_Cash_flow!I$11,'Sourcing &amp; MRP payments'!$F:$F,Vertical_Cash_flow!L$15,'Sourcing &amp; MRP payments'!$A:$A,Vertical_Cash_flow!$F$14,'Sourcing &amp; MRP payments'!$D:$D,Vertical_Cash_flow!$B92,'Sourcing &amp; MRP payments'!$C:$C,Vertical_Cash_flow!$B$89)</f>
        <v>0</v>
      </c>
      <c r="M92" s="200">
        <f t="shared" si="209"/>
        <v>0</v>
      </c>
      <c r="N92" s="200">
        <f t="shared" si="210"/>
        <v>0</v>
      </c>
      <c r="O92" s="48">
        <f>SUMIFS('Sourcing &amp; MRP payments'!$G:$G,'Sourcing &amp; MRP payments'!$O:$O,Vertical_Cash_flow!O$11,'Sourcing &amp; MRP payments'!$F:$F,Vertical_Cash_flow!O$15,'Sourcing &amp; MRP payments'!$A:$A,Vertical_Cash_flow!$C$14,'Sourcing &amp; MRP payments'!$D:$D,Vertical_Cash_flow!$B92,'Sourcing &amp; MRP payments'!$C:$C,Vertical_Cash_flow!$B$89)</f>
        <v>0</v>
      </c>
      <c r="P92" s="32">
        <f>SUMIFS('Sourcing &amp; MRP payments'!$G:$G,'Sourcing &amp; MRP payments'!$O:$O,Vertical_Cash_flow!O$11,'Sourcing &amp; MRP payments'!$F:$F,Vertical_Cash_flow!P$15,'Sourcing &amp; MRP payments'!$A:$A,Vertical_Cash_flow!$D$14,'Sourcing &amp; MRP payments'!$D:$D,Vertical_Cash_flow!$B92,'Sourcing &amp; MRP payments'!$C:$C,Vertical_Cash_flow!$B$89)</f>
        <v>0</v>
      </c>
      <c r="Q92" s="32">
        <f>SUMIFS('Sourcing &amp; MRP payments'!$G:$G,'Sourcing &amp; MRP payments'!$O:$O,Vertical_Cash_flow!O$11,'Sourcing &amp; MRP payments'!$F:$F,Vertical_Cash_flow!Q$15,'Sourcing &amp; MRP payments'!$A:$A,Vertical_Cash_flow!$E$14,'Sourcing &amp; MRP payments'!$D:$D,Vertical_Cash_flow!$B92,'Sourcing &amp; MRP payments'!$C:$C,Vertical_Cash_flow!$B$89)</f>
        <v>0</v>
      </c>
      <c r="R92" s="32">
        <f>SUMIFS('Sourcing &amp; MRP payments'!$G:$G,'Sourcing &amp; MRP payments'!$O:$O,Vertical_Cash_flow!O$11,'Sourcing &amp; MRP payments'!$F:$F,Vertical_Cash_flow!R$15,'Sourcing &amp; MRP payments'!$A:$A,Vertical_Cash_flow!$F$14,'Sourcing &amp; MRP payments'!$D:$D,Vertical_Cash_flow!$B92,'Sourcing &amp; MRP payments'!$C:$C,Vertical_Cash_flow!$B$89)</f>
        <v>0</v>
      </c>
      <c r="S92" s="200">
        <f t="shared" si="211"/>
        <v>0</v>
      </c>
      <c r="T92" s="200">
        <f t="shared" si="212"/>
        <v>0</v>
      </c>
      <c r="U92" s="48">
        <f>SUMIFS('Sourcing &amp; MRP payments'!$G:$G,'Sourcing &amp; MRP payments'!$O:$O,Vertical_Cash_flow!U$11,'Sourcing &amp; MRP payments'!$F:$F,Vertical_Cash_flow!U$15,'Sourcing &amp; MRP payments'!$A:$A,Vertical_Cash_flow!$C$14,'Sourcing &amp; MRP payments'!$D:$D,Vertical_Cash_flow!$B92,'Sourcing &amp; MRP payments'!$C:$C,Vertical_Cash_flow!$B$89)</f>
        <v>0</v>
      </c>
      <c r="V92" s="32">
        <f>SUMIFS('Sourcing &amp; MRP payments'!$G:$G,'Sourcing &amp; MRP payments'!$O:$O,Vertical_Cash_flow!U$11,'Sourcing &amp; MRP payments'!$F:$F,Vertical_Cash_flow!V$15,'Sourcing &amp; MRP payments'!$A:$A,Vertical_Cash_flow!$D$14,'Sourcing &amp; MRP payments'!$D:$D,Vertical_Cash_flow!$B92,'Sourcing &amp; MRP payments'!$C:$C,Vertical_Cash_flow!$B$89)</f>
        <v>0</v>
      </c>
      <c r="W92" s="32">
        <f>SUMIFS('Sourcing &amp; MRP payments'!$G:$G,'Sourcing &amp; MRP payments'!$O:$O,Vertical_Cash_flow!U$11,'Sourcing &amp; MRP payments'!$F:$F,Vertical_Cash_flow!W$15,'Sourcing &amp; MRP payments'!$A:$A,Vertical_Cash_flow!$E$14,'Sourcing &amp; MRP payments'!$D:$D,Vertical_Cash_flow!$B92,'Sourcing &amp; MRP payments'!$C:$C,Vertical_Cash_flow!$B$89)</f>
        <v>0</v>
      </c>
      <c r="X92" s="32">
        <f>SUMIFS('Sourcing &amp; MRP payments'!$G:$G,'Sourcing &amp; MRP payments'!$O:$O,Vertical_Cash_flow!U$11,'Sourcing &amp; MRP payments'!$F:$F,Vertical_Cash_flow!X$15,'Sourcing &amp; MRP payments'!$A:$A,Vertical_Cash_flow!$F$14,'Sourcing &amp; MRP payments'!$D:$D,Vertical_Cash_flow!$B92,'Sourcing &amp; MRP payments'!$C:$C,Vertical_Cash_flow!$B$89)</f>
        <v>0</v>
      </c>
      <c r="Y92" s="200">
        <f t="shared" si="213"/>
        <v>0</v>
      </c>
      <c r="Z92" s="200">
        <f t="shared" si="214"/>
        <v>0</v>
      </c>
      <c r="AA92" s="48">
        <f>SUMIFS('Sourcing &amp; MRP payments'!$G:$G,'Sourcing &amp; MRP payments'!$O:$O,Vertical_Cash_flow!AA$11,'Sourcing &amp; MRP payments'!$F:$F,Vertical_Cash_flow!AA$15,'Sourcing &amp; MRP payments'!$A:$A,Vertical_Cash_flow!$C$14,'Sourcing &amp; MRP payments'!$D:$D,Vertical_Cash_flow!$B92,'Sourcing &amp; MRP payments'!$C:$C,Vertical_Cash_flow!$B$89)</f>
        <v>0</v>
      </c>
      <c r="AB92" s="32">
        <f>SUMIFS('Sourcing &amp; MRP payments'!$G:$G,'Sourcing &amp; MRP payments'!$O:$O,Vertical_Cash_flow!AA$11,'Sourcing &amp; MRP payments'!$F:$F,Vertical_Cash_flow!AB$15,'Sourcing &amp; MRP payments'!$A:$A,Vertical_Cash_flow!$D$14,'Sourcing &amp; MRP payments'!$D:$D,Vertical_Cash_flow!$B92,'Sourcing &amp; MRP payments'!$C:$C,Vertical_Cash_flow!$B$89)</f>
        <v>0</v>
      </c>
      <c r="AC92" s="32">
        <f>SUMIFS('Sourcing &amp; MRP payments'!$G:$G,'Sourcing &amp; MRP payments'!$O:$O,Vertical_Cash_flow!AA$11,'Sourcing &amp; MRP payments'!$F:$F,Vertical_Cash_flow!AC$15,'Sourcing &amp; MRP payments'!$A:$A,Vertical_Cash_flow!$E$14,'Sourcing &amp; MRP payments'!$D:$D,Vertical_Cash_flow!$B92,'Sourcing &amp; MRP payments'!$C:$C,Vertical_Cash_flow!$B$89)</f>
        <v>0</v>
      </c>
      <c r="AD92" s="32">
        <f>SUMIFS('Sourcing &amp; MRP payments'!$G:$G,'Sourcing &amp; MRP payments'!$O:$O,Vertical_Cash_flow!AA$11,'Sourcing &amp; MRP payments'!$F:$F,Vertical_Cash_flow!AD$15,'Sourcing &amp; MRP payments'!$A:$A,Vertical_Cash_flow!$F$14,'Sourcing &amp; MRP payments'!$D:$D,Vertical_Cash_flow!$B92,'Sourcing &amp; MRP payments'!$C:$C,Vertical_Cash_flow!$B$89)</f>
        <v>0</v>
      </c>
      <c r="AE92" s="200">
        <f t="shared" si="215"/>
        <v>0</v>
      </c>
      <c r="AF92" s="200">
        <f t="shared" si="216"/>
        <v>0</v>
      </c>
      <c r="AG92" s="48">
        <f>SUMIFS('Sourcing &amp; MRP payments'!$G:$G,'Sourcing &amp; MRP payments'!$O:$O,Vertical_Cash_flow!AG$11,'Sourcing &amp; MRP payments'!$F:$F,Vertical_Cash_flow!AG$15,'Sourcing &amp; MRP payments'!$A:$A,Vertical_Cash_flow!$C$14,'Sourcing &amp; MRP payments'!$D:$D,Vertical_Cash_flow!$B92,'Sourcing &amp; MRP payments'!$C:$C,Vertical_Cash_flow!$B$89)</f>
        <v>0</v>
      </c>
      <c r="AH92" s="32">
        <f>SUMIFS('Sourcing &amp; MRP payments'!$G:$G,'Sourcing &amp; MRP payments'!$O:$O,Vertical_Cash_flow!AG$11,'Sourcing &amp; MRP payments'!$F:$F,Vertical_Cash_flow!AH$15,'Sourcing &amp; MRP payments'!$A:$A,Vertical_Cash_flow!$D$14,'Sourcing &amp; MRP payments'!$D:$D,Vertical_Cash_flow!$B92,'Sourcing &amp; MRP payments'!$C:$C,Vertical_Cash_flow!$B$89)</f>
        <v>0</v>
      </c>
      <c r="AI92" s="32">
        <f>SUMIFS('Sourcing &amp; MRP payments'!$G:$G,'Sourcing &amp; MRP payments'!$O:$O,Vertical_Cash_flow!AG$11,'Sourcing &amp; MRP payments'!$F:$F,Vertical_Cash_flow!AI$15,'Sourcing &amp; MRP payments'!$A:$A,Vertical_Cash_flow!$E$14,'Sourcing &amp; MRP payments'!$D:$D,Vertical_Cash_flow!$B92,'Sourcing &amp; MRP payments'!$C:$C,Vertical_Cash_flow!$B$89)</f>
        <v>0</v>
      </c>
      <c r="AJ92" s="32">
        <f>SUMIFS('Sourcing &amp; MRP payments'!$G:$G,'Sourcing &amp; MRP payments'!$O:$O,Vertical_Cash_flow!AG$11,'Sourcing &amp; MRP payments'!$F:$F,Vertical_Cash_flow!AJ$15,'Sourcing &amp; MRP payments'!$A:$A,Vertical_Cash_flow!$F$14,'Sourcing &amp; MRP payments'!$D:$D,Vertical_Cash_flow!$B92,'Sourcing &amp; MRP payments'!$C:$C,Vertical_Cash_flow!$B$89)</f>
        <v>0</v>
      </c>
      <c r="AK92" s="200">
        <f t="shared" si="217"/>
        <v>0</v>
      </c>
      <c r="AL92" s="200">
        <f t="shared" si="218"/>
        <v>0</v>
      </c>
      <c r="AM92" s="48">
        <f>SUMIFS('Sourcing &amp; MRP payments'!$G:$G,'Sourcing &amp; MRP payments'!$O:$O,Vertical_Cash_flow!AM$11,'Sourcing &amp; MRP payments'!$F:$F,Vertical_Cash_flow!AM$15,'Sourcing &amp; MRP payments'!$A:$A,Vertical_Cash_flow!$C$14,'Sourcing &amp; MRP payments'!$D:$D,Vertical_Cash_flow!$B92,'Sourcing &amp; MRP payments'!$C:$C,Vertical_Cash_flow!$B$89)</f>
        <v>0</v>
      </c>
      <c r="AN92" s="32">
        <f>SUMIFS('Sourcing &amp; MRP payments'!$G:$G,'Sourcing &amp; MRP payments'!$O:$O,Vertical_Cash_flow!AM$11,'Sourcing &amp; MRP payments'!$F:$F,Vertical_Cash_flow!AN$15,'Sourcing &amp; MRP payments'!$A:$A,Vertical_Cash_flow!$D$14,'Sourcing &amp; MRP payments'!$D:$D,Vertical_Cash_flow!$B92,'Sourcing &amp; MRP payments'!$C:$C,Vertical_Cash_flow!$B$89)</f>
        <v>0</v>
      </c>
      <c r="AO92" s="32">
        <f>SUMIFS('Sourcing &amp; MRP payments'!$G:$G,'Sourcing &amp; MRP payments'!$O:$O,Vertical_Cash_flow!AM$11,'Sourcing &amp; MRP payments'!$F:$F,Vertical_Cash_flow!AO$15,'Sourcing &amp; MRP payments'!$A:$A,Vertical_Cash_flow!$E$14,'Sourcing &amp; MRP payments'!$D:$D,Vertical_Cash_flow!$B92,'Sourcing &amp; MRP payments'!$C:$C,Vertical_Cash_flow!$B$89)</f>
        <v>0</v>
      </c>
      <c r="AP92" s="32">
        <f>SUMIFS('Sourcing &amp; MRP payments'!$G:$G,'Sourcing &amp; MRP payments'!$O:$O,Vertical_Cash_flow!AM$11,'Sourcing &amp; MRP payments'!$F:$F,Vertical_Cash_flow!AP$15,'Sourcing &amp; MRP payments'!$A:$A,Vertical_Cash_flow!$F$14,'Sourcing &amp; MRP payments'!$D:$D,Vertical_Cash_flow!$B92,'Sourcing &amp; MRP payments'!$C:$C,Vertical_Cash_flow!$B$89)</f>
        <v>0</v>
      </c>
      <c r="AQ92" s="200">
        <f t="shared" si="219"/>
        <v>0</v>
      </c>
      <c r="AR92" s="200">
        <f t="shared" si="220"/>
        <v>0</v>
      </c>
      <c r="AS92" s="48">
        <f>SUMIFS('Sourcing &amp; MRP payments'!$G:$G,'Sourcing &amp; MRP payments'!$O:$O,Vertical_Cash_flow!AS$11,'Sourcing &amp; MRP payments'!$F:$F,Vertical_Cash_flow!AS$15,'Sourcing &amp; MRP payments'!$A:$A,Vertical_Cash_flow!$C$14,'Sourcing &amp; MRP payments'!$D:$D,Vertical_Cash_flow!$B92,'Sourcing &amp; MRP payments'!$C:$C,Vertical_Cash_flow!$B$89)</f>
        <v>0</v>
      </c>
      <c r="AT92" s="32">
        <f>SUMIFS('Sourcing &amp; MRP payments'!$G:$G,'Sourcing &amp; MRP payments'!$O:$O,Vertical_Cash_flow!AS$11,'Sourcing &amp; MRP payments'!$F:$F,Vertical_Cash_flow!AT$15,'Sourcing &amp; MRP payments'!$A:$A,Vertical_Cash_flow!$D$14,'Sourcing &amp; MRP payments'!$D:$D,Vertical_Cash_flow!$B92,'Sourcing &amp; MRP payments'!$C:$C,Vertical_Cash_flow!$B$89)</f>
        <v>0</v>
      </c>
      <c r="AU92" s="32">
        <f>SUMIFS('Sourcing &amp; MRP payments'!$G:$G,'Sourcing &amp; MRP payments'!$O:$O,Vertical_Cash_flow!AS$11,'Sourcing &amp; MRP payments'!$F:$F,Vertical_Cash_flow!AU$15,'Sourcing &amp; MRP payments'!$A:$A,Vertical_Cash_flow!$E$14,'Sourcing &amp; MRP payments'!$D:$D,Vertical_Cash_flow!$B92,'Sourcing &amp; MRP payments'!$C:$C,Vertical_Cash_flow!$B$89)</f>
        <v>0</v>
      </c>
      <c r="AV92" s="32">
        <f>SUMIFS('Sourcing &amp; MRP payments'!$G:$G,'Sourcing &amp; MRP payments'!$O:$O,Vertical_Cash_flow!AS$11,'Sourcing &amp; MRP payments'!$F:$F,Vertical_Cash_flow!AV$15,'Sourcing &amp; MRP payments'!$A:$A,Vertical_Cash_flow!$F$14,'Sourcing &amp; MRP payments'!$D:$D,Vertical_Cash_flow!$B92,'Sourcing &amp; MRP payments'!$C:$C,Vertical_Cash_flow!$B$89)</f>
        <v>0</v>
      </c>
      <c r="AW92" s="200">
        <f t="shared" si="221"/>
        <v>0</v>
      </c>
      <c r="AX92" s="200">
        <f t="shared" si="222"/>
        <v>0</v>
      </c>
      <c r="AZ92" s="200">
        <f t="shared" si="173"/>
        <v>0</v>
      </c>
    </row>
    <row r="93" spans="1:52" outlineLevel="1" x14ac:dyDescent="0.2">
      <c r="A93" s="232"/>
      <c r="B93" s="98"/>
      <c r="C93" s="45"/>
      <c r="D93" s="25"/>
      <c r="E93" s="25"/>
      <c r="F93" s="25"/>
      <c r="G93" s="45"/>
      <c r="H93" s="45"/>
      <c r="I93" s="45"/>
      <c r="J93" s="25"/>
      <c r="K93" s="25"/>
      <c r="L93" s="25"/>
      <c r="M93" s="45"/>
      <c r="N93" s="45"/>
      <c r="O93" s="45"/>
      <c r="P93" s="25"/>
      <c r="Q93" s="25"/>
      <c r="R93" s="25"/>
      <c r="S93" s="45"/>
      <c r="T93" s="45"/>
      <c r="U93" s="45"/>
      <c r="V93" s="25"/>
      <c r="W93" s="25"/>
      <c r="X93" s="25"/>
      <c r="Y93" s="45"/>
      <c r="Z93" s="45"/>
      <c r="AA93" s="45"/>
      <c r="AB93" s="25"/>
      <c r="AC93" s="25"/>
      <c r="AD93" s="25"/>
      <c r="AE93" s="45"/>
      <c r="AF93" s="45"/>
      <c r="AG93" s="45"/>
      <c r="AH93" s="25"/>
      <c r="AI93" s="25"/>
      <c r="AJ93" s="25"/>
      <c r="AK93" s="45"/>
      <c r="AL93" s="45"/>
      <c r="AM93" s="45"/>
      <c r="AN93" s="25"/>
      <c r="AO93" s="25"/>
      <c r="AP93" s="25"/>
      <c r="AQ93" s="45"/>
      <c r="AR93" s="45"/>
      <c r="AS93" s="45"/>
      <c r="AT93" s="25"/>
      <c r="AU93" s="25"/>
      <c r="AV93" s="25"/>
      <c r="AW93" s="45"/>
      <c r="AX93" s="45"/>
      <c r="AZ93" s="200">
        <f t="shared" si="173"/>
        <v>0</v>
      </c>
    </row>
    <row r="94" spans="1:52" s="3" customFormat="1" ht="12.75" customHeight="1" outlineLevel="1" x14ac:dyDescent="0.2">
      <c r="A94" s="654" t="s">
        <v>462</v>
      </c>
      <c r="B94" s="182" t="s">
        <v>70</v>
      </c>
      <c r="C94" s="54">
        <f>SUM(C95:C99)</f>
        <v>0</v>
      </c>
      <c r="D94" s="31">
        <f t="shared" ref="D94:H94" si="223">SUM(D95:D99)</f>
        <v>0</v>
      </c>
      <c r="E94" s="31">
        <f t="shared" si="223"/>
        <v>0</v>
      </c>
      <c r="F94" s="31">
        <f t="shared" si="223"/>
        <v>0</v>
      </c>
      <c r="G94" s="54">
        <f t="shared" si="223"/>
        <v>0</v>
      </c>
      <c r="H94" s="54">
        <f t="shared" si="223"/>
        <v>0</v>
      </c>
      <c r="I94" s="54">
        <f>SUM(I95:I99)</f>
        <v>87000</v>
      </c>
      <c r="J94" s="31">
        <f t="shared" ref="J94:N94" si="224">SUM(J95:J99)</f>
        <v>491700</v>
      </c>
      <c r="K94" s="31">
        <f t="shared" si="224"/>
        <v>0</v>
      </c>
      <c r="L94" s="31">
        <f t="shared" si="224"/>
        <v>0</v>
      </c>
      <c r="M94" s="54">
        <f t="shared" si="224"/>
        <v>578700</v>
      </c>
      <c r="N94" s="54">
        <f t="shared" si="224"/>
        <v>173610</v>
      </c>
      <c r="O94" s="54">
        <f>SUM(O95:O99)</f>
        <v>0</v>
      </c>
      <c r="P94" s="31">
        <f t="shared" ref="P94:T94" si="225">SUM(P95:P99)</f>
        <v>0</v>
      </c>
      <c r="Q94" s="31">
        <f t="shared" si="225"/>
        <v>0</v>
      </c>
      <c r="R94" s="31">
        <f t="shared" si="225"/>
        <v>0</v>
      </c>
      <c r="S94" s="54">
        <f t="shared" si="225"/>
        <v>0</v>
      </c>
      <c r="T94" s="54">
        <f t="shared" si="225"/>
        <v>0</v>
      </c>
      <c r="U94" s="54">
        <f>SUM(U95:U99)</f>
        <v>0</v>
      </c>
      <c r="V94" s="31">
        <f t="shared" ref="V94:Z94" si="226">SUM(V95:V99)</f>
        <v>0</v>
      </c>
      <c r="W94" s="31">
        <f t="shared" si="226"/>
        <v>0</v>
      </c>
      <c r="X94" s="31">
        <f t="shared" si="226"/>
        <v>0</v>
      </c>
      <c r="Y94" s="54">
        <f t="shared" si="226"/>
        <v>0</v>
      </c>
      <c r="Z94" s="54">
        <f t="shared" si="226"/>
        <v>0</v>
      </c>
      <c r="AA94" s="54">
        <f>SUM(AA95:AA99)</f>
        <v>0</v>
      </c>
      <c r="AB94" s="31">
        <f t="shared" ref="AB94:AF94" si="227">SUM(AB95:AB99)</f>
        <v>0</v>
      </c>
      <c r="AC94" s="31">
        <f t="shared" si="227"/>
        <v>0</v>
      </c>
      <c r="AD94" s="31">
        <f t="shared" si="227"/>
        <v>0</v>
      </c>
      <c r="AE94" s="54">
        <f t="shared" si="227"/>
        <v>0</v>
      </c>
      <c r="AF94" s="54">
        <f t="shared" si="227"/>
        <v>0</v>
      </c>
      <c r="AG94" s="54">
        <f>SUM(AG95:AG99)</f>
        <v>0</v>
      </c>
      <c r="AH94" s="31">
        <f t="shared" ref="AH94:AL94" si="228">SUM(AH95:AH99)</f>
        <v>0</v>
      </c>
      <c r="AI94" s="31">
        <f t="shared" si="228"/>
        <v>0</v>
      </c>
      <c r="AJ94" s="31">
        <f t="shared" si="228"/>
        <v>0</v>
      </c>
      <c r="AK94" s="54">
        <f t="shared" si="228"/>
        <v>0</v>
      </c>
      <c r="AL94" s="54">
        <f t="shared" si="228"/>
        <v>0</v>
      </c>
      <c r="AM94" s="54">
        <f>SUM(AM95:AM99)</f>
        <v>87000</v>
      </c>
      <c r="AN94" s="31">
        <f t="shared" ref="AN94:AR94" si="229">SUM(AN95:AN99)</f>
        <v>491700</v>
      </c>
      <c r="AO94" s="31">
        <f t="shared" si="229"/>
        <v>0</v>
      </c>
      <c r="AP94" s="31">
        <f t="shared" si="229"/>
        <v>0</v>
      </c>
      <c r="AQ94" s="54">
        <f t="shared" si="229"/>
        <v>578700</v>
      </c>
      <c r="AR94" s="54">
        <f t="shared" si="229"/>
        <v>173610</v>
      </c>
      <c r="AS94" s="54">
        <f>SUM(AS95:AS99)</f>
        <v>0</v>
      </c>
      <c r="AT94" s="31">
        <f t="shared" ref="AT94:AX94" si="230">SUM(AT95:AT99)</f>
        <v>0</v>
      </c>
      <c r="AU94" s="31">
        <f t="shared" si="230"/>
        <v>0</v>
      </c>
      <c r="AV94" s="31">
        <f t="shared" si="230"/>
        <v>0</v>
      </c>
      <c r="AW94" s="54">
        <f t="shared" si="230"/>
        <v>0</v>
      </c>
      <c r="AX94" s="54">
        <f t="shared" si="230"/>
        <v>0</v>
      </c>
      <c r="AZ94" s="54">
        <f t="shared" si="173"/>
        <v>1157400</v>
      </c>
    </row>
    <row r="95" spans="1:52" outlineLevel="1" x14ac:dyDescent="0.2">
      <c r="A95" s="655"/>
      <c r="B95" s="189" t="s">
        <v>29</v>
      </c>
      <c r="C95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payments'!$D:$D,Vertical_Cash_flow!$B95,'Other Operational payments'!$C:$C,Vertical_Cash_flow!$B$94)</f>
        <v>0</v>
      </c>
      <c r="D95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payments'!$D:$D,Vertical_Cash_flow!$B95,'Other Operational payments'!$C:$C,Vertical_Cash_flow!$B$94)</f>
        <v>0</v>
      </c>
      <c r="E95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payments'!$D:$D,Vertical_Cash_flow!$B95,'Other Operational payments'!$C:$C,Vertical_Cash_flow!$B$94)</f>
        <v>0</v>
      </c>
      <c r="F95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payments'!$D:$D,Vertical_Cash_flow!$B95,'Other Operational payments'!$C:$C,Vertical_Cash_flow!$B$94)</f>
        <v>0</v>
      </c>
      <c r="G95" s="200">
        <f>C95+D95+E95/$C$16+F95/$F$16</f>
        <v>0</v>
      </c>
      <c r="H95" s="200">
        <f t="shared" ref="H95" si="231">G95*$C$16</f>
        <v>0</v>
      </c>
      <c r="I95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payments'!$D:$D,Vertical_Cash_flow!$B95,'Other Operational payments'!$C:$C,Vertical_Cash_flow!$B$94)</f>
        <v>0</v>
      </c>
      <c r="J95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payments'!$D:$D,Vertical_Cash_flow!$B95,'Other Operational payments'!$C:$C,Vertical_Cash_flow!$B$94)</f>
        <v>220000</v>
      </c>
      <c r="K95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payments'!$D:$D,Vertical_Cash_flow!$B95,'Other Operational payments'!$C:$C,Vertical_Cash_flow!$B$94)</f>
        <v>0</v>
      </c>
      <c r="L95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payments'!$D:$D,Vertical_Cash_flow!$B95,'Other Operational payments'!$C:$C,Vertical_Cash_flow!$B$94)</f>
        <v>0</v>
      </c>
      <c r="M95" s="200">
        <f>I95+J95+K95/$C$16+L95/$F$16</f>
        <v>220000</v>
      </c>
      <c r="N95" s="200">
        <f t="shared" ref="N95" si="232">M95*$C$16</f>
        <v>66000</v>
      </c>
      <c r="O95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payments'!$D:$D,Vertical_Cash_flow!$B95,'Other Operational payments'!$C:$C,Vertical_Cash_flow!$B$94)</f>
        <v>0</v>
      </c>
      <c r="P95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payments'!$D:$D,Vertical_Cash_flow!$B95,'Other Operational payments'!$C:$C,Vertical_Cash_flow!$B$94)</f>
        <v>0</v>
      </c>
      <c r="Q95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payments'!$D:$D,Vertical_Cash_flow!$B95,'Other Operational payments'!$C:$C,Vertical_Cash_flow!$B$94)</f>
        <v>0</v>
      </c>
      <c r="R95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payments'!$D:$D,Vertical_Cash_flow!$B95,'Other Operational payments'!$C:$C,Vertical_Cash_flow!$B$94)</f>
        <v>0</v>
      </c>
      <c r="S95" s="200">
        <f>O95+P95+Q95/$C$16+R95/$F$16</f>
        <v>0</v>
      </c>
      <c r="T95" s="200">
        <f t="shared" ref="T95" si="233">S95*$C$16</f>
        <v>0</v>
      </c>
      <c r="U95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payments'!$D:$D,Vertical_Cash_flow!$B95,'Other Operational payments'!$C:$C,Vertical_Cash_flow!$B$94)</f>
        <v>0</v>
      </c>
      <c r="V95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payments'!$D:$D,Vertical_Cash_flow!$B95,'Other Operational payments'!$C:$C,Vertical_Cash_flow!$B$94)</f>
        <v>0</v>
      </c>
      <c r="W95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payments'!$D:$D,Vertical_Cash_flow!$B95,'Other Operational payments'!$C:$C,Vertical_Cash_flow!$B$94)</f>
        <v>0</v>
      </c>
      <c r="X95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payments'!$D:$D,Vertical_Cash_flow!$B95,'Other Operational payments'!$C:$C,Vertical_Cash_flow!$B$94)</f>
        <v>0</v>
      </c>
      <c r="Y95" s="200">
        <f>U95+V95+W95/$C$16+X95/$F$16</f>
        <v>0</v>
      </c>
      <c r="Z95" s="200">
        <f t="shared" ref="Z95" si="234">Y95*$C$16</f>
        <v>0</v>
      </c>
      <c r="AA95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payments'!$D:$D,Vertical_Cash_flow!$B95,'Other Operational payments'!$C:$C,Vertical_Cash_flow!$B$94)</f>
        <v>0</v>
      </c>
      <c r="AB95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payments'!$D:$D,Vertical_Cash_flow!$B95,'Other Operational payments'!$C:$C,Vertical_Cash_flow!$B$94)</f>
        <v>0</v>
      </c>
      <c r="AC95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payments'!$D:$D,Vertical_Cash_flow!$B95,'Other Operational payments'!$C:$C,Vertical_Cash_flow!$B$94)</f>
        <v>0</v>
      </c>
      <c r="AD95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payments'!$D:$D,Vertical_Cash_flow!$B95,'Other Operational payments'!$C:$C,Vertical_Cash_flow!$B$94)</f>
        <v>0</v>
      </c>
      <c r="AE95" s="200">
        <f>AA95+AB95+AC95/$C$16+AD95/$F$16</f>
        <v>0</v>
      </c>
      <c r="AF95" s="200">
        <f t="shared" ref="AF95" si="235">AE95*$C$16</f>
        <v>0</v>
      </c>
      <c r="AG95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payments'!$D:$D,Vertical_Cash_flow!$B95,'Other Operational payments'!$C:$C,Vertical_Cash_flow!$B$94)</f>
        <v>0</v>
      </c>
      <c r="AH95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payments'!$D:$D,Vertical_Cash_flow!$B95,'Other Operational payments'!$C:$C,Vertical_Cash_flow!$B$94)</f>
        <v>0</v>
      </c>
      <c r="AI95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payments'!$D:$D,Vertical_Cash_flow!$B95,'Other Operational payments'!$C:$C,Vertical_Cash_flow!$B$94)</f>
        <v>0</v>
      </c>
      <c r="AJ95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payments'!$D:$D,Vertical_Cash_flow!$B95,'Other Operational payments'!$C:$C,Vertical_Cash_flow!$B$94)</f>
        <v>0</v>
      </c>
      <c r="AK95" s="200">
        <f>AG95+AH95+AI95/$C$16+AJ95/$F$16</f>
        <v>0</v>
      </c>
      <c r="AL95" s="200">
        <f t="shared" ref="AL95" si="236">AK95*$C$16</f>
        <v>0</v>
      </c>
      <c r="AM95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payments'!$D:$D,Vertical_Cash_flow!$B95,'Other Operational payments'!$C:$C,Vertical_Cash_flow!$B$94)</f>
        <v>0</v>
      </c>
      <c r="AN95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payments'!$D:$D,Vertical_Cash_flow!$B95,'Other Operational payments'!$C:$C,Vertical_Cash_flow!$B$94)</f>
        <v>220000</v>
      </c>
      <c r="AO95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payments'!$D:$D,Vertical_Cash_flow!$B95,'Other Operational payments'!$C:$C,Vertical_Cash_flow!$B$94)</f>
        <v>0</v>
      </c>
      <c r="AP95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payments'!$D:$D,Vertical_Cash_flow!$B95,'Other Operational payments'!$C:$C,Vertical_Cash_flow!$B$94)</f>
        <v>0</v>
      </c>
      <c r="AQ95" s="200">
        <f>AM95+AN95+AO95/$C$16+AP95/$F$16</f>
        <v>220000</v>
      </c>
      <c r="AR95" s="200">
        <f t="shared" ref="AR95" si="237">AQ95*$C$16</f>
        <v>66000</v>
      </c>
      <c r="AS95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payments'!$D:$D,Vertical_Cash_flow!$B95,'Other Operational payments'!$C:$C,Vertical_Cash_flow!$B$94)</f>
        <v>0</v>
      </c>
      <c r="AT95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payments'!$D:$D,Vertical_Cash_flow!$B95,'Other Operational payments'!$C:$C,Vertical_Cash_flow!$B$94)</f>
        <v>0</v>
      </c>
      <c r="AU95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payments'!$D:$D,Vertical_Cash_flow!$B95,'Other Operational payments'!$C:$C,Vertical_Cash_flow!$B$94)</f>
        <v>0</v>
      </c>
      <c r="AV95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payments'!$D:$D,Vertical_Cash_flow!$B95,'Other Operational payments'!$C:$C,Vertical_Cash_flow!$B$94)</f>
        <v>0</v>
      </c>
      <c r="AW95" s="200">
        <f>AS95+AT95+AU95/$C$16+AV95/$F$16</f>
        <v>0</v>
      </c>
      <c r="AX95" s="200">
        <f t="shared" ref="AX95" si="238">AW95*$C$16</f>
        <v>0</v>
      </c>
      <c r="AZ95" s="200">
        <f t="shared" si="173"/>
        <v>440000</v>
      </c>
    </row>
    <row r="96" spans="1:52" outlineLevel="1" x14ac:dyDescent="0.2">
      <c r="A96" s="655"/>
      <c r="B96" s="189" t="s">
        <v>684</v>
      </c>
      <c r="C96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payments'!$D:$D,Vertical_Cash_flow!$B96,'Other Operational payments'!$C:$C,Vertical_Cash_flow!$B$94)</f>
        <v>0</v>
      </c>
      <c r="D96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payments'!$D:$D,Vertical_Cash_flow!$B96,'Other Operational payments'!$C:$C,Vertical_Cash_flow!$B$94)</f>
        <v>0</v>
      </c>
      <c r="E96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payments'!$D:$D,Vertical_Cash_flow!$B96,'Other Operational payments'!$C:$C,Vertical_Cash_flow!$B$94)</f>
        <v>0</v>
      </c>
      <c r="F96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payments'!$D:$D,Vertical_Cash_flow!$B96,'Other Operational payments'!$C:$C,Vertical_Cash_flow!$B$94)</f>
        <v>0</v>
      </c>
      <c r="G96" s="200">
        <f t="shared" ref="G96:G99" si="239">C96+D96+E96/$C$16+F96/$F$16</f>
        <v>0</v>
      </c>
      <c r="H96" s="200">
        <f>C96*C$16+D96*D$16+G96*G$16+E96+F96*F$16</f>
        <v>0</v>
      </c>
      <c r="I96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payments'!$D:$D,Vertical_Cash_flow!$B96,'Other Operational payments'!$C:$C,Vertical_Cash_flow!$B$94)</f>
        <v>25000</v>
      </c>
      <c r="J96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payments'!$D:$D,Vertical_Cash_flow!$B96,'Other Operational payments'!$C:$C,Vertical_Cash_flow!$B$94)</f>
        <v>6500</v>
      </c>
      <c r="K96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payments'!$D:$D,Vertical_Cash_flow!$B96,'Other Operational payments'!$C:$C,Vertical_Cash_flow!$B$94)</f>
        <v>0</v>
      </c>
      <c r="L96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payments'!$D:$D,Vertical_Cash_flow!$B96,'Other Operational payments'!$C:$C,Vertical_Cash_flow!$B$94)</f>
        <v>0</v>
      </c>
      <c r="M96" s="200">
        <f t="shared" ref="M96:M99" si="240">I96+J96+K96/$C$16+L96/$F$16</f>
        <v>31500</v>
      </c>
      <c r="N96" s="200">
        <f>I96*I$16+J96*J$16+M96*M$16+K96+L96*L$16</f>
        <v>9450</v>
      </c>
      <c r="O96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payments'!$D:$D,Vertical_Cash_flow!$B96,'Other Operational payments'!$C:$C,Vertical_Cash_flow!$B$94)</f>
        <v>0</v>
      </c>
      <c r="P96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payments'!$D:$D,Vertical_Cash_flow!$B96,'Other Operational payments'!$C:$C,Vertical_Cash_flow!$B$94)</f>
        <v>0</v>
      </c>
      <c r="Q96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payments'!$D:$D,Vertical_Cash_flow!$B96,'Other Operational payments'!$C:$C,Vertical_Cash_flow!$B$94)</f>
        <v>0</v>
      </c>
      <c r="R96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payments'!$D:$D,Vertical_Cash_flow!$B96,'Other Operational payments'!$C:$C,Vertical_Cash_flow!$B$94)</f>
        <v>0</v>
      </c>
      <c r="S96" s="200">
        <f t="shared" ref="S96:S99" si="241">O96+P96+Q96/$C$16+R96/$F$16</f>
        <v>0</v>
      </c>
      <c r="T96" s="200">
        <f>O96*O$16+P96*P$16+S96*S$16+Q96+R96*R$16</f>
        <v>0</v>
      </c>
      <c r="U96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payments'!$D:$D,Vertical_Cash_flow!$B96,'Other Operational payments'!$C:$C,Vertical_Cash_flow!$B$94)</f>
        <v>0</v>
      </c>
      <c r="V96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payments'!$D:$D,Vertical_Cash_flow!$B96,'Other Operational payments'!$C:$C,Vertical_Cash_flow!$B$94)</f>
        <v>0</v>
      </c>
      <c r="W96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payments'!$D:$D,Vertical_Cash_flow!$B96,'Other Operational payments'!$C:$C,Vertical_Cash_flow!$B$94)</f>
        <v>0</v>
      </c>
      <c r="X96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payments'!$D:$D,Vertical_Cash_flow!$B96,'Other Operational payments'!$C:$C,Vertical_Cash_flow!$B$94)</f>
        <v>0</v>
      </c>
      <c r="Y96" s="200">
        <f t="shared" ref="Y96:Y99" si="242">U96+V96+W96/$C$16+X96/$F$16</f>
        <v>0</v>
      </c>
      <c r="Z96" s="200">
        <f>U96*U$16+V96*V$16+Y96*Y$16+W96+X96*X$16</f>
        <v>0</v>
      </c>
      <c r="AA96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payments'!$D:$D,Vertical_Cash_flow!$B96,'Other Operational payments'!$C:$C,Vertical_Cash_flow!$B$94)</f>
        <v>0</v>
      </c>
      <c r="AB96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payments'!$D:$D,Vertical_Cash_flow!$B96,'Other Operational payments'!$C:$C,Vertical_Cash_flow!$B$94)</f>
        <v>0</v>
      </c>
      <c r="AC96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payments'!$D:$D,Vertical_Cash_flow!$B96,'Other Operational payments'!$C:$C,Vertical_Cash_flow!$B$94)</f>
        <v>0</v>
      </c>
      <c r="AD96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payments'!$D:$D,Vertical_Cash_flow!$B96,'Other Operational payments'!$C:$C,Vertical_Cash_flow!$B$94)</f>
        <v>0</v>
      </c>
      <c r="AE96" s="200">
        <f t="shared" ref="AE96:AE99" si="243">AA96+AB96+AC96/$C$16+AD96/$F$16</f>
        <v>0</v>
      </c>
      <c r="AF96" s="200">
        <f>AA96*AA$16+AB96*AB$16+AE96*AE$16+AC96+AD96*AD$16</f>
        <v>0</v>
      </c>
      <c r="AG96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payments'!$D:$D,Vertical_Cash_flow!$B96,'Other Operational payments'!$C:$C,Vertical_Cash_flow!$B$94)</f>
        <v>0</v>
      </c>
      <c r="AH96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payments'!$D:$D,Vertical_Cash_flow!$B96,'Other Operational payments'!$C:$C,Vertical_Cash_flow!$B$94)</f>
        <v>0</v>
      </c>
      <c r="AI96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payments'!$D:$D,Vertical_Cash_flow!$B96,'Other Operational payments'!$C:$C,Vertical_Cash_flow!$B$94)</f>
        <v>0</v>
      </c>
      <c r="AJ96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payments'!$D:$D,Vertical_Cash_flow!$B96,'Other Operational payments'!$C:$C,Vertical_Cash_flow!$B$94)</f>
        <v>0</v>
      </c>
      <c r="AK96" s="200">
        <f t="shared" ref="AK96:AK99" si="244">AG96+AH96+AI96/$C$16+AJ96/$F$16</f>
        <v>0</v>
      </c>
      <c r="AL96" s="200">
        <f>AG96*AG$16+AH96*AH$16+AK96*AK$16+AI96+AJ96*AJ$16</f>
        <v>0</v>
      </c>
      <c r="AM96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payments'!$D:$D,Vertical_Cash_flow!$B96,'Other Operational payments'!$C:$C,Vertical_Cash_flow!$B$94)</f>
        <v>25000</v>
      </c>
      <c r="AN96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payments'!$D:$D,Vertical_Cash_flow!$B96,'Other Operational payments'!$C:$C,Vertical_Cash_flow!$B$94)</f>
        <v>6500</v>
      </c>
      <c r="AO96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payments'!$D:$D,Vertical_Cash_flow!$B96,'Other Operational payments'!$C:$C,Vertical_Cash_flow!$B$94)</f>
        <v>0</v>
      </c>
      <c r="AP96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payments'!$D:$D,Vertical_Cash_flow!$B96,'Other Operational payments'!$C:$C,Vertical_Cash_flow!$B$94)</f>
        <v>0</v>
      </c>
      <c r="AQ96" s="200">
        <f t="shared" ref="AQ96:AQ99" si="245">AM96+AN96+AO96/$C$16+AP96/$F$16</f>
        <v>31500</v>
      </c>
      <c r="AR96" s="200">
        <f>AM96*AM$16+AN96*AN$16+AQ96*AQ$16+AO96+AP96*AP$16</f>
        <v>9450</v>
      </c>
      <c r="AS96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payments'!$D:$D,Vertical_Cash_flow!$B96,'Other Operational payments'!$C:$C,Vertical_Cash_flow!$B$94)</f>
        <v>0</v>
      </c>
      <c r="AT96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payments'!$D:$D,Vertical_Cash_flow!$B96,'Other Operational payments'!$C:$C,Vertical_Cash_flow!$B$94)</f>
        <v>0</v>
      </c>
      <c r="AU96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payments'!$D:$D,Vertical_Cash_flow!$B96,'Other Operational payments'!$C:$C,Vertical_Cash_flow!$B$94)</f>
        <v>0</v>
      </c>
      <c r="AV96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payments'!$D:$D,Vertical_Cash_flow!$B96,'Other Operational payments'!$C:$C,Vertical_Cash_flow!$B$94)</f>
        <v>0</v>
      </c>
      <c r="AW96" s="200">
        <f t="shared" ref="AW96:AW99" si="246">AS96+AT96+AU96/$C$16+AV96/$F$16</f>
        <v>0</v>
      </c>
      <c r="AX96" s="200">
        <f>AS96*AS$16+AT96*AT$16+AW96*AW$16+AU96+AV96*AV$16</f>
        <v>0</v>
      </c>
      <c r="AZ96" s="200">
        <f t="shared" si="173"/>
        <v>63000</v>
      </c>
    </row>
    <row r="97" spans="1:52" outlineLevel="1" x14ac:dyDescent="0.2">
      <c r="A97" s="655"/>
      <c r="B97" s="189" t="s">
        <v>5</v>
      </c>
      <c r="C97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payments'!$D:$D,Vertical_Cash_flow!$B97,'Other Operational payments'!$C:$C,Vertical_Cash_flow!$B$94)</f>
        <v>0</v>
      </c>
      <c r="D97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payments'!$D:$D,Vertical_Cash_flow!$B97,'Other Operational payments'!$C:$C,Vertical_Cash_flow!$B$94)</f>
        <v>0</v>
      </c>
      <c r="E97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payments'!$D:$D,Vertical_Cash_flow!$B97,'Other Operational payments'!$C:$C,Vertical_Cash_flow!$B$94)</f>
        <v>0</v>
      </c>
      <c r="F97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payments'!$D:$D,Vertical_Cash_flow!$B97,'Other Operational payments'!$C:$C,Vertical_Cash_flow!$B$94)</f>
        <v>0</v>
      </c>
      <c r="G97" s="200">
        <f t="shared" si="239"/>
        <v>0</v>
      </c>
      <c r="H97" s="200">
        <f>C97*C$16+D97*D$16+G97*G$16+E97+F97*F$16</f>
        <v>0</v>
      </c>
      <c r="I97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payments'!$D:$D,Vertical_Cash_flow!$B97,'Other Operational payments'!$C:$C,Vertical_Cash_flow!$B$94)</f>
        <v>62000</v>
      </c>
      <c r="J97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payments'!$D:$D,Vertical_Cash_flow!$B97,'Other Operational payments'!$C:$C,Vertical_Cash_flow!$B$94)</f>
        <v>265200</v>
      </c>
      <c r="K97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payments'!$D:$D,Vertical_Cash_flow!$B97,'Other Operational payments'!$C:$C,Vertical_Cash_flow!$B$94)</f>
        <v>0</v>
      </c>
      <c r="L97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payments'!$D:$D,Vertical_Cash_flow!$B97,'Other Operational payments'!$C:$C,Vertical_Cash_flow!$B$94)</f>
        <v>0</v>
      </c>
      <c r="M97" s="200">
        <f t="shared" si="240"/>
        <v>327200</v>
      </c>
      <c r="N97" s="200">
        <f>I97*I$16+J97*J$16+M97*M$16+K97+L97*L$16</f>
        <v>98160</v>
      </c>
      <c r="O97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payments'!$D:$D,Vertical_Cash_flow!$B97,'Other Operational payments'!$C:$C,Vertical_Cash_flow!$B$94)</f>
        <v>0</v>
      </c>
      <c r="P97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payments'!$D:$D,Vertical_Cash_flow!$B97,'Other Operational payments'!$C:$C,Vertical_Cash_flow!$B$94)</f>
        <v>0</v>
      </c>
      <c r="Q97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payments'!$D:$D,Vertical_Cash_flow!$B97,'Other Operational payments'!$C:$C,Vertical_Cash_flow!$B$94)</f>
        <v>0</v>
      </c>
      <c r="R97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payments'!$D:$D,Vertical_Cash_flow!$B97,'Other Operational payments'!$C:$C,Vertical_Cash_flow!$B$94)</f>
        <v>0</v>
      </c>
      <c r="S97" s="200">
        <f t="shared" si="241"/>
        <v>0</v>
      </c>
      <c r="T97" s="200">
        <f>O97*O$16+P97*P$16+S97*S$16+Q97+R97*R$16</f>
        <v>0</v>
      </c>
      <c r="U97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payments'!$D:$D,Vertical_Cash_flow!$B97,'Other Operational payments'!$C:$C,Vertical_Cash_flow!$B$94)</f>
        <v>0</v>
      </c>
      <c r="V97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payments'!$D:$D,Vertical_Cash_flow!$B97,'Other Operational payments'!$C:$C,Vertical_Cash_flow!$B$94)</f>
        <v>0</v>
      </c>
      <c r="W97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payments'!$D:$D,Vertical_Cash_flow!$B97,'Other Operational payments'!$C:$C,Vertical_Cash_flow!$B$94)</f>
        <v>0</v>
      </c>
      <c r="X97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payments'!$D:$D,Vertical_Cash_flow!$B97,'Other Operational payments'!$C:$C,Vertical_Cash_flow!$B$94)</f>
        <v>0</v>
      </c>
      <c r="Y97" s="200">
        <f t="shared" si="242"/>
        <v>0</v>
      </c>
      <c r="Z97" s="200">
        <f>U97*U$16+V97*V$16+Y97*Y$16+W97+X97*X$16</f>
        <v>0</v>
      </c>
      <c r="AA97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payments'!$D:$D,Vertical_Cash_flow!$B97,'Other Operational payments'!$C:$C,Vertical_Cash_flow!$B$94)</f>
        <v>0</v>
      </c>
      <c r="AB97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payments'!$D:$D,Vertical_Cash_flow!$B97,'Other Operational payments'!$C:$C,Vertical_Cash_flow!$B$94)</f>
        <v>0</v>
      </c>
      <c r="AC97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payments'!$D:$D,Vertical_Cash_flow!$B97,'Other Operational payments'!$C:$C,Vertical_Cash_flow!$B$94)</f>
        <v>0</v>
      </c>
      <c r="AD97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payments'!$D:$D,Vertical_Cash_flow!$B97,'Other Operational payments'!$C:$C,Vertical_Cash_flow!$B$94)</f>
        <v>0</v>
      </c>
      <c r="AE97" s="200">
        <f t="shared" si="243"/>
        <v>0</v>
      </c>
      <c r="AF97" s="200">
        <f>AA97*AA$16+AB97*AB$16+AE97*AE$16+AC97+AD97*AD$16</f>
        <v>0</v>
      </c>
      <c r="AG97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payments'!$D:$D,Vertical_Cash_flow!$B97,'Other Operational payments'!$C:$C,Vertical_Cash_flow!$B$94)</f>
        <v>0</v>
      </c>
      <c r="AH97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payments'!$D:$D,Vertical_Cash_flow!$B97,'Other Operational payments'!$C:$C,Vertical_Cash_flow!$B$94)</f>
        <v>0</v>
      </c>
      <c r="AI97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payments'!$D:$D,Vertical_Cash_flow!$B97,'Other Operational payments'!$C:$C,Vertical_Cash_flow!$B$94)</f>
        <v>0</v>
      </c>
      <c r="AJ97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payments'!$D:$D,Vertical_Cash_flow!$B97,'Other Operational payments'!$C:$C,Vertical_Cash_flow!$B$94)</f>
        <v>0</v>
      </c>
      <c r="AK97" s="200">
        <f t="shared" si="244"/>
        <v>0</v>
      </c>
      <c r="AL97" s="200">
        <f>AG97*AG$16+AH97*AH$16+AK97*AK$16+AI97+AJ97*AJ$16</f>
        <v>0</v>
      </c>
      <c r="AM97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payments'!$D:$D,Vertical_Cash_flow!$B97,'Other Operational payments'!$C:$C,Vertical_Cash_flow!$B$94)</f>
        <v>62000</v>
      </c>
      <c r="AN97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payments'!$D:$D,Vertical_Cash_flow!$B97,'Other Operational payments'!$C:$C,Vertical_Cash_flow!$B$94)</f>
        <v>265200</v>
      </c>
      <c r="AO97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payments'!$D:$D,Vertical_Cash_flow!$B97,'Other Operational payments'!$C:$C,Vertical_Cash_flow!$B$94)</f>
        <v>0</v>
      </c>
      <c r="AP97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payments'!$D:$D,Vertical_Cash_flow!$B97,'Other Operational payments'!$C:$C,Vertical_Cash_flow!$B$94)</f>
        <v>0</v>
      </c>
      <c r="AQ97" s="200">
        <f t="shared" si="245"/>
        <v>327200</v>
      </c>
      <c r="AR97" s="200">
        <f>AM97*AM$16+AN97*AN$16+AQ97*AQ$16+AO97+AP97*AP$16</f>
        <v>98160</v>
      </c>
      <c r="AS97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payments'!$D:$D,Vertical_Cash_flow!$B97,'Other Operational payments'!$C:$C,Vertical_Cash_flow!$B$94)</f>
        <v>0</v>
      </c>
      <c r="AT97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payments'!$D:$D,Vertical_Cash_flow!$B97,'Other Operational payments'!$C:$C,Vertical_Cash_flow!$B$94)</f>
        <v>0</v>
      </c>
      <c r="AU97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payments'!$D:$D,Vertical_Cash_flow!$B97,'Other Operational payments'!$C:$C,Vertical_Cash_flow!$B$94)</f>
        <v>0</v>
      </c>
      <c r="AV97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payments'!$D:$D,Vertical_Cash_flow!$B97,'Other Operational payments'!$C:$C,Vertical_Cash_flow!$B$94)</f>
        <v>0</v>
      </c>
      <c r="AW97" s="200">
        <f t="shared" si="246"/>
        <v>0</v>
      </c>
      <c r="AX97" s="200">
        <f>AS97*AS$16+AT97*AT$16+AW97*AW$16+AU97+AV97*AV$16</f>
        <v>0</v>
      </c>
      <c r="AZ97" s="200">
        <f t="shared" si="173"/>
        <v>654400</v>
      </c>
    </row>
    <row r="98" spans="1:52" outlineLevel="1" x14ac:dyDescent="0.2">
      <c r="A98" s="655"/>
      <c r="B98" s="189" t="s">
        <v>71</v>
      </c>
      <c r="C98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payments'!$D:$D,Vertical_Cash_flow!$B98,'Other Operational payments'!$C:$C,Vertical_Cash_flow!$B$94)</f>
        <v>0</v>
      </c>
      <c r="D98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payments'!$D:$D,Vertical_Cash_flow!$B98,'Other Operational payments'!$C:$C,Vertical_Cash_flow!$B$94)</f>
        <v>0</v>
      </c>
      <c r="E98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payments'!$D:$D,Vertical_Cash_flow!$B98,'Other Operational payments'!$C:$C,Vertical_Cash_flow!$B$94)</f>
        <v>0</v>
      </c>
      <c r="F98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payments'!$D:$D,Vertical_Cash_flow!$B98,'Other Operational payments'!$C:$C,Vertical_Cash_flow!$B$94)</f>
        <v>0</v>
      </c>
      <c r="G98" s="200">
        <f t="shared" si="239"/>
        <v>0</v>
      </c>
      <c r="H98" s="200">
        <f>C98*C$16+D98*D$16+G98*G$16+E98+F98*F$16</f>
        <v>0</v>
      </c>
      <c r="I98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payments'!$D:$D,Vertical_Cash_flow!$B98,'Other Operational payments'!$C:$C,Vertical_Cash_flow!$B$94)</f>
        <v>0</v>
      </c>
      <c r="J98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payments'!$D:$D,Vertical_Cash_flow!$B98,'Other Operational payments'!$C:$C,Vertical_Cash_flow!$B$94)</f>
        <v>0</v>
      </c>
      <c r="K98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payments'!$D:$D,Vertical_Cash_flow!$B98,'Other Operational payments'!$C:$C,Vertical_Cash_flow!$B$94)</f>
        <v>0</v>
      </c>
      <c r="L98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payments'!$D:$D,Vertical_Cash_flow!$B98,'Other Operational payments'!$C:$C,Vertical_Cash_flow!$B$94)</f>
        <v>0</v>
      </c>
      <c r="M98" s="200">
        <f t="shared" si="240"/>
        <v>0</v>
      </c>
      <c r="N98" s="200">
        <f>I98*I$16+J98*J$16+M98*M$16+K98+L98*L$16</f>
        <v>0</v>
      </c>
      <c r="O98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payments'!$D:$D,Vertical_Cash_flow!$B98,'Other Operational payments'!$C:$C,Vertical_Cash_flow!$B$94)</f>
        <v>0</v>
      </c>
      <c r="P98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payments'!$D:$D,Vertical_Cash_flow!$B98,'Other Operational payments'!$C:$C,Vertical_Cash_flow!$B$94)</f>
        <v>0</v>
      </c>
      <c r="Q98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payments'!$D:$D,Vertical_Cash_flow!$B98,'Other Operational payments'!$C:$C,Vertical_Cash_flow!$B$94)</f>
        <v>0</v>
      </c>
      <c r="R98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payments'!$D:$D,Vertical_Cash_flow!$B98,'Other Operational payments'!$C:$C,Vertical_Cash_flow!$B$94)</f>
        <v>0</v>
      </c>
      <c r="S98" s="200">
        <f t="shared" si="241"/>
        <v>0</v>
      </c>
      <c r="T98" s="200">
        <f>O98*O$16+P98*P$16+S98*S$16+Q98+R98*R$16</f>
        <v>0</v>
      </c>
      <c r="U98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payments'!$D:$D,Vertical_Cash_flow!$B98,'Other Operational payments'!$C:$C,Vertical_Cash_flow!$B$94)</f>
        <v>0</v>
      </c>
      <c r="V98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payments'!$D:$D,Vertical_Cash_flow!$B98,'Other Operational payments'!$C:$C,Vertical_Cash_flow!$B$94)</f>
        <v>0</v>
      </c>
      <c r="W98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payments'!$D:$D,Vertical_Cash_flow!$B98,'Other Operational payments'!$C:$C,Vertical_Cash_flow!$B$94)</f>
        <v>0</v>
      </c>
      <c r="X98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payments'!$D:$D,Vertical_Cash_flow!$B98,'Other Operational payments'!$C:$C,Vertical_Cash_flow!$B$94)</f>
        <v>0</v>
      </c>
      <c r="Y98" s="200">
        <f t="shared" si="242"/>
        <v>0</v>
      </c>
      <c r="Z98" s="200">
        <f>U98*U$16+V98*V$16+Y98*Y$16+W98+X98*X$16</f>
        <v>0</v>
      </c>
      <c r="AA98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payments'!$D:$D,Vertical_Cash_flow!$B98,'Other Operational payments'!$C:$C,Vertical_Cash_flow!$B$94)</f>
        <v>0</v>
      </c>
      <c r="AB98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payments'!$D:$D,Vertical_Cash_flow!$B98,'Other Operational payments'!$C:$C,Vertical_Cash_flow!$B$94)</f>
        <v>0</v>
      </c>
      <c r="AC98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payments'!$D:$D,Vertical_Cash_flow!$B98,'Other Operational payments'!$C:$C,Vertical_Cash_flow!$B$94)</f>
        <v>0</v>
      </c>
      <c r="AD98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payments'!$D:$D,Vertical_Cash_flow!$B98,'Other Operational payments'!$C:$C,Vertical_Cash_flow!$B$94)</f>
        <v>0</v>
      </c>
      <c r="AE98" s="200">
        <f t="shared" si="243"/>
        <v>0</v>
      </c>
      <c r="AF98" s="200">
        <f>AA98*AA$16+AB98*AB$16+AE98*AE$16+AC98+AD98*AD$16</f>
        <v>0</v>
      </c>
      <c r="AG98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payments'!$D:$D,Vertical_Cash_flow!$B98,'Other Operational payments'!$C:$C,Vertical_Cash_flow!$B$94)</f>
        <v>0</v>
      </c>
      <c r="AH98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payments'!$D:$D,Vertical_Cash_flow!$B98,'Other Operational payments'!$C:$C,Vertical_Cash_flow!$B$94)</f>
        <v>0</v>
      </c>
      <c r="AI98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payments'!$D:$D,Vertical_Cash_flow!$B98,'Other Operational payments'!$C:$C,Vertical_Cash_flow!$B$94)</f>
        <v>0</v>
      </c>
      <c r="AJ98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payments'!$D:$D,Vertical_Cash_flow!$B98,'Other Operational payments'!$C:$C,Vertical_Cash_flow!$B$94)</f>
        <v>0</v>
      </c>
      <c r="AK98" s="200">
        <f t="shared" si="244"/>
        <v>0</v>
      </c>
      <c r="AL98" s="200">
        <f>AG98*AG$16+AH98*AH$16+AK98*AK$16+AI98+AJ98*AJ$16</f>
        <v>0</v>
      </c>
      <c r="AM98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payments'!$D:$D,Vertical_Cash_flow!$B98,'Other Operational payments'!$C:$C,Vertical_Cash_flow!$B$94)</f>
        <v>0</v>
      </c>
      <c r="AN98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payments'!$D:$D,Vertical_Cash_flow!$B98,'Other Operational payments'!$C:$C,Vertical_Cash_flow!$B$94)</f>
        <v>0</v>
      </c>
      <c r="AO98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payments'!$D:$D,Vertical_Cash_flow!$B98,'Other Operational payments'!$C:$C,Vertical_Cash_flow!$B$94)</f>
        <v>0</v>
      </c>
      <c r="AP98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payments'!$D:$D,Vertical_Cash_flow!$B98,'Other Operational payments'!$C:$C,Vertical_Cash_flow!$B$94)</f>
        <v>0</v>
      </c>
      <c r="AQ98" s="200">
        <f t="shared" si="245"/>
        <v>0</v>
      </c>
      <c r="AR98" s="200">
        <f>AM98*AM$16+AN98*AN$16+AQ98*AQ$16+AO98+AP98*AP$16</f>
        <v>0</v>
      </c>
      <c r="AS98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payments'!$D:$D,Vertical_Cash_flow!$B98,'Other Operational payments'!$C:$C,Vertical_Cash_flow!$B$94)</f>
        <v>0</v>
      </c>
      <c r="AT98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payments'!$D:$D,Vertical_Cash_flow!$B98,'Other Operational payments'!$C:$C,Vertical_Cash_flow!$B$94)</f>
        <v>0</v>
      </c>
      <c r="AU98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payments'!$D:$D,Vertical_Cash_flow!$B98,'Other Operational payments'!$C:$C,Vertical_Cash_flow!$B$94)</f>
        <v>0</v>
      </c>
      <c r="AV98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payments'!$D:$D,Vertical_Cash_flow!$B98,'Other Operational payments'!$C:$C,Vertical_Cash_flow!$B$94)</f>
        <v>0</v>
      </c>
      <c r="AW98" s="200">
        <f t="shared" si="246"/>
        <v>0</v>
      </c>
      <c r="AX98" s="200">
        <f>AS98*AS$16+AT98*AT$16+AW98*AW$16+AU98+AV98*AV$16</f>
        <v>0</v>
      </c>
      <c r="AZ98" s="200">
        <f t="shared" si="173"/>
        <v>0</v>
      </c>
    </row>
    <row r="99" spans="1:52" outlineLevel="1" x14ac:dyDescent="0.2">
      <c r="A99" s="655"/>
      <c r="B99" s="189" t="s">
        <v>4</v>
      </c>
      <c r="C99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payments'!$D:$D,Vertical_Cash_flow!$B99,'Other Operational payments'!$C:$C,Vertical_Cash_flow!$B$94)</f>
        <v>0</v>
      </c>
      <c r="D99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payments'!$D:$D,Vertical_Cash_flow!$B99,'Other Operational payments'!$C:$C,Vertical_Cash_flow!$B$94)</f>
        <v>0</v>
      </c>
      <c r="E99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payments'!$D:$D,Vertical_Cash_flow!$B99,'Other Operational payments'!$C:$C,Vertical_Cash_flow!$B$94)</f>
        <v>0</v>
      </c>
      <c r="F99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payments'!$D:$D,Vertical_Cash_flow!$B99,'Other Operational payments'!$C:$C,Vertical_Cash_flow!$B$94)</f>
        <v>0</v>
      </c>
      <c r="G99" s="200">
        <f t="shared" si="239"/>
        <v>0</v>
      </c>
      <c r="H99" s="200">
        <f>C99*C$16+D99*D$16+G99*G$16+E99+F99*F$16</f>
        <v>0</v>
      </c>
      <c r="I99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payments'!$D:$D,Vertical_Cash_flow!$B99,'Other Operational payments'!$C:$C,Vertical_Cash_flow!$B$94)</f>
        <v>0</v>
      </c>
      <c r="J99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payments'!$D:$D,Vertical_Cash_flow!$B99,'Other Operational payments'!$C:$C,Vertical_Cash_flow!$B$94)</f>
        <v>0</v>
      </c>
      <c r="K99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payments'!$D:$D,Vertical_Cash_flow!$B99,'Other Operational payments'!$C:$C,Vertical_Cash_flow!$B$94)</f>
        <v>0</v>
      </c>
      <c r="L99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payments'!$D:$D,Vertical_Cash_flow!$B99,'Other Operational payments'!$C:$C,Vertical_Cash_flow!$B$94)</f>
        <v>0</v>
      </c>
      <c r="M99" s="200">
        <f t="shared" si="240"/>
        <v>0</v>
      </c>
      <c r="N99" s="200">
        <f>I99*I$16+J99*J$16+M99*M$16+K99+L99*L$16</f>
        <v>0</v>
      </c>
      <c r="O99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payments'!$D:$D,Vertical_Cash_flow!$B99,'Other Operational payments'!$C:$C,Vertical_Cash_flow!$B$94)</f>
        <v>0</v>
      </c>
      <c r="P99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payments'!$D:$D,Vertical_Cash_flow!$B99,'Other Operational payments'!$C:$C,Vertical_Cash_flow!$B$94)</f>
        <v>0</v>
      </c>
      <c r="Q99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payments'!$D:$D,Vertical_Cash_flow!$B99,'Other Operational payments'!$C:$C,Vertical_Cash_flow!$B$94)</f>
        <v>0</v>
      </c>
      <c r="R99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payments'!$D:$D,Vertical_Cash_flow!$B99,'Other Operational payments'!$C:$C,Vertical_Cash_flow!$B$94)</f>
        <v>0</v>
      </c>
      <c r="S99" s="200">
        <f t="shared" si="241"/>
        <v>0</v>
      </c>
      <c r="T99" s="200">
        <f>O99*O$16+P99*P$16+S99*S$16+Q99+R99*R$16</f>
        <v>0</v>
      </c>
      <c r="U99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payments'!$D:$D,Vertical_Cash_flow!$B99,'Other Operational payments'!$C:$C,Vertical_Cash_flow!$B$94)</f>
        <v>0</v>
      </c>
      <c r="V99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payments'!$D:$D,Vertical_Cash_flow!$B99,'Other Operational payments'!$C:$C,Vertical_Cash_flow!$B$94)</f>
        <v>0</v>
      </c>
      <c r="W99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payments'!$D:$D,Vertical_Cash_flow!$B99,'Other Operational payments'!$C:$C,Vertical_Cash_flow!$B$94)</f>
        <v>0</v>
      </c>
      <c r="X99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payments'!$D:$D,Vertical_Cash_flow!$B99,'Other Operational payments'!$C:$C,Vertical_Cash_flow!$B$94)</f>
        <v>0</v>
      </c>
      <c r="Y99" s="200">
        <f t="shared" si="242"/>
        <v>0</v>
      </c>
      <c r="Z99" s="200">
        <f>U99*U$16+V99*V$16+Y99*Y$16+W99+X99*X$16</f>
        <v>0</v>
      </c>
      <c r="AA99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payments'!$D:$D,Vertical_Cash_flow!$B99,'Other Operational payments'!$C:$C,Vertical_Cash_flow!$B$94)</f>
        <v>0</v>
      </c>
      <c r="AB99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payments'!$D:$D,Vertical_Cash_flow!$B99,'Other Operational payments'!$C:$C,Vertical_Cash_flow!$B$94)</f>
        <v>0</v>
      </c>
      <c r="AC99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payments'!$D:$D,Vertical_Cash_flow!$B99,'Other Operational payments'!$C:$C,Vertical_Cash_flow!$B$94)</f>
        <v>0</v>
      </c>
      <c r="AD99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payments'!$D:$D,Vertical_Cash_flow!$B99,'Other Operational payments'!$C:$C,Vertical_Cash_flow!$B$94)</f>
        <v>0</v>
      </c>
      <c r="AE99" s="200">
        <f t="shared" si="243"/>
        <v>0</v>
      </c>
      <c r="AF99" s="200">
        <f>AA99*AA$16+AB99*AB$16+AE99*AE$16+AC99+AD99*AD$16</f>
        <v>0</v>
      </c>
      <c r="AG99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payments'!$D:$D,Vertical_Cash_flow!$B99,'Other Operational payments'!$C:$C,Vertical_Cash_flow!$B$94)</f>
        <v>0</v>
      </c>
      <c r="AH99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payments'!$D:$D,Vertical_Cash_flow!$B99,'Other Operational payments'!$C:$C,Vertical_Cash_flow!$B$94)</f>
        <v>0</v>
      </c>
      <c r="AI99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payments'!$D:$D,Vertical_Cash_flow!$B99,'Other Operational payments'!$C:$C,Vertical_Cash_flow!$B$94)</f>
        <v>0</v>
      </c>
      <c r="AJ99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payments'!$D:$D,Vertical_Cash_flow!$B99,'Other Operational payments'!$C:$C,Vertical_Cash_flow!$B$94)</f>
        <v>0</v>
      </c>
      <c r="AK99" s="200">
        <f t="shared" si="244"/>
        <v>0</v>
      </c>
      <c r="AL99" s="200">
        <f>AG99*AG$16+AH99*AH$16+AK99*AK$16+AI99+AJ99*AJ$16</f>
        <v>0</v>
      </c>
      <c r="AM99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payments'!$D:$D,Vertical_Cash_flow!$B99,'Other Operational payments'!$C:$C,Vertical_Cash_flow!$B$94)</f>
        <v>0</v>
      </c>
      <c r="AN99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payments'!$D:$D,Vertical_Cash_flow!$B99,'Other Operational payments'!$C:$C,Vertical_Cash_flow!$B$94)</f>
        <v>0</v>
      </c>
      <c r="AO99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payments'!$D:$D,Vertical_Cash_flow!$B99,'Other Operational payments'!$C:$C,Vertical_Cash_flow!$B$94)</f>
        <v>0</v>
      </c>
      <c r="AP99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payments'!$D:$D,Vertical_Cash_flow!$B99,'Other Operational payments'!$C:$C,Vertical_Cash_flow!$B$94)</f>
        <v>0</v>
      </c>
      <c r="AQ99" s="200">
        <f t="shared" si="245"/>
        <v>0</v>
      </c>
      <c r="AR99" s="200">
        <f>AM99*AM$16+AN99*AN$16+AQ99*AQ$16+AO99+AP99*AP$16</f>
        <v>0</v>
      </c>
      <c r="AS99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payments'!$D:$D,Vertical_Cash_flow!$B99,'Other Operational payments'!$C:$C,Vertical_Cash_flow!$B$94)</f>
        <v>0</v>
      </c>
      <c r="AT99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payments'!$D:$D,Vertical_Cash_flow!$B99,'Other Operational payments'!$C:$C,Vertical_Cash_flow!$B$94)</f>
        <v>0</v>
      </c>
      <c r="AU99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payments'!$D:$D,Vertical_Cash_flow!$B99,'Other Operational payments'!$C:$C,Vertical_Cash_flow!$B$94)</f>
        <v>0</v>
      </c>
      <c r="AV99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payments'!$D:$D,Vertical_Cash_flow!$B99,'Other Operational payments'!$C:$C,Vertical_Cash_flow!$B$94)</f>
        <v>0</v>
      </c>
      <c r="AW99" s="200">
        <f t="shared" si="246"/>
        <v>0</v>
      </c>
      <c r="AX99" s="200">
        <f>AS99*AS$16+AT99*AT$16+AW99*AW$16+AU99+AV99*AV$16</f>
        <v>0</v>
      </c>
      <c r="AZ99" s="200">
        <f t="shared" si="173"/>
        <v>0</v>
      </c>
    </row>
    <row r="100" spans="1:52" outlineLevel="1" x14ac:dyDescent="0.2">
      <c r="A100" s="655"/>
      <c r="B100" s="189"/>
      <c r="C100" s="45"/>
      <c r="D100" s="25"/>
      <c r="E100" s="25"/>
      <c r="F100" s="25"/>
      <c r="G100" s="45"/>
      <c r="H100" s="45"/>
      <c r="I100" s="45"/>
      <c r="J100" s="25"/>
      <c r="K100" s="25"/>
      <c r="L100" s="25"/>
      <c r="M100" s="45"/>
      <c r="N100" s="45"/>
      <c r="O100" s="45"/>
      <c r="P100" s="25"/>
      <c r="Q100" s="25"/>
      <c r="R100" s="25"/>
      <c r="S100" s="45"/>
      <c r="T100" s="45"/>
      <c r="U100" s="45"/>
      <c r="V100" s="25"/>
      <c r="W100" s="25"/>
      <c r="X100" s="25"/>
      <c r="Y100" s="45"/>
      <c r="Z100" s="45"/>
      <c r="AA100" s="45"/>
      <c r="AB100" s="25"/>
      <c r="AC100" s="25"/>
      <c r="AD100" s="25"/>
      <c r="AE100" s="45"/>
      <c r="AF100" s="45"/>
      <c r="AG100" s="45"/>
      <c r="AH100" s="25"/>
      <c r="AI100" s="25"/>
      <c r="AJ100" s="25"/>
      <c r="AK100" s="45"/>
      <c r="AL100" s="45"/>
      <c r="AM100" s="45"/>
      <c r="AN100" s="25"/>
      <c r="AO100" s="25"/>
      <c r="AP100" s="25"/>
      <c r="AQ100" s="45"/>
      <c r="AR100" s="45"/>
      <c r="AS100" s="45"/>
      <c r="AT100" s="25"/>
      <c r="AU100" s="25"/>
      <c r="AV100" s="25"/>
      <c r="AW100" s="45"/>
      <c r="AX100" s="45"/>
      <c r="AZ100" s="45">
        <f t="shared" si="173"/>
        <v>0</v>
      </c>
    </row>
    <row r="101" spans="1:52" s="3" customFormat="1" outlineLevel="1" x14ac:dyDescent="0.2">
      <c r="A101" s="655"/>
      <c r="B101" s="182" t="s">
        <v>72</v>
      </c>
      <c r="C101" s="54">
        <f>SUM(C102:C104)</f>
        <v>0</v>
      </c>
      <c r="D101" s="31">
        <f t="shared" ref="D101:H101" si="247">SUM(D102:D104)</f>
        <v>0</v>
      </c>
      <c r="E101" s="31">
        <f t="shared" si="247"/>
        <v>0</v>
      </c>
      <c r="F101" s="31">
        <f t="shared" si="247"/>
        <v>0</v>
      </c>
      <c r="G101" s="54">
        <f t="shared" si="247"/>
        <v>0</v>
      </c>
      <c r="H101" s="54">
        <f t="shared" si="247"/>
        <v>0</v>
      </c>
      <c r="I101" s="54">
        <f>SUM(I102:I104)</f>
        <v>0</v>
      </c>
      <c r="J101" s="31">
        <f t="shared" ref="J101:N101" si="248">SUM(J102:J104)</f>
        <v>0</v>
      </c>
      <c r="K101" s="31">
        <f t="shared" si="248"/>
        <v>0</v>
      </c>
      <c r="L101" s="31">
        <f t="shared" si="248"/>
        <v>0</v>
      </c>
      <c r="M101" s="54">
        <f t="shared" si="248"/>
        <v>0</v>
      </c>
      <c r="N101" s="54">
        <f t="shared" si="248"/>
        <v>0</v>
      </c>
      <c r="O101" s="54">
        <f>SUM(O102:O104)</f>
        <v>0</v>
      </c>
      <c r="P101" s="31">
        <f t="shared" ref="P101:T101" si="249">SUM(P102:P104)</f>
        <v>0</v>
      </c>
      <c r="Q101" s="31">
        <f t="shared" si="249"/>
        <v>0</v>
      </c>
      <c r="R101" s="31">
        <f t="shared" si="249"/>
        <v>0</v>
      </c>
      <c r="S101" s="54">
        <f t="shared" si="249"/>
        <v>0</v>
      </c>
      <c r="T101" s="54">
        <f t="shared" si="249"/>
        <v>0</v>
      </c>
      <c r="U101" s="54">
        <f>SUM(U102:U104)</f>
        <v>0</v>
      </c>
      <c r="V101" s="31">
        <f t="shared" ref="V101:Z101" si="250">SUM(V102:V104)</f>
        <v>0</v>
      </c>
      <c r="W101" s="31">
        <f t="shared" si="250"/>
        <v>0</v>
      </c>
      <c r="X101" s="31">
        <f t="shared" si="250"/>
        <v>0</v>
      </c>
      <c r="Y101" s="54">
        <f t="shared" si="250"/>
        <v>0</v>
      </c>
      <c r="Z101" s="54">
        <f t="shared" si="250"/>
        <v>0</v>
      </c>
      <c r="AA101" s="54">
        <f>SUM(AA102:AA104)</f>
        <v>0</v>
      </c>
      <c r="AB101" s="31">
        <f t="shared" ref="AB101:AF101" si="251">SUM(AB102:AB104)</f>
        <v>0</v>
      </c>
      <c r="AC101" s="31">
        <f t="shared" si="251"/>
        <v>0</v>
      </c>
      <c r="AD101" s="31">
        <f t="shared" si="251"/>
        <v>0</v>
      </c>
      <c r="AE101" s="54">
        <f t="shared" si="251"/>
        <v>0</v>
      </c>
      <c r="AF101" s="54">
        <f t="shared" si="251"/>
        <v>0</v>
      </c>
      <c r="AG101" s="54">
        <f>SUM(AG102:AG104)</f>
        <v>0</v>
      </c>
      <c r="AH101" s="31">
        <f t="shared" ref="AH101:AL101" si="252">SUM(AH102:AH104)</f>
        <v>0</v>
      </c>
      <c r="AI101" s="31">
        <f t="shared" si="252"/>
        <v>0</v>
      </c>
      <c r="AJ101" s="31">
        <f t="shared" si="252"/>
        <v>0</v>
      </c>
      <c r="AK101" s="54">
        <f t="shared" si="252"/>
        <v>0</v>
      </c>
      <c r="AL101" s="54">
        <f t="shared" si="252"/>
        <v>0</v>
      </c>
      <c r="AM101" s="54">
        <f>SUM(AM102:AM104)</f>
        <v>0</v>
      </c>
      <c r="AN101" s="31">
        <f t="shared" ref="AN101:AR101" si="253">SUM(AN102:AN104)</f>
        <v>0</v>
      </c>
      <c r="AO101" s="31">
        <f t="shared" si="253"/>
        <v>0</v>
      </c>
      <c r="AP101" s="31">
        <f t="shared" si="253"/>
        <v>0</v>
      </c>
      <c r="AQ101" s="54">
        <f t="shared" si="253"/>
        <v>0</v>
      </c>
      <c r="AR101" s="54">
        <f t="shared" si="253"/>
        <v>0</v>
      </c>
      <c r="AS101" s="54">
        <f>SUM(AS102:AS104)</f>
        <v>0</v>
      </c>
      <c r="AT101" s="31">
        <f t="shared" ref="AT101:AX101" si="254">SUM(AT102:AT104)</f>
        <v>0</v>
      </c>
      <c r="AU101" s="31">
        <f t="shared" si="254"/>
        <v>0</v>
      </c>
      <c r="AV101" s="31">
        <f t="shared" si="254"/>
        <v>0</v>
      </c>
      <c r="AW101" s="54">
        <f t="shared" si="254"/>
        <v>0</v>
      </c>
      <c r="AX101" s="54">
        <f t="shared" si="254"/>
        <v>0</v>
      </c>
      <c r="AZ101" s="54">
        <f t="shared" si="173"/>
        <v>0</v>
      </c>
    </row>
    <row r="102" spans="1:52" outlineLevel="1" x14ac:dyDescent="0.2">
      <c r="A102" s="655"/>
      <c r="B102" s="189" t="s">
        <v>73</v>
      </c>
      <c r="C102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payments'!$D:$D,Vertical_Cash_flow!$B102,'Other Operational payments'!$C:$C,Vertical_Cash_flow!$B$101)</f>
        <v>0</v>
      </c>
      <c r="D102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payments'!$D:$D,Vertical_Cash_flow!$B102,'Other Operational payments'!$C:$C,Vertical_Cash_flow!$B$101)</f>
        <v>0</v>
      </c>
      <c r="E102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payments'!$D:$D,Vertical_Cash_flow!$B102,'Other Operational payments'!$C:$C,Vertical_Cash_flow!$B$101)</f>
        <v>0</v>
      </c>
      <c r="F102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payments'!$D:$D,Vertical_Cash_flow!$B102,'Other Operational payments'!$C:$C,Vertical_Cash_flow!$B$101)</f>
        <v>0</v>
      </c>
      <c r="G102" s="200">
        <f>C102+D102+E102/$C$16+F102/$F$16</f>
        <v>0</v>
      </c>
      <c r="H102" s="200">
        <f>C102*C$16+D102*D$16+G102*G$16+E102+F102*F$16</f>
        <v>0</v>
      </c>
      <c r="I102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payments'!$D:$D,Vertical_Cash_flow!$B102,'Other Operational payments'!$C:$C,Vertical_Cash_flow!$B$101)</f>
        <v>0</v>
      </c>
      <c r="J102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payments'!$D:$D,Vertical_Cash_flow!$B102,'Other Operational payments'!$C:$C,Vertical_Cash_flow!$B$101)</f>
        <v>0</v>
      </c>
      <c r="K102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payments'!$D:$D,Vertical_Cash_flow!$B102,'Other Operational payments'!$C:$C,Vertical_Cash_flow!$B$101)</f>
        <v>0</v>
      </c>
      <c r="L102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payments'!$D:$D,Vertical_Cash_flow!$B102,'Other Operational payments'!$C:$C,Vertical_Cash_flow!$B$101)</f>
        <v>0</v>
      </c>
      <c r="M102" s="200">
        <f>I102+J102+K102/$C$16+L102/$F$16</f>
        <v>0</v>
      </c>
      <c r="N102" s="200">
        <f>I102*I$16+J102*J$16+M102*M$16+K102+L102*L$16</f>
        <v>0</v>
      </c>
      <c r="O102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payments'!$D:$D,Vertical_Cash_flow!$B102,'Other Operational payments'!$C:$C,Vertical_Cash_flow!$B$101)</f>
        <v>0</v>
      </c>
      <c r="P102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payments'!$D:$D,Vertical_Cash_flow!$B102,'Other Operational payments'!$C:$C,Vertical_Cash_flow!$B$101)</f>
        <v>0</v>
      </c>
      <c r="Q102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payments'!$D:$D,Vertical_Cash_flow!$B102,'Other Operational payments'!$C:$C,Vertical_Cash_flow!$B$101)</f>
        <v>0</v>
      </c>
      <c r="R102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payments'!$D:$D,Vertical_Cash_flow!$B102,'Other Operational payments'!$C:$C,Vertical_Cash_flow!$B$101)</f>
        <v>0</v>
      </c>
      <c r="S102" s="200">
        <f>O102+P102+Q102/$C$16+R102/$F$16</f>
        <v>0</v>
      </c>
      <c r="T102" s="200">
        <f>O102*O$16+P102*P$16+S102*S$16+Q102+R102*R$16</f>
        <v>0</v>
      </c>
      <c r="U102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payments'!$D:$D,Vertical_Cash_flow!$B102,'Other Operational payments'!$C:$C,Vertical_Cash_flow!$B$101)</f>
        <v>0</v>
      </c>
      <c r="V102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payments'!$D:$D,Vertical_Cash_flow!$B102,'Other Operational payments'!$C:$C,Vertical_Cash_flow!$B$101)</f>
        <v>0</v>
      </c>
      <c r="W102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payments'!$D:$D,Vertical_Cash_flow!$B102,'Other Operational payments'!$C:$C,Vertical_Cash_flow!$B$101)</f>
        <v>0</v>
      </c>
      <c r="X102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payments'!$D:$D,Vertical_Cash_flow!$B102,'Other Operational payments'!$C:$C,Vertical_Cash_flow!$B$101)</f>
        <v>0</v>
      </c>
      <c r="Y102" s="200">
        <f>U102+V102+W102/$C$16+X102/$F$16</f>
        <v>0</v>
      </c>
      <c r="Z102" s="200">
        <f>U102*U$16+V102*V$16+Y102*Y$16+W102+X102*X$16</f>
        <v>0</v>
      </c>
      <c r="AA102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payments'!$D:$D,Vertical_Cash_flow!$B102,'Other Operational payments'!$C:$C,Vertical_Cash_flow!$B$101)</f>
        <v>0</v>
      </c>
      <c r="AB102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payments'!$D:$D,Vertical_Cash_flow!$B102,'Other Operational payments'!$C:$C,Vertical_Cash_flow!$B$101)</f>
        <v>0</v>
      </c>
      <c r="AC102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payments'!$D:$D,Vertical_Cash_flow!$B102,'Other Operational payments'!$C:$C,Vertical_Cash_flow!$B$101)</f>
        <v>0</v>
      </c>
      <c r="AD102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payments'!$D:$D,Vertical_Cash_flow!$B102,'Other Operational payments'!$C:$C,Vertical_Cash_flow!$B$101)</f>
        <v>0</v>
      </c>
      <c r="AE102" s="200">
        <f>AA102+AB102+AC102/$C$16+AD102/$F$16</f>
        <v>0</v>
      </c>
      <c r="AF102" s="200">
        <f>AA102*AA$16+AB102*AB$16+AE102*AE$16+AC102+AD102*AD$16</f>
        <v>0</v>
      </c>
      <c r="AG102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payments'!$D:$D,Vertical_Cash_flow!$B102,'Other Operational payments'!$C:$C,Vertical_Cash_flow!$B$101)</f>
        <v>0</v>
      </c>
      <c r="AH102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payments'!$D:$D,Vertical_Cash_flow!$B102,'Other Operational payments'!$C:$C,Vertical_Cash_flow!$B$101)</f>
        <v>0</v>
      </c>
      <c r="AI102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payments'!$D:$D,Vertical_Cash_flow!$B102,'Other Operational payments'!$C:$C,Vertical_Cash_flow!$B$101)</f>
        <v>0</v>
      </c>
      <c r="AJ102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payments'!$D:$D,Vertical_Cash_flow!$B102,'Other Operational payments'!$C:$C,Vertical_Cash_flow!$B$101)</f>
        <v>0</v>
      </c>
      <c r="AK102" s="200">
        <f>AG102+AH102+AI102/$C$16+AJ102/$F$16</f>
        <v>0</v>
      </c>
      <c r="AL102" s="200">
        <f>AG102*AG$16+AH102*AH$16+AK102*AK$16+AI102+AJ102*AJ$16</f>
        <v>0</v>
      </c>
      <c r="AM102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payments'!$D:$D,Vertical_Cash_flow!$B102,'Other Operational payments'!$C:$C,Vertical_Cash_flow!$B$101)</f>
        <v>0</v>
      </c>
      <c r="AN102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payments'!$D:$D,Vertical_Cash_flow!$B102,'Other Operational payments'!$C:$C,Vertical_Cash_flow!$B$101)</f>
        <v>0</v>
      </c>
      <c r="AO102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payments'!$D:$D,Vertical_Cash_flow!$B102,'Other Operational payments'!$C:$C,Vertical_Cash_flow!$B$101)</f>
        <v>0</v>
      </c>
      <c r="AP102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payments'!$D:$D,Vertical_Cash_flow!$B102,'Other Operational payments'!$C:$C,Vertical_Cash_flow!$B$101)</f>
        <v>0</v>
      </c>
      <c r="AQ102" s="200">
        <f>AM102+AN102+AO102/$C$16+AP102/$F$16</f>
        <v>0</v>
      </c>
      <c r="AR102" s="200">
        <f>AM102*AM$16+AN102*AN$16+AQ102*AQ$16+AO102+AP102*AP$16</f>
        <v>0</v>
      </c>
      <c r="AS102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payments'!$D:$D,Vertical_Cash_flow!$B102,'Other Operational payments'!$C:$C,Vertical_Cash_flow!$B$101)</f>
        <v>0</v>
      </c>
      <c r="AT102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payments'!$D:$D,Vertical_Cash_flow!$B102,'Other Operational payments'!$C:$C,Vertical_Cash_flow!$B$101)</f>
        <v>0</v>
      </c>
      <c r="AU102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payments'!$D:$D,Vertical_Cash_flow!$B102,'Other Operational payments'!$C:$C,Vertical_Cash_flow!$B$101)</f>
        <v>0</v>
      </c>
      <c r="AV102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payments'!$D:$D,Vertical_Cash_flow!$B102,'Other Operational payments'!$C:$C,Vertical_Cash_flow!$B$101)</f>
        <v>0</v>
      </c>
      <c r="AW102" s="200">
        <f>AS102+AT102+AU102/$C$16+AV102/$F$16</f>
        <v>0</v>
      </c>
      <c r="AX102" s="200">
        <f>AS102*AS$16+AT102*AT$16+AW102*AW$16+AU102+AV102*AV$16</f>
        <v>0</v>
      </c>
      <c r="AZ102" s="200">
        <f t="shared" si="173"/>
        <v>0</v>
      </c>
    </row>
    <row r="103" spans="1:52" outlineLevel="1" x14ac:dyDescent="0.2">
      <c r="A103" s="655"/>
      <c r="B103" s="189" t="s">
        <v>74</v>
      </c>
      <c r="C103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payments'!$D:$D,Vertical_Cash_flow!$B103,'Other Operational payments'!$C:$C,Vertical_Cash_flow!$B$101)</f>
        <v>0</v>
      </c>
      <c r="D103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payments'!$D:$D,Vertical_Cash_flow!$B103,'Other Operational payments'!$C:$C,Vertical_Cash_flow!$B$101)</f>
        <v>0</v>
      </c>
      <c r="E103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payments'!$D:$D,Vertical_Cash_flow!$B103,'Other Operational payments'!$C:$C,Vertical_Cash_flow!$B$101)</f>
        <v>0</v>
      </c>
      <c r="F103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payments'!$D:$D,Vertical_Cash_flow!$B103,'Other Operational payments'!$C:$C,Vertical_Cash_flow!$B$101)</f>
        <v>0</v>
      </c>
      <c r="G103" s="200">
        <f t="shared" ref="G103:G104" si="255">C103+D103+E103/$C$16+F103/$F$16</f>
        <v>0</v>
      </c>
      <c r="H103" s="200">
        <f>C103*C$16+D103*D$16+G103*G$16+E103+F103*F$16</f>
        <v>0</v>
      </c>
      <c r="I103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payments'!$D:$D,Vertical_Cash_flow!$B103,'Other Operational payments'!$C:$C,Vertical_Cash_flow!$B$101)</f>
        <v>0</v>
      </c>
      <c r="J103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payments'!$D:$D,Vertical_Cash_flow!$B103,'Other Operational payments'!$C:$C,Vertical_Cash_flow!$B$101)</f>
        <v>0</v>
      </c>
      <c r="K103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payments'!$D:$D,Vertical_Cash_flow!$B103,'Other Operational payments'!$C:$C,Vertical_Cash_flow!$B$101)</f>
        <v>0</v>
      </c>
      <c r="L103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payments'!$D:$D,Vertical_Cash_flow!$B103,'Other Operational payments'!$C:$C,Vertical_Cash_flow!$B$101)</f>
        <v>0</v>
      </c>
      <c r="M103" s="200">
        <f t="shared" ref="M103:M104" si="256">I103+J103+K103/$C$16+L103/$F$16</f>
        <v>0</v>
      </c>
      <c r="N103" s="200">
        <f>I103*I$16+J103*J$16+M103*M$16+K103+L103*L$16</f>
        <v>0</v>
      </c>
      <c r="O103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payments'!$D:$D,Vertical_Cash_flow!$B103,'Other Operational payments'!$C:$C,Vertical_Cash_flow!$B$101)</f>
        <v>0</v>
      </c>
      <c r="P103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payments'!$D:$D,Vertical_Cash_flow!$B103,'Other Operational payments'!$C:$C,Vertical_Cash_flow!$B$101)</f>
        <v>0</v>
      </c>
      <c r="Q103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payments'!$D:$D,Vertical_Cash_flow!$B103,'Other Operational payments'!$C:$C,Vertical_Cash_flow!$B$101)</f>
        <v>0</v>
      </c>
      <c r="R103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payments'!$D:$D,Vertical_Cash_flow!$B103,'Other Operational payments'!$C:$C,Vertical_Cash_flow!$B$101)</f>
        <v>0</v>
      </c>
      <c r="S103" s="200">
        <f t="shared" ref="S103:S104" si="257">O103+P103+Q103/$C$16+R103/$F$16</f>
        <v>0</v>
      </c>
      <c r="T103" s="200">
        <f>O103*O$16+P103*P$16+S103*S$16+Q103+R103*R$16</f>
        <v>0</v>
      </c>
      <c r="U103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payments'!$D:$D,Vertical_Cash_flow!$B103,'Other Operational payments'!$C:$C,Vertical_Cash_flow!$B$101)</f>
        <v>0</v>
      </c>
      <c r="V103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payments'!$D:$D,Vertical_Cash_flow!$B103,'Other Operational payments'!$C:$C,Vertical_Cash_flow!$B$101)</f>
        <v>0</v>
      </c>
      <c r="W103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payments'!$D:$D,Vertical_Cash_flow!$B103,'Other Operational payments'!$C:$C,Vertical_Cash_flow!$B$101)</f>
        <v>0</v>
      </c>
      <c r="X103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payments'!$D:$D,Vertical_Cash_flow!$B103,'Other Operational payments'!$C:$C,Vertical_Cash_flow!$B$101)</f>
        <v>0</v>
      </c>
      <c r="Y103" s="200">
        <f t="shared" ref="Y103:Y104" si="258">U103+V103+W103/$C$16+X103/$F$16</f>
        <v>0</v>
      </c>
      <c r="Z103" s="200">
        <f>U103*U$16+V103*V$16+Y103*Y$16+W103+X103*X$16</f>
        <v>0</v>
      </c>
      <c r="AA103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payments'!$D:$D,Vertical_Cash_flow!$B103,'Other Operational payments'!$C:$C,Vertical_Cash_flow!$B$101)</f>
        <v>0</v>
      </c>
      <c r="AB103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payments'!$D:$D,Vertical_Cash_flow!$B103,'Other Operational payments'!$C:$C,Vertical_Cash_flow!$B$101)</f>
        <v>0</v>
      </c>
      <c r="AC103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payments'!$D:$D,Vertical_Cash_flow!$B103,'Other Operational payments'!$C:$C,Vertical_Cash_flow!$B$101)</f>
        <v>0</v>
      </c>
      <c r="AD103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payments'!$D:$D,Vertical_Cash_flow!$B103,'Other Operational payments'!$C:$C,Vertical_Cash_flow!$B$101)</f>
        <v>0</v>
      </c>
      <c r="AE103" s="200">
        <f t="shared" ref="AE103:AE104" si="259">AA103+AB103+AC103/$C$16+AD103/$F$16</f>
        <v>0</v>
      </c>
      <c r="AF103" s="200">
        <f>AA103*AA$16+AB103*AB$16+AE103*AE$16+AC103+AD103*AD$16</f>
        <v>0</v>
      </c>
      <c r="AG103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payments'!$D:$D,Vertical_Cash_flow!$B103,'Other Operational payments'!$C:$C,Vertical_Cash_flow!$B$101)</f>
        <v>0</v>
      </c>
      <c r="AH103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payments'!$D:$D,Vertical_Cash_flow!$B103,'Other Operational payments'!$C:$C,Vertical_Cash_flow!$B$101)</f>
        <v>0</v>
      </c>
      <c r="AI103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payments'!$D:$D,Vertical_Cash_flow!$B103,'Other Operational payments'!$C:$C,Vertical_Cash_flow!$B$101)</f>
        <v>0</v>
      </c>
      <c r="AJ103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payments'!$D:$D,Vertical_Cash_flow!$B103,'Other Operational payments'!$C:$C,Vertical_Cash_flow!$B$101)</f>
        <v>0</v>
      </c>
      <c r="AK103" s="200">
        <f t="shared" ref="AK103:AK104" si="260">AG103+AH103+AI103/$C$16+AJ103/$F$16</f>
        <v>0</v>
      </c>
      <c r="AL103" s="200">
        <f>AG103*AG$16+AH103*AH$16+AK103*AK$16+AI103+AJ103*AJ$16</f>
        <v>0</v>
      </c>
      <c r="AM103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payments'!$D:$D,Vertical_Cash_flow!$B103,'Other Operational payments'!$C:$C,Vertical_Cash_flow!$B$101)</f>
        <v>0</v>
      </c>
      <c r="AN103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payments'!$D:$D,Vertical_Cash_flow!$B103,'Other Operational payments'!$C:$C,Vertical_Cash_flow!$B$101)</f>
        <v>0</v>
      </c>
      <c r="AO103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payments'!$D:$D,Vertical_Cash_flow!$B103,'Other Operational payments'!$C:$C,Vertical_Cash_flow!$B$101)</f>
        <v>0</v>
      </c>
      <c r="AP103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payments'!$D:$D,Vertical_Cash_flow!$B103,'Other Operational payments'!$C:$C,Vertical_Cash_flow!$B$101)</f>
        <v>0</v>
      </c>
      <c r="AQ103" s="200">
        <f t="shared" ref="AQ103:AQ104" si="261">AM103+AN103+AO103/$C$16+AP103/$F$16</f>
        <v>0</v>
      </c>
      <c r="AR103" s="200">
        <f>AM103*AM$16+AN103*AN$16+AQ103*AQ$16+AO103+AP103*AP$16</f>
        <v>0</v>
      </c>
      <c r="AS103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payments'!$D:$D,Vertical_Cash_flow!$B103,'Other Operational payments'!$C:$C,Vertical_Cash_flow!$B$101)</f>
        <v>0</v>
      </c>
      <c r="AT103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payments'!$D:$D,Vertical_Cash_flow!$B103,'Other Operational payments'!$C:$C,Vertical_Cash_flow!$B$101)</f>
        <v>0</v>
      </c>
      <c r="AU103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payments'!$D:$D,Vertical_Cash_flow!$B103,'Other Operational payments'!$C:$C,Vertical_Cash_flow!$B$101)</f>
        <v>0</v>
      </c>
      <c r="AV103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payments'!$D:$D,Vertical_Cash_flow!$B103,'Other Operational payments'!$C:$C,Vertical_Cash_flow!$B$101)</f>
        <v>0</v>
      </c>
      <c r="AW103" s="200">
        <f t="shared" ref="AW103:AW104" si="262">AS103+AT103+AU103/$C$16+AV103/$F$16</f>
        <v>0</v>
      </c>
      <c r="AX103" s="200">
        <f>AS103*AS$16+AT103*AT$16+AW103*AW$16+AU103+AV103*AV$16</f>
        <v>0</v>
      </c>
      <c r="AZ103" s="200">
        <f t="shared" si="173"/>
        <v>0</v>
      </c>
    </row>
    <row r="104" spans="1:52" outlineLevel="1" x14ac:dyDescent="0.2">
      <c r="A104" s="655"/>
      <c r="B104" s="189" t="s">
        <v>79</v>
      </c>
      <c r="C104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payments'!$D:$D,Vertical_Cash_flow!$B104,'Other Operational payments'!$C:$C,Vertical_Cash_flow!$B$101)</f>
        <v>0</v>
      </c>
      <c r="D104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payments'!$D:$D,Vertical_Cash_flow!$B104,'Other Operational payments'!$C:$C,Vertical_Cash_flow!$B$101)</f>
        <v>0</v>
      </c>
      <c r="E104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payments'!$D:$D,Vertical_Cash_flow!$B104,'Other Operational payments'!$C:$C,Vertical_Cash_flow!$B$101)</f>
        <v>0</v>
      </c>
      <c r="F104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payments'!$D:$D,Vertical_Cash_flow!$B104,'Other Operational payments'!$C:$C,Vertical_Cash_flow!$B$101)</f>
        <v>0</v>
      </c>
      <c r="G104" s="200">
        <f t="shared" si="255"/>
        <v>0</v>
      </c>
      <c r="H104" s="200">
        <f>C104*C$16+D104*D$16+G104*G$16+E104+F104*F$16</f>
        <v>0</v>
      </c>
      <c r="I104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payments'!$D:$D,Vertical_Cash_flow!$B104,'Other Operational payments'!$C:$C,Vertical_Cash_flow!$B$101)</f>
        <v>0</v>
      </c>
      <c r="J104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payments'!$D:$D,Vertical_Cash_flow!$B104,'Other Operational payments'!$C:$C,Vertical_Cash_flow!$B$101)</f>
        <v>0</v>
      </c>
      <c r="K104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payments'!$D:$D,Vertical_Cash_flow!$B104,'Other Operational payments'!$C:$C,Vertical_Cash_flow!$B$101)</f>
        <v>0</v>
      </c>
      <c r="L104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payments'!$D:$D,Vertical_Cash_flow!$B104,'Other Operational payments'!$C:$C,Vertical_Cash_flow!$B$101)</f>
        <v>0</v>
      </c>
      <c r="M104" s="200">
        <f t="shared" si="256"/>
        <v>0</v>
      </c>
      <c r="N104" s="200">
        <f>I104*I$16+J104*J$16+M104*M$16+K104+L104*L$16</f>
        <v>0</v>
      </c>
      <c r="O104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payments'!$D:$D,Vertical_Cash_flow!$B104,'Other Operational payments'!$C:$C,Vertical_Cash_flow!$B$101)</f>
        <v>0</v>
      </c>
      <c r="P104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payments'!$D:$D,Vertical_Cash_flow!$B104,'Other Operational payments'!$C:$C,Vertical_Cash_flow!$B$101)</f>
        <v>0</v>
      </c>
      <c r="Q104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payments'!$D:$D,Vertical_Cash_flow!$B104,'Other Operational payments'!$C:$C,Vertical_Cash_flow!$B$101)</f>
        <v>0</v>
      </c>
      <c r="R104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payments'!$D:$D,Vertical_Cash_flow!$B104,'Other Operational payments'!$C:$C,Vertical_Cash_flow!$B$101)</f>
        <v>0</v>
      </c>
      <c r="S104" s="200">
        <f t="shared" si="257"/>
        <v>0</v>
      </c>
      <c r="T104" s="200">
        <f>O104*O$16+P104*P$16+S104*S$16+Q104+R104*R$16</f>
        <v>0</v>
      </c>
      <c r="U104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payments'!$D:$D,Vertical_Cash_flow!$B104,'Other Operational payments'!$C:$C,Vertical_Cash_flow!$B$101)</f>
        <v>0</v>
      </c>
      <c r="V104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payments'!$D:$D,Vertical_Cash_flow!$B104,'Other Operational payments'!$C:$C,Vertical_Cash_flow!$B$101)</f>
        <v>0</v>
      </c>
      <c r="W104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payments'!$D:$D,Vertical_Cash_flow!$B104,'Other Operational payments'!$C:$C,Vertical_Cash_flow!$B$101)</f>
        <v>0</v>
      </c>
      <c r="X104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payments'!$D:$D,Vertical_Cash_flow!$B104,'Other Operational payments'!$C:$C,Vertical_Cash_flow!$B$101)</f>
        <v>0</v>
      </c>
      <c r="Y104" s="200">
        <f t="shared" si="258"/>
        <v>0</v>
      </c>
      <c r="Z104" s="200">
        <f>U104*U$16+V104*V$16+Y104*Y$16+W104+X104*X$16</f>
        <v>0</v>
      </c>
      <c r="AA104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payments'!$D:$D,Vertical_Cash_flow!$B104,'Other Operational payments'!$C:$C,Vertical_Cash_flow!$B$101)</f>
        <v>0</v>
      </c>
      <c r="AB104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payments'!$D:$D,Vertical_Cash_flow!$B104,'Other Operational payments'!$C:$C,Vertical_Cash_flow!$B$101)</f>
        <v>0</v>
      </c>
      <c r="AC104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payments'!$D:$D,Vertical_Cash_flow!$B104,'Other Operational payments'!$C:$C,Vertical_Cash_flow!$B$101)</f>
        <v>0</v>
      </c>
      <c r="AD104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payments'!$D:$D,Vertical_Cash_flow!$B104,'Other Operational payments'!$C:$C,Vertical_Cash_flow!$B$101)</f>
        <v>0</v>
      </c>
      <c r="AE104" s="200">
        <f t="shared" si="259"/>
        <v>0</v>
      </c>
      <c r="AF104" s="200">
        <f>AA104*AA$16+AB104*AB$16+AE104*AE$16+AC104+AD104*AD$16</f>
        <v>0</v>
      </c>
      <c r="AG104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payments'!$D:$D,Vertical_Cash_flow!$B104,'Other Operational payments'!$C:$C,Vertical_Cash_flow!$B$101)</f>
        <v>0</v>
      </c>
      <c r="AH104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payments'!$D:$D,Vertical_Cash_flow!$B104,'Other Operational payments'!$C:$C,Vertical_Cash_flow!$B$101)</f>
        <v>0</v>
      </c>
      <c r="AI104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payments'!$D:$D,Vertical_Cash_flow!$B104,'Other Operational payments'!$C:$C,Vertical_Cash_flow!$B$101)</f>
        <v>0</v>
      </c>
      <c r="AJ104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payments'!$D:$D,Vertical_Cash_flow!$B104,'Other Operational payments'!$C:$C,Vertical_Cash_flow!$B$101)</f>
        <v>0</v>
      </c>
      <c r="AK104" s="200">
        <f t="shared" si="260"/>
        <v>0</v>
      </c>
      <c r="AL104" s="200">
        <f>AG104*AG$16+AH104*AH$16+AK104*AK$16+AI104+AJ104*AJ$16</f>
        <v>0</v>
      </c>
      <c r="AM104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payments'!$D:$D,Vertical_Cash_flow!$B104,'Other Operational payments'!$C:$C,Vertical_Cash_flow!$B$101)</f>
        <v>0</v>
      </c>
      <c r="AN104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payments'!$D:$D,Vertical_Cash_flow!$B104,'Other Operational payments'!$C:$C,Vertical_Cash_flow!$B$101)</f>
        <v>0</v>
      </c>
      <c r="AO104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payments'!$D:$D,Vertical_Cash_flow!$B104,'Other Operational payments'!$C:$C,Vertical_Cash_flow!$B$101)</f>
        <v>0</v>
      </c>
      <c r="AP104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payments'!$D:$D,Vertical_Cash_flow!$B104,'Other Operational payments'!$C:$C,Vertical_Cash_flow!$B$101)</f>
        <v>0</v>
      </c>
      <c r="AQ104" s="200">
        <f t="shared" si="261"/>
        <v>0</v>
      </c>
      <c r="AR104" s="200">
        <f>AM104*AM$16+AN104*AN$16+AQ104*AQ$16+AO104+AP104*AP$16</f>
        <v>0</v>
      </c>
      <c r="AS104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payments'!$D:$D,Vertical_Cash_flow!$B104,'Other Operational payments'!$C:$C,Vertical_Cash_flow!$B$101)</f>
        <v>0</v>
      </c>
      <c r="AT104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payments'!$D:$D,Vertical_Cash_flow!$B104,'Other Operational payments'!$C:$C,Vertical_Cash_flow!$B$101)</f>
        <v>0</v>
      </c>
      <c r="AU104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payments'!$D:$D,Vertical_Cash_flow!$B104,'Other Operational payments'!$C:$C,Vertical_Cash_flow!$B$101)</f>
        <v>0</v>
      </c>
      <c r="AV104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payments'!$D:$D,Vertical_Cash_flow!$B104,'Other Operational payments'!$C:$C,Vertical_Cash_flow!$B$101)</f>
        <v>0</v>
      </c>
      <c r="AW104" s="200">
        <f t="shared" si="262"/>
        <v>0</v>
      </c>
      <c r="AX104" s="200">
        <f>AS104*AS$16+AT104*AT$16+AW104*AW$16+AU104+AV104*AV$16</f>
        <v>0</v>
      </c>
      <c r="AZ104" s="200">
        <f t="shared" si="173"/>
        <v>0</v>
      </c>
    </row>
    <row r="105" spans="1:52" outlineLevel="1" x14ac:dyDescent="0.2">
      <c r="A105" s="655"/>
      <c r="B105" s="190"/>
      <c r="C105" s="45"/>
      <c r="D105" s="25"/>
      <c r="E105" s="25"/>
      <c r="F105" s="25"/>
      <c r="G105" s="45"/>
      <c r="H105" s="45"/>
      <c r="I105" s="45"/>
      <c r="J105" s="25"/>
      <c r="K105" s="25"/>
      <c r="L105" s="25"/>
      <c r="M105" s="45"/>
      <c r="N105" s="45"/>
      <c r="O105" s="45"/>
      <c r="P105" s="25"/>
      <c r="Q105" s="25"/>
      <c r="R105" s="25"/>
      <c r="S105" s="45"/>
      <c r="T105" s="45"/>
      <c r="U105" s="45"/>
      <c r="V105" s="25"/>
      <c r="W105" s="25"/>
      <c r="X105" s="25"/>
      <c r="Y105" s="45"/>
      <c r="Z105" s="45"/>
      <c r="AA105" s="45"/>
      <c r="AB105" s="25"/>
      <c r="AC105" s="25"/>
      <c r="AD105" s="25"/>
      <c r="AE105" s="45"/>
      <c r="AF105" s="45"/>
      <c r="AG105" s="45"/>
      <c r="AH105" s="25"/>
      <c r="AI105" s="25"/>
      <c r="AJ105" s="25"/>
      <c r="AK105" s="45"/>
      <c r="AL105" s="45"/>
      <c r="AM105" s="45"/>
      <c r="AN105" s="25"/>
      <c r="AO105" s="25"/>
      <c r="AP105" s="25"/>
      <c r="AQ105" s="45"/>
      <c r="AR105" s="45"/>
      <c r="AS105" s="45"/>
      <c r="AT105" s="25"/>
      <c r="AU105" s="25"/>
      <c r="AV105" s="25"/>
      <c r="AW105" s="45"/>
      <c r="AX105" s="45"/>
      <c r="AZ105" s="45">
        <f t="shared" si="173"/>
        <v>0</v>
      </c>
    </row>
    <row r="106" spans="1:52" s="3" customFormat="1" outlineLevel="1" x14ac:dyDescent="0.2">
      <c r="A106" s="655"/>
      <c r="B106" s="182" t="s">
        <v>75</v>
      </c>
      <c r="C106" s="54">
        <f>SUM(C107:C109)</f>
        <v>65890.600000000006</v>
      </c>
      <c r="D106" s="31">
        <f t="shared" ref="D106" si="263">SUM(D107:D109)</f>
        <v>458324.54200000002</v>
      </c>
      <c r="E106" s="31">
        <f t="shared" ref="E106" si="264">SUM(E107:E109)</f>
        <v>0</v>
      </c>
      <c r="F106" s="31">
        <f t="shared" ref="F106" si="265">SUM(F107:F109)</f>
        <v>0</v>
      </c>
      <c r="G106" s="54">
        <f t="shared" ref="G106" si="266">SUM(G107:G109)</f>
        <v>524215.14200000011</v>
      </c>
      <c r="H106" s="54">
        <f t="shared" ref="H106" si="267">SUM(H107:H109)</f>
        <v>157264.54260000002</v>
      </c>
      <c r="I106" s="54">
        <f>SUM(I107:I109)</f>
        <v>0</v>
      </c>
      <c r="J106" s="31">
        <f t="shared" ref="J106:N106" si="268">SUM(J107:J109)</f>
        <v>0</v>
      </c>
      <c r="K106" s="31">
        <f t="shared" si="268"/>
        <v>0</v>
      </c>
      <c r="L106" s="31">
        <f t="shared" si="268"/>
        <v>0</v>
      </c>
      <c r="M106" s="54">
        <f t="shared" si="268"/>
        <v>0</v>
      </c>
      <c r="N106" s="54">
        <f t="shared" si="268"/>
        <v>0</v>
      </c>
      <c r="O106" s="54">
        <f>SUM(O107:O109)</f>
        <v>0</v>
      </c>
      <c r="P106" s="31">
        <f t="shared" ref="P106:T106" si="269">SUM(P107:P109)</f>
        <v>0</v>
      </c>
      <c r="Q106" s="31">
        <f t="shared" si="269"/>
        <v>0</v>
      </c>
      <c r="R106" s="31">
        <f t="shared" si="269"/>
        <v>0</v>
      </c>
      <c r="S106" s="54">
        <f t="shared" si="269"/>
        <v>0</v>
      </c>
      <c r="T106" s="54">
        <f t="shared" si="269"/>
        <v>0</v>
      </c>
      <c r="U106" s="54">
        <f>SUM(U107:U109)</f>
        <v>0</v>
      </c>
      <c r="V106" s="31">
        <f t="shared" ref="V106:Z106" si="270">SUM(V107:V109)</f>
        <v>0</v>
      </c>
      <c r="W106" s="31">
        <f t="shared" si="270"/>
        <v>0</v>
      </c>
      <c r="X106" s="31">
        <f t="shared" si="270"/>
        <v>0</v>
      </c>
      <c r="Y106" s="54">
        <f t="shared" si="270"/>
        <v>0</v>
      </c>
      <c r="Z106" s="54">
        <f t="shared" si="270"/>
        <v>0</v>
      </c>
      <c r="AA106" s="54">
        <f>SUM(AA107:AA109)</f>
        <v>0</v>
      </c>
      <c r="AB106" s="31">
        <f t="shared" ref="AB106:AF106" si="271">SUM(AB107:AB109)</f>
        <v>0</v>
      </c>
      <c r="AC106" s="31">
        <f t="shared" si="271"/>
        <v>0</v>
      </c>
      <c r="AD106" s="31">
        <f t="shared" si="271"/>
        <v>0</v>
      </c>
      <c r="AE106" s="54">
        <f t="shared" si="271"/>
        <v>0</v>
      </c>
      <c r="AF106" s="54">
        <f t="shared" si="271"/>
        <v>0</v>
      </c>
      <c r="AG106" s="54">
        <f>SUM(AG107:AG109)</f>
        <v>150000</v>
      </c>
      <c r="AH106" s="31">
        <f t="shared" ref="AH106:AL106" si="272">SUM(AH107:AH109)</f>
        <v>350000</v>
      </c>
      <c r="AI106" s="31">
        <f t="shared" si="272"/>
        <v>0</v>
      </c>
      <c r="AJ106" s="31">
        <f t="shared" si="272"/>
        <v>0</v>
      </c>
      <c r="AK106" s="54">
        <f t="shared" si="272"/>
        <v>500000</v>
      </c>
      <c r="AL106" s="54">
        <f t="shared" si="272"/>
        <v>150000</v>
      </c>
      <c r="AM106" s="54">
        <f>SUM(AM107:AM109)</f>
        <v>0</v>
      </c>
      <c r="AN106" s="31">
        <f t="shared" ref="AN106:AR106" si="273">SUM(AN107:AN109)</f>
        <v>0</v>
      </c>
      <c r="AO106" s="31">
        <f t="shared" si="273"/>
        <v>0</v>
      </c>
      <c r="AP106" s="31">
        <f t="shared" si="273"/>
        <v>0</v>
      </c>
      <c r="AQ106" s="54">
        <f t="shared" si="273"/>
        <v>0</v>
      </c>
      <c r="AR106" s="54">
        <f t="shared" si="273"/>
        <v>0</v>
      </c>
      <c r="AS106" s="54">
        <f>SUM(AS107:AS109)</f>
        <v>0</v>
      </c>
      <c r="AT106" s="31">
        <f t="shared" ref="AT106:AX106" si="274">SUM(AT107:AT109)</f>
        <v>0</v>
      </c>
      <c r="AU106" s="31">
        <f t="shared" si="274"/>
        <v>0</v>
      </c>
      <c r="AV106" s="31">
        <f t="shared" si="274"/>
        <v>0</v>
      </c>
      <c r="AW106" s="54">
        <f t="shared" si="274"/>
        <v>0</v>
      </c>
      <c r="AX106" s="54">
        <f t="shared" si="274"/>
        <v>0</v>
      </c>
      <c r="AZ106" s="54">
        <f t="shared" si="173"/>
        <v>1024215.1420000001</v>
      </c>
    </row>
    <row r="107" spans="1:52" outlineLevel="1" x14ac:dyDescent="0.2">
      <c r="A107" s="655"/>
      <c r="B107" s="189" t="s">
        <v>6</v>
      </c>
      <c r="C107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payments'!$D:$D,Vertical_Cash_flow!$B107,'Other Operational payments'!$C:$C,Vertical_Cash_flow!$B$106)</f>
        <v>65890.600000000006</v>
      </c>
      <c r="D107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payments'!$D:$D,Vertical_Cash_flow!$B107,'Other Operational payments'!$C:$C,Vertical_Cash_flow!$B$106)</f>
        <v>269280.69300000003</v>
      </c>
      <c r="E107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payments'!$D:$D,Vertical_Cash_flow!$B107,'Other Operational payments'!$C:$C,Vertical_Cash_flow!$B$106)</f>
        <v>0</v>
      </c>
      <c r="F107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payments'!$D:$D,Vertical_Cash_flow!$B107,'Other Operational payments'!$C:$C,Vertical_Cash_flow!$B$106)</f>
        <v>0</v>
      </c>
      <c r="G107" s="200">
        <f>C107+D107+E107/$C$16+F107/$F$16</f>
        <v>335171.29300000006</v>
      </c>
      <c r="H107" s="200">
        <f>C107*C$16+D107*D$16+G107*G$16+E107+F107*F$16</f>
        <v>100551.3879</v>
      </c>
      <c r="I107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payments'!$D:$D,Vertical_Cash_flow!$B107,'Other Operational payments'!$C:$C,Vertical_Cash_flow!$B$106)</f>
        <v>0</v>
      </c>
      <c r="J107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payments'!$D:$D,Vertical_Cash_flow!$B107,'Other Operational payments'!$C:$C,Vertical_Cash_flow!$B$106)</f>
        <v>0</v>
      </c>
      <c r="K107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payments'!$D:$D,Vertical_Cash_flow!$B107,'Other Operational payments'!$C:$C,Vertical_Cash_flow!$B$106)</f>
        <v>0</v>
      </c>
      <c r="L107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payments'!$D:$D,Vertical_Cash_flow!$B107,'Other Operational payments'!$C:$C,Vertical_Cash_flow!$B$106)</f>
        <v>0</v>
      </c>
      <c r="M107" s="200">
        <f>I107+J107+K107/$C$16+L107/$F$16</f>
        <v>0</v>
      </c>
      <c r="N107" s="200">
        <f>I107*I$16+J107*J$16+M107*M$16+K107+L107*L$16</f>
        <v>0</v>
      </c>
      <c r="O107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payments'!$D:$D,Vertical_Cash_flow!$B107,'Other Operational payments'!$C:$C,Vertical_Cash_flow!$B$106)</f>
        <v>0</v>
      </c>
      <c r="P107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payments'!$D:$D,Vertical_Cash_flow!$B107,'Other Operational payments'!$C:$C,Vertical_Cash_flow!$B$106)</f>
        <v>0</v>
      </c>
      <c r="Q107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payments'!$D:$D,Vertical_Cash_flow!$B107,'Other Operational payments'!$C:$C,Vertical_Cash_flow!$B$106)</f>
        <v>0</v>
      </c>
      <c r="R107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payments'!$D:$D,Vertical_Cash_flow!$B107,'Other Operational payments'!$C:$C,Vertical_Cash_flow!$B$106)</f>
        <v>0</v>
      </c>
      <c r="S107" s="200">
        <f>O107+P107+Q107/$C$16+R107/$F$16</f>
        <v>0</v>
      </c>
      <c r="T107" s="200">
        <f>O107*O$16+P107*P$16+S107*S$16+Q107+R107*R$16</f>
        <v>0</v>
      </c>
      <c r="U107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payments'!$D:$D,Vertical_Cash_flow!$B107,'Other Operational payments'!$C:$C,Vertical_Cash_flow!$B$106)</f>
        <v>0</v>
      </c>
      <c r="V107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payments'!$D:$D,Vertical_Cash_flow!$B107,'Other Operational payments'!$C:$C,Vertical_Cash_flow!$B$106)</f>
        <v>0</v>
      </c>
      <c r="W107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payments'!$D:$D,Vertical_Cash_flow!$B107,'Other Operational payments'!$C:$C,Vertical_Cash_flow!$B$106)</f>
        <v>0</v>
      </c>
      <c r="X107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payments'!$D:$D,Vertical_Cash_flow!$B107,'Other Operational payments'!$C:$C,Vertical_Cash_flow!$B$106)</f>
        <v>0</v>
      </c>
      <c r="Y107" s="200">
        <f>U107+V107+W107/$C$16+X107/$F$16</f>
        <v>0</v>
      </c>
      <c r="Z107" s="200">
        <f>U107*U$16+V107*V$16+Y107*Y$16+W107+X107*X$16</f>
        <v>0</v>
      </c>
      <c r="AA107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payments'!$D:$D,Vertical_Cash_flow!$B107,'Other Operational payments'!$C:$C,Vertical_Cash_flow!$B$106)</f>
        <v>0</v>
      </c>
      <c r="AB107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payments'!$D:$D,Vertical_Cash_flow!$B107,'Other Operational payments'!$C:$C,Vertical_Cash_flow!$B$106)</f>
        <v>0</v>
      </c>
      <c r="AC107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payments'!$D:$D,Vertical_Cash_flow!$B107,'Other Operational payments'!$C:$C,Vertical_Cash_flow!$B$106)</f>
        <v>0</v>
      </c>
      <c r="AD107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payments'!$D:$D,Vertical_Cash_flow!$B107,'Other Operational payments'!$C:$C,Vertical_Cash_flow!$B$106)</f>
        <v>0</v>
      </c>
      <c r="AE107" s="200">
        <f>AA107+AB107+AC107/$C$16+AD107/$F$16</f>
        <v>0</v>
      </c>
      <c r="AF107" s="200">
        <f>AA107*AA$16+AB107*AB$16+AE107*AE$16+AC107+AD107*AD$16</f>
        <v>0</v>
      </c>
      <c r="AG107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payments'!$D:$D,Vertical_Cash_flow!$B107,'Other Operational payments'!$C:$C,Vertical_Cash_flow!$B$106)</f>
        <v>150000</v>
      </c>
      <c r="AH107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payments'!$D:$D,Vertical_Cash_flow!$B107,'Other Operational payments'!$C:$C,Vertical_Cash_flow!$B$106)</f>
        <v>350000</v>
      </c>
      <c r="AI107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payments'!$D:$D,Vertical_Cash_flow!$B107,'Other Operational payments'!$C:$C,Vertical_Cash_flow!$B$106)</f>
        <v>0</v>
      </c>
      <c r="AJ107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payments'!$D:$D,Vertical_Cash_flow!$B107,'Other Operational payments'!$C:$C,Vertical_Cash_flow!$B$106)</f>
        <v>0</v>
      </c>
      <c r="AK107" s="200">
        <f>AG107+AH107+AI107/$C$16+AJ107/$F$16</f>
        <v>500000</v>
      </c>
      <c r="AL107" s="200">
        <f>AG107*AG$16+AH107*AH$16+AK107*AK$16+AI107+AJ107*AJ$16</f>
        <v>150000</v>
      </c>
      <c r="AM107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payments'!$D:$D,Vertical_Cash_flow!$B107,'Other Operational payments'!$C:$C,Vertical_Cash_flow!$B$106)</f>
        <v>0</v>
      </c>
      <c r="AN107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payments'!$D:$D,Vertical_Cash_flow!$B107,'Other Operational payments'!$C:$C,Vertical_Cash_flow!$B$106)</f>
        <v>0</v>
      </c>
      <c r="AO107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payments'!$D:$D,Vertical_Cash_flow!$B107,'Other Operational payments'!$C:$C,Vertical_Cash_flow!$B$106)</f>
        <v>0</v>
      </c>
      <c r="AP107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payments'!$D:$D,Vertical_Cash_flow!$B107,'Other Operational payments'!$C:$C,Vertical_Cash_flow!$B$106)</f>
        <v>0</v>
      </c>
      <c r="AQ107" s="200">
        <f>AM107+AN107+AO107/$C$16+AP107/$F$16</f>
        <v>0</v>
      </c>
      <c r="AR107" s="200">
        <f>AM107*AM$16+AN107*AN$16+AQ107*AQ$16+AO107+AP107*AP$16</f>
        <v>0</v>
      </c>
      <c r="AS107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payments'!$D:$D,Vertical_Cash_flow!$B107,'Other Operational payments'!$C:$C,Vertical_Cash_flow!$B$106)</f>
        <v>0</v>
      </c>
      <c r="AT107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payments'!$D:$D,Vertical_Cash_flow!$B107,'Other Operational payments'!$C:$C,Vertical_Cash_flow!$B$106)</f>
        <v>0</v>
      </c>
      <c r="AU107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payments'!$D:$D,Vertical_Cash_flow!$B107,'Other Operational payments'!$C:$C,Vertical_Cash_flow!$B$106)</f>
        <v>0</v>
      </c>
      <c r="AV107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payments'!$D:$D,Vertical_Cash_flow!$B107,'Other Operational payments'!$C:$C,Vertical_Cash_flow!$B$106)</f>
        <v>0</v>
      </c>
      <c r="AW107" s="200">
        <f>AS107+AT107+AU107/$C$16+AV107/$F$16</f>
        <v>0</v>
      </c>
      <c r="AX107" s="200">
        <f>AS107*AS$16+AT107*AT$16+AW107*AW$16+AU107+AV107*AV$16</f>
        <v>0</v>
      </c>
      <c r="AZ107" s="200">
        <f t="shared" si="173"/>
        <v>835171.29300000006</v>
      </c>
    </row>
    <row r="108" spans="1:52" outlineLevel="1" x14ac:dyDescent="0.2">
      <c r="A108" s="655"/>
      <c r="B108" s="189" t="s">
        <v>30</v>
      </c>
      <c r="C108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payments'!$D:$D,Vertical_Cash_flow!$B108,'Other Operational payments'!$C:$C,Vertical_Cash_flow!$B$106)</f>
        <v>0</v>
      </c>
      <c r="D108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payments'!$D:$D,Vertical_Cash_flow!$B108,'Other Operational payments'!$C:$C,Vertical_Cash_flow!$B$106)</f>
        <v>189043.84900000002</v>
      </c>
      <c r="E108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payments'!$D:$D,Vertical_Cash_flow!$B108,'Other Operational payments'!$C:$C,Vertical_Cash_flow!$B$106)</f>
        <v>0</v>
      </c>
      <c r="F108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payments'!$D:$D,Vertical_Cash_flow!$B108,'Other Operational payments'!$C:$C,Vertical_Cash_flow!$B$106)</f>
        <v>0</v>
      </c>
      <c r="G108" s="200">
        <f t="shared" ref="G108:G109" si="275">C108+D108+E108/$C$16+F108/$F$16</f>
        <v>189043.84900000002</v>
      </c>
      <c r="H108" s="200">
        <f>C108*C$16+D108*D$16+G108*G$16+E108+F108*F$16</f>
        <v>56713.154700000006</v>
      </c>
      <c r="I108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payments'!$D:$D,Vertical_Cash_flow!$B108,'Other Operational payments'!$C:$C,Vertical_Cash_flow!$B$106)</f>
        <v>0</v>
      </c>
      <c r="J108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payments'!$D:$D,Vertical_Cash_flow!$B108,'Other Operational payments'!$C:$C,Vertical_Cash_flow!$B$106)</f>
        <v>0</v>
      </c>
      <c r="K108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payments'!$D:$D,Vertical_Cash_flow!$B108,'Other Operational payments'!$C:$C,Vertical_Cash_flow!$B$106)</f>
        <v>0</v>
      </c>
      <c r="L108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payments'!$D:$D,Vertical_Cash_flow!$B108,'Other Operational payments'!$C:$C,Vertical_Cash_flow!$B$106)</f>
        <v>0</v>
      </c>
      <c r="M108" s="200">
        <f t="shared" ref="M108:M109" si="276">I108+J108+K108/$C$16+L108/$F$16</f>
        <v>0</v>
      </c>
      <c r="N108" s="200">
        <f>I108*I$16+J108*J$16+M108*M$16+K108+L108*L$16</f>
        <v>0</v>
      </c>
      <c r="O108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payments'!$D:$D,Vertical_Cash_flow!$B108,'Other Operational payments'!$C:$C,Vertical_Cash_flow!$B$106)</f>
        <v>0</v>
      </c>
      <c r="P108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payments'!$D:$D,Vertical_Cash_flow!$B108,'Other Operational payments'!$C:$C,Vertical_Cash_flow!$B$106)</f>
        <v>0</v>
      </c>
      <c r="Q108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payments'!$D:$D,Vertical_Cash_flow!$B108,'Other Operational payments'!$C:$C,Vertical_Cash_flow!$B$106)</f>
        <v>0</v>
      </c>
      <c r="R108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payments'!$D:$D,Vertical_Cash_flow!$B108,'Other Operational payments'!$C:$C,Vertical_Cash_flow!$B$106)</f>
        <v>0</v>
      </c>
      <c r="S108" s="200">
        <f t="shared" ref="S108:S109" si="277">O108+P108+Q108/$C$16+R108/$F$16</f>
        <v>0</v>
      </c>
      <c r="T108" s="200">
        <f>O108*O$16+P108*P$16+S108*S$16+Q108+R108*R$16</f>
        <v>0</v>
      </c>
      <c r="U108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payments'!$D:$D,Vertical_Cash_flow!$B108,'Other Operational payments'!$C:$C,Vertical_Cash_flow!$B$106)</f>
        <v>0</v>
      </c>
      <c r="V108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payments'!$D:$D,Vertical_Cash_flow!$B108,'Other Operational payments'!$C:$C,Vertical_Cash_flow!$B$106)</f>
        <v>0</v>
      </c>
      <c r="W108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payments'!$D:$D,Vertical_Cash_flow!$B108,'Other Operational payments'!$C:$C,Vertical_Cash_flow!$B$106)</f>
        <v>0</v>
      </c>
      <c r="X108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payments'!$D:$D,Vertical_Cash_flow!$B108,'Other Operational payments'!$C:$C,Vertical_Cash_flow!$B$106)</f>
        <v>0</v>
      </c>
      <c r="Y108" s="200">
        <f t="shared" ref="Y108:Y109" si="278">U108+V108+W108/$C$16+X108/$F$16</f>
        <v>0</v>
      </c>
      <c r="Z108" s="200">
        <f>U108*U$16+V108*V$16+Y108*Y$16+W108+X108*X$16</f>
        <v>0</v>
      </c>
      <c r="AA108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payments'!$D:$D,Vertical_Cash_flow!$B108,'Other Operational payments'!$C:$C,Vertical_Cash_flow!$B$106)</f>
        <v>0</v>
      </c>
      <c r="AB108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payments'!$D:$D,Vertical_Cash_flow!$B108,'Other Operational payments'!$C:$C,Vertical_Cash_flow!$B$106)</f>
        <v>0</v>
      </c>
      <c r="AC108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payments'!$D:$D,Vertical_Cash_flow!$B108,'Other Operational payments'!$C:$C,Vertical_Cash_flow!$B$106)</f>
        <v>0</v>
      </c>
      <c r="AD108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payments'!$D:$D,Vertical_Cash_flow!$B108,'Other Operational payments'!$C:$C,Vertical_Cash_flow!$B$106)</f>
        <v>0</v>
      </c>
      <c r="AE108" s="200">
        <f t="shared" ref="AE108:AE109" si="279">AA108+AB108+AC108/$C$16+AD108/$F$16</f>
        <v>0</v>
      </c>
      <c r="AF108" s="200">
        <f>AA108*AA$16+AB108*AB$16+AE108*AE$16+AC108+AD108*AD$16</f>
        <v>0</v>
      </c>
      <c r="AG108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payments'!$D:$D,Vertical_Cash_flow!$B108,'Other Operational payments'!$C:$C,Vertical_Cash_flow!$B$106)</f>
        <v>0</v>
      </c>
      <c r="AH108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payments'!$D:$D,Vertical_Cash_flow!$B108,'Other Operational payments'!$C:$C,Vertical_Cash_flow!$B$106)</f>
        <v>0</v>
      </c>
      <c r="AI108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payments'!$D:$D,Vertical_Cash_flow!$B108,'Other Operational payments'!$C:$C,Vertical_Cash_flow!$B$106)</f>
        <v>0</v>
      </c>
      <c r="AJ108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payments'!$D:$D,Vertical_Cash_flow!$B108,'Other Operational payments'!$C:$C,Vertical_Cash_flow!$B$106)</f>
        <v>0</v>
      </c>
      <c r="AK108" s="200">
        <f t="shared" ref="AK108:AK109" si="280">AG108+AH108+AI108/$C$16+AJ108/$F$16</f>
        <v>0</v>
      </c>
      <c r="AL108" s="200">
        <f>AG108*AG$16+AH108*AH$16+AK108*AK$16+AI108+AJ108*AJ$16</f>
        <v>0</v>
      </c>
      <c r="AM108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payments'!$D:$D,Vertical_Cash_flow!$B108,'Other Operational payments'!$C:$C,Vertical_Cash_flow!$B$106)</f>
        <v>0</v>
      </c>
      <c r="AN108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payments'!$D:$D,Vertical_Cash_flow!$B108,'Other Operational payments'!$C:$C,Vertical_Cash_flow!$B$106)</f>
        <v>0</v>
      </c>
      <c r="AO108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payments'!$D:$D,Vertical_Cash_flow!$B108,'Other Operational payments'!$C:$C,Vertical_Cash_flow!$B$106)</f>
        <v>0</v>
      </c>
      <c r="AP108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payments'!$D:$D,Vertical_Cash_flow!$B108,'Other Operational payments'!$C:$C,Vertical_Cash_flow!$B$106)</f>
        <v>0</v>
      </c>
      <c r="AQ108" s="200">
        <f t="shared" ref="AQ108:AQ109" si="281">AM108+AN108+AO108/$C$16+AP108/$F$16</f>
        <v>0</v>
      </c>
      <c r="AR108" s="200">
        <f>AM108*AM$16+AN108*AN$16+AQ108*AQ$16+AO108+AP108*AP$16</f>
        <v>0</v>
      </c>
      <c r="AS108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payments'!$D:$D,Vertical_Cash_flow!$B108,'Other Operational payments'!$C:$C,Vertical_Cash_flow!$B$106)</f>
        <v>0</v>
      </c>
      <c r="AT108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payments'!$D:$D,Vertical_Cash_flow!$B108,'Other Operational payments'!$C:$C,Vertical_Cash_flow!$B$106)</f>
        <v>0</v>
      </c>
      <c r="AU108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payments'!$D:$D,Vertical_Cash_flow!$B108,'Other Operational payments'!$C:$C,Vertical_Cash_flow!$B$106)</f>
        <v>0</v>
      </c>
      <c r="AV108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payments'!$D:$D,Vertical_Cash_flow!$B108,'Other Operational payments'!$C:$C,Vertical_Cash_flow!$B$106)</f>
        <v>0</v>
      </c>
      <c r="AW108" s="200">
        <f t="shared" ref="AW108:AW109" si="282">AS108+AT108+AU108/$C$16+AV108/$F$16</f>
        <v>0</v>
      </c>
      <c r="AX108" s="200">
        <f>AS108*AS$16+AT108*AT$16+AW108*AW$16+AU108+AV108*AV$16</f>
        <v>0</v>
      </c>
      <c r="AZ108" s="200">
        <f t="shared" si="173"/>
        <v>189043.84900000002</v>
      </c>
    </row>
    <row r="109" spans="1:52" outlineLevel="1" x14ac:dyDescent="0.2">
      <c r="A109" s="655"/>
      <c r="B109" s="189" t="s">
        <v>31</v>
      </c>
      <c r="C109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payments'!$D:$D,Vertical_Cash_flow!$B109,'Other Operational payments'!$C:$C,Vertical_Cash_flow!$B$106)</f>
        <v>0</v>
      </c>
      <c r="D109" s="32">
        <f>SUMIFS('Other Operational payments'!$G:$G,'Other Operational payments'!$O:$O,Vertical_Cash_flow!C$11,'Other Operational payments'!$F:$F,Vertical_Cash_flow!D$15,'Other Operational payments'!$A:$A,Vertical_Cash_flow!$D$14,'Other Operational payments'!$D:$D,Vertical_Cash_flow!$B109,'Other Operational payments'!$C:$C,Vertical_Cash_flow!$B$106)</f>
        <v>0</v>
      </c>
      <c r="E109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payments'!$D:$D,Vertical_Cash_flow!$B109,'Other Operational payments'!$C:$C,Vertical_Cash_flow!$B$106)</f>
        <v>0</v>
      </c>
      <c r="F109" s="32">
        <f>SUMIFS('Other Operational payments'!$G:$G,'Other Operational payments'!$O:$O,Vertical_Cash_flow!C$11,'Other Operational payments'!$F:$F,Vertical_Cash_flow!F$15,'Other Operational payments'!$A:$A,Vertical_Cash_flow!$F$14,'Other Operational payments'!$D:$D,Vertical_Cash_flow!$B109,'Other Operational payments'!$C:$C,Vertical_Cash_flow!$B$106)</f>
        <v>0</v>
      </c>
      <c r="G109" s="200">
        <f t="shared" si="275"/>
        <v>0</v>
      </c>
      <c r="H109" s="200">
        <f>C109*C$16+D109*D$16+G109*G$16+E109+F109*F$16</f>
        <v>0</v>
      </c>
      <c r="I109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payments'!$D:$D,Vertical_Cash_flow!$B109,'Other Operational payments'!$C:$C,Vertical_Cash_flow!$B$106)</f>
        <v>0</v>
      </c>
      <c r="J109" s="32">
        <f>SUMIFS('Other Operational payments'!$G:$G,'Other Operational payments'!$O:$O,Vertical_Cash_flow!I$11,'Other Operational payments'!$F:$F,Vertical_Cash_flow!J$15,'Other Operational payments'!$A:$A,Vertical_Cash_flow!$D$14,'Other Operational payments'!$D:$D,Vertical_Cash_flow!$B109,'Other Operational payments'!$C:$C,Vertical_Cash_flow!$B$106)</f>
        <v>0</v>
      </c>
      <c r="K109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payments'!$D:$D,Vertical_Cash_flow!$B109,'Other Operational payments'!$C:$C,Vertical_Cash_flow!$B$106)</f>
        <v>0</v>
      </c>
      <c r="L109" s="32">
        <f>SUMIFS('Other Operational payments'!$G:$G,'Other Operational payments'!$O:$O,Vertical_Cash_flow!I$11,'Other Operational payments'!$F:$F,Vertical_Cash_flow!L$15,'Other Operational payments'!$A:$A,Vertical_Cash_flow!$F$14,'Other Operational payments'!$D:$D,Vertical_Cash_flow!$B109,'Other Operational payments'!$C:$C,Vertical_Cash_flow!$B$106)</f>
        <v>0</v>
      </c>
      <c r="M109" s="200">
        <f t="shared" si="276"/>
        <v>0</v>
      </c>
      <c r="N109" s="200">
        <f>I109*I$16+J109*J$16+M109*M$16+K109+L109*L$16</f>
        <v>0</v>
      </c>
      <c r="O109" s="48">
        <f>SUMIFS('Other Operational payments'!$G:$G,'Other Operational payments'!$O:$O,Vertical_Cash_flow!O$11,'Other Operational payments'!$F:$F,Vertical_Cash_flow!O$15,'Other Operational payments'!$A:$A,Vertical_Cash_flow!$C$14,'Other Operational payments'!$D:$D,Vertical_Cash_flow!$B109,'Other Operational payments'!$C:$C,Vertical_Cash_flow!$B$106)</f>
        <v>0</v>
      </c>
      <c r="P109" s="32">
        <f>SUMIFS('Other Operational payments'!$G:$G,'Other Operational payments'!$O:$O,Vertical_Cash_flow!O$11,'Other Operational payments'!$F:$F,Vertical_Cash_flow!P$15,'Other Operational payments'!$A:$A,Vertical_Cash_flow!$D$14,'Other Operational payments'!$D:$D,Vertical_Cash_flow!$B109,'Other Operational payments'!$C:$C,Vertical_Cash_flow!$B$106)</f>
        <v>0</v>
      </c>
      <c r="Q109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payments'!$D:$D,Vertical_Cash_flow!$B109,'Other Operational payments'!$C:$C,Vertical_Cash_flow!$B$106)</f>
        <v>0</v>
      </c>
      <c r="R109" s="32">
        <f>SUMIFS('Other Operational payments'!$G:$G,'Other Operational payments'!$O:$O,Vertical_Cash_flow!O$11,'Other Operational payments'!$F:$F,Vertical_Cash_flow!R$15,'Other Operational payments'!$A:$A,Vertical_Cash_flow!$F$14,'Other Operational payments'!$D:$D,Vertical_Cash_flow!$B109,'Other Operational payments'!$C:$C,Vertical_Cash_flow!$B$106)</f>
        <v>0</v>
      </c>
      <c r="S109" s="200">
        <f t="shared" si="277"/>
        <v>0</v>
      </c>
      <c r="T109" s="200">
        <f>O109*O$16+P109*P$16+S109*S$16+Q109+R109*R$16</f>
        <v>0</v>
      </c>
      <c r="U109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payments'!$D:$D,Vertical_Cash_flow!$B109,'Other Operational payments'!$C:$C,Vertical_Cash_flow!$B$106)</f>
        <v>0</v>
      </c>
      <c r="V109" s="32">
        <f>SUMIFS('Other Operational payments'!$G:$G,'Other Operational payments'!$O:$O,Vertical_Cash_flow!U$11,'Other Operational payments'!$F:$F,Vertical_Cash_flow!V$15,'Other Operational payments'!$A:$A,Vertical_Cash_flow!$D$14,'Other Operational payments'!$D:$D,Vertical_Cash_flow!$B109,'Other Operational payments'!$C:$C,Vertical_Cash_flow!$B$106)</f>
        <v>0</v>
      </c>
      <c r="W109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payments'!$D:$D,Vertical_Cash_flow!$B109,'Other Operational payments'!$C:$C,Vertical_Cash_flow!$B$106)</f>
        <v>0</v>
      </c>
      <c r="X109" s="32">
        <f>SUMIFS('Other Operational payments'!$G:$G,'Other Operational payments'!$O:$O,Vertical_Cash_flow!U$11,'Other Operational payments'!$F:$F,Vertical_Cash_flow!X$15,'Other Operational payments'!$A:$A,Vertical_Cash_flow!$F$14,'Other Operational payments'!$D:$D,Vertical_Cash_flow!$B109,'Other Operational payments'!$C:$C,Vertical_Cash_flow!$B$106)</f>
        <v>0</v>
      </c>
      <c r="Y109" s="200">
        <f t="shared" si="278"/>
        <v>0</v>
      </c>
      <c r="Z109" s="200">
        <f>U109*U$16+V109*V$16+Y109*Y$16+W109+X109*X$16</f>
        <v>0</v>
      </c>
      <c r="AA109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payments'!$D:$D,Vertical_Cash_flow!$B109,'Other Operational payments'!$C:$C,Vertical_Cash_flow!$B$106)</f>
        <v>0</v>
      </c>
      <c r="AB109" s="32">
        <f>SUMIFS('Other Operational payments'!$G:$G,'Other Operational payments'!$O:$O,Vertical_Cash_flow!AA$11,'Other Operational payments'!$F:$F,Vertical_Cash_flow!AB$15,'Other Operational payments'!$A:$A,Vertical_Cash_flow!$D$14,'Other Operational payments'!$D:$D,Vertical_Cash_flow!$B109,'Other Operational payments'!$C:$C,Vertical_Cash_flow!$B$106)</f>
        <v>0</v>
      </c>
      <c r="AC109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payments'!$D:$D,Vertical_Cash_flow!$B109,'Other Operational payments'!$C:$C,Vertical_Cash_flow!$B$106)</f>
        <v>0</v>
      </c>
      <c r="AD109" s="32">
        <f>SUMIFS('Other Operational payments'!$G:$G,'Other Operational payments'!$O:$O,Vertical_Cash_flow!AA$11,'Other Operational payments'!$F:$F,Vertical_Cash_flow!AD$15,'Other Operational payments'!$A:$A,Vertical_Cash_flow!$F$14,'Other Operational payments'!$D:$D,Vertical_Cash_flow!$B109,'Other Operational payments'!$C:$C,Vertical_Cash_flow!$B$106)</f>
        <v>0</v>
      </c>
      <c r="AE109" s="200">
        <f t="shared" si="279"/>
        <v>0</v>
      </c>
      <c r="AF109" s="200">
        <f>AA109*AA$16+AB109*AB$16+AE109*AE$16+AC109+AD109*AD$16</f>
        <v>0</v>
      </c>
      <c r="AG109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payments'!$D:$D,Vertical_Cash_flow!$B109,'Other Operational payments'!$C:$C,Vertical_Cash_flow!$B$106)</f>
        <v>0</v>
      </c>
      <c r="AH109" s="32">
        <f>SUMIFS('Other Operational payments'!$G:$G,'Other Operational payments'!$O:$O,Vertical_Cash_flow!AG$11,'Other Operational payments'!$F:$F,Vertical_Cash_flow!AH$15,'Other Operational payments'!$A:$A,Vertical_Cash_flow!$D$14,'Other Operational payments'!$D:$D,Vertical_Cash_flow!$B109,'Other Operational payments'!$C:$C,Vertical_Cash_flow!$B$106)</f>
        <v>0</v>
      </c>
      <c r="AI109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payments'!$D:$D,Vertical_Cash_flow!$B109,'Other Operational payments'!$C:$C,Vertical_Cash_flow!$B$106)</f>
        <v>0</v>
      </c>
      <c r="AJ109" s="32">
        <f>SUMIFS('Other Operational payments'!$G:$G,'Other Operational payments'!$O:$O,Vertical_Cash_flow!AG$11,'Other Operational payments'!$F:$F,Vertical_Cash_flow!AJ$15,'Other Operational payments'!$A:$A,Vertical_Cash_flow!$F$14,'Other Operational payments'!$D:$D,Vertical_Cash_flow!$B109,'Other Operational payments'!$C:$C,Vertical_Cash_flow!$B$106)</f>
        <v>0</v>
      </c>
      <c r="AK109" s="200">
        <f t="shared" si="280"/>
        <v>0</v>
      </c>
      <c r="AL109" s="200">
        <f>AG109*AG$16+AH109*AH$16+AK109*AK$16+AI109+AJ109*AJ$16</f>
        <v>0</v>
      </c>
      <c r="AM109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payments'!$D:$D,Vertical_Cash_flow!$B109,'Other Operational payments'!$C:$C,Vertical_Cash_flow!$B$106)</f>
        <v>0</v>
      </c>
      <c r="AN109" s="32">
        <f>SUMIFS('Other Operational payments'!$G:$G,'Other Operational payments'!$O:$O,Vertical_Cash_flow!AM$11,'Other Operational payments'!$F:$F,Vertical_Cash_flow!AN$15,'Other Operational payments'!$A:$A,Vertical_Cash_flow!$D$14,'Other Operational payments'!$D:$D,Vertical_Cash_flow!$B109,'Other Operational payments'!$C:$C,Vertical_Cash_flow!$B$106)</f>
        <v>0</v>
      </c>
      <c r="AO109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payments'!$D:$D,Vertical_Cash_flow!$B109,'Other Operational payments'!$C:$C,Vertical_Cash_flow!$B$106)</f>
        <v>0</v>
      </c>
      <c r="AP109" s="32">
        <f>SUMIFS('Other Operational payments'!$G:$G,'Other Operational payments'!$O:$O,Vertical_Cash_flow!AM$11,'Other Operational payments'!$F:$F,Vertical_Cash_flow!AP$15,'Other Operational payments'!$A:$A,Vertical_Cash_flow!$F$14,'Other Operational payments'!$D:$D,Vertical_Cash_flow!$B109,'Other Operational payments'!$C:$C,Vertical_Cash_flow!$B$106)</f>
        <v>0</v>
      </c>
      <c r="AQ109" s="200">
        <f t="shared" si="281"/>
        <v>0</v>
      </c>
      <c r="AR109" s="200">
        <f>AM109*AM$16+AN109*AN$16+AQ109*AQ$16+AO109+AP109*AP$16</f>
        <v>0</v>
      </c>
      <c r="AS109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payments'!$D:$D,Vertical_Cash_flow!$B109,'Other Operational payments'!$C:$C,Vertical_Cash_flow!$B$106)</f>
        <v>0</v>
      </c>
      <c r="AT109" s="32">
        <f>SUMIFS('Other Operational payments'!$G:$G,'Other Operational payments'!$O:$O,Vertical_Cash_flow!AS$11,'Other Operational payments'!$F:$F,Vertical_Cash_flow!AT$15,'Other Operational payments'!$A:$A,Vertical_Cash_flow!$D$14,'Other Operational payments'!$D:$D,Vertical_Cash_flow!$B109,'Other Operational payments'!$C:$C,Vertical_Cash_flow!$B$106)</f>
        <v>0</v>
      </c>
      <c r="AU109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payments'!$D:$D,Vertical_Cash_flow!$B109,'Other Operational payments'!$C:$C,Vertical_Cash_flow!$B$106)</f>
        <v>0</v>
      </c>
      <c r="AV109" s="32">
        <f>SUMIFS('Other Operational payments'!$G:$G,'Other Operational payments'!$O:$O,Vertical_Cash_flow!AS$11,'Other Operational payments'!$F:$F,Vertical_Cash_flow!AV$15,'Other Operational payments'!$A:$A,Vertical_Cash_flow!$F$14,'Other Operational payments'!$D:$D,Vertical_Cash_flow!$B109,'Other Operational payments'!$C:$C,Vertical_Cash_flow!$B$106)</f>
        <v>0</v>
      </c>
      <c r="AW109" s="200">
        <f t="shared" si="282"/>
        <v>0</v>
      </c>
      <c r="AX109" s="200">
        <f>AS109*AS$16+AT109*AT$16+AW109*AW$16+AU109+AV109*AV$16</f>
        <v>0</v>
      </c>
      <c r="AZ109" s="200">
        <f t="shared" si="173"/>
        <v>0</v>
      </c>
    </row>
    <row r="110" spans="1:52" outlineLevel="1" x14ac:dyDescent="0.2">
      <c r="A110" s="655"/>
      <c r="B110" s="189"/>
      <c r="C110" s="45"/>
      <c r="D110" s="25"/>
      <c r="E110" s="25"/>
      <c r="F110" s="25"/>
      <c r="G110" s="45"/>
      <c r="H110" s="45"/>
      <c r="I110" s="45"/>
      <c r="J110" s="25"/>
      <c r="K110" s="25"/>
      <c r="L110" s="25"/>
      <c r="M110" s="45"/>
      <c r="N110" s="45"/>
      <c r="O110" s="45"/>
      <c r="P110" s="25"/>
      <c r="Q110" s="25"/>
      <c r="R110" s="25"/>
      <c r="S110" s="45"/>
      <c r="T110" s="45"/>
      <c r="U110" s="45"/>
      <c r="V110" s="25"/>
      <c r="W110" s="25"/>
      <c r="X110" s="25"/>
      <c r="Y110" s="45"/>
      <c r="Z110" s="45"/>
      <c r="AA110" s="45"/>
      <c r="AB110" s="25"/>
      <c r="AC110" s="25"/>
      <c r="AD110" s="25"/>
      <c r="AE110" s="45"/>
      <c r="AF110" s="45"/>
      <c r="AG110" s="45"/>
      <c r="AH110" s="25"/>
      <c r="AI110" s="25"/>
      <c r="AJ110" s="25"/>
      <c r="AK110" s="45"/>
      <c r="AL110" s="45"/>
      <c r="AM110" s="45"/>
      <c r="AN110" s="25"/>
      <c r="AO110" s="25"/>
      <c r="AP110" s="25"/>
      <c r="AQ110" s="45"/>
      <c r="AR110" s="45"/>
      <c r="AS110" s="45"/>
      <c r="AT110" s="25"/>
      <c r="AU110" s="25"/>
      <c r="AV110" s="25"/>
      <c r="AW110" s="45"/>
      <c r="AX110" s="45"/>
      <c r="AZ110" s="45">
        <f t="shared" si="173"/>
        <v>0</v>
      </c>
    </row>
    <row r="111" spans="1:52" s="3" customFormat="1" x14ac:dyDescent="0.2">
      <c r="A111" s="655"/>
      <c r="B111" s="182" t="s">
        <v>76</v>
      </c>
      <c r="C111" s="54">
        <f>SUM(C112:C118)</f>
        <v>1270000</v>
      </c>
      <c r="D111" s="31">
        <f t="shared" ref="D111:H111" si="283">SUM(D112:D118)</f>
        <v>0</v>
      </c>
      <c r="E111" s="31">
        <f t="shared" si="283"/>
        <v>0</v>
      </c>
      <c r="F111" s="31">
        <f t="shared" si="283"/>
        <v>0</v>
      </c>
      <c r="G111" s="54">
        <f>SUM(G112:G118)</f>
        <v>1270000</v>
      </c>
      <c r="H111" s="54">
        <f t="shared" si="283"/>
        <v>381000</v>
      </c>
      <c r="I111" s="54">
        <f t="shared" ref="I111" si="284">SUM(I112:I118)</f>
        <v>855000</v>
      </c>
      <c r="J111" s="31">
        <f t="shared" ref="J111" si="285">SUM(J112:J118)</f>
        <v>-672000</v>
      </c>
      <c r="K111" s="31">
        <f t="shared" ref="K111" si="286">SUM(K112:K118)</f>
        <v>200000</v>
      </c>
      <c r="L111" s="31">
        <f t="shared" ref="L111" si="287">SUM(L112:L118)</f>
        <v>0</v>
      </c>
      <c r="M111" s="54">
        <f>SUM(M112:M118)</f>
        <v>849666.66666666674</v>
      </c>
      <c r="N111" s="54">
        <f t="shared" ref="N111" si="288">SUM(N112:N118)</f>
        <v>254900</v>
      </c>
      <c r="O111" s="54">
        <f t="shared" ref="O111" si="289">SUM(O112:O118)</f>
        <v>400000</v>
      </c>
      <c r="P111" s="31">
        <f t="shared" ref="P111" si="290">SUM(P112:P118)</f>
        <v>0</v>
      </c>
      <c r="Q111" s="31">
        <f t="shared" ref="Q111" si="291">SUM(Q112:Q118)</f>
        <v>0</v>
      </c>
      <c r="R111" s="31">
        <f t="shared" ref="R111" si="292">SUM(R112:R118)</f>
        <v>0</v>
      </c>
      <c r="S111" s="54">
        <f t="shared" ref="S111:T111" si="293">SUM(S112:S118)</f>
        <v>400000</v>
      </c>
      <c r="T111" s="54">
        <f t="shared" si="293"/>
        <v>120000</v>
      </c>
      <c r="U111" s="54">
        <f t="shared" ref="U111" si="294">SUM(U112:U118)</f>
        <v>625000</v>
      </c>
      <c r="V111" s="31">
        <f t="shared" ref="V111" si="295">SUM(V112:V118)</f>
        <v>0</v>
      </c>
      <c r="W111" s="31">
        <f t="shared" ref="W111" si="296">SUM(W112:W118)</f>
        <v>0</v>
      </c>
      <c r="X111" s="31">
        <f t="shared" ref="X111" si="297">SUM(X112:X118)</f>
        <v>0</v>
      </c>
      <c r="Y111" s="54">
        <f t="shared" ref="Y111:Z111" si="298">SUM(Y112:Y118)</f>
        <v>625000</v>
      </c>
      <c r="Z111" s="54">
        <f t="shared" si="298"/>
        <v>187500</v>
      </c>
      <c r="AA111" s="54">
        <f t="shared" ref="AA111" si="299">SUM(AA112:AA118)</f>
        <v>765000</v>
      </c>
      <c r="AB111" s="31">
        <f t="shared" ref="AB111" si="300">SUM(AB112:AB118)</f>
        <v>-670000</v>
      </c>
      <c r="AC111" s="31">
        <f>SUM(AC112:AC118)</f>
        <v>200000</v>
      </c>
      <c r="AD111" s="31">
        <f t="shared" ref="AD111" si="301">SUM(AD112:AD118)</f>
        <v>0</v>
      </c>
      <c r="AE111" s="54">
        <f t="shared" ref="AE111:AF111" si="302">SUM(AE112:AE118)</f>
        <v>761666.66666666674</v>
      </c>
      <c r="AF111" s="54">
        <f t="shared" si="302"/>
        <v>228500.00000000003</v>
      </c>
      <c r="AG111" s="54">
        <f t="shared" ref="AG111" si="303">SUM(AG112:AG118)</f>
        <v>350000</v>
      </c>
      <c r="AH111" s="31">
        <f t="shared" ref="AH111" si="304">SUM(AH112:AH118)</f>
        <v>0</v>
      </c>
      <c r="AI111" s="31">
        <f t="shared" ref="AI111" si="305">SUM(AI112:AI118)</f>
        <v>0</v>
      </c>
      <c r="AJ111" s="31">
        <f t="shared" ref="AJ111" si="306">SUM(AJ112:AJ118)</f>
        <v>0</v>
      </c>
      <c r="AK111" s="54">
        <f t="shared" ref="AK111:AL111" si="307">SUM(AK112:AK118)</f>
        <v>350000</v>
      </c>
      <c r="AL111" s="54">
        <f t="shared" si="307"/>
        <v>105000</v>
      </c>
      <c r="AM111" s="54">
        <f t="shared" ref="AM111" si="308">SUM(AM112:AM118)</f>
        <v>665000</v>
      </c>
      <c r="AN111" s="31">
        <f t="shared" ref="AN111" si="309">SUM(AN112:AN118)</f>
        <v>-1169000</v>
      </c>
      <c r="AO111" s="31">
        <f t="shared" ref="AO111" si="310">SUM(AO112:AO118)</f>
        <v>350000</v>
      </c>
      <c r="AP111" s="31">
        <f t="shared" ref="AP111" si="311">SUM(AP112:AP118)</f>
        <v>0</v>
      </c>
      <c r="AQ111" s="54">
        <f t="shared" ref="AQ111:AR111" si="312">SUM(AQ112:AQ118)</f>
        <v>662666.66666666674</v>
      </c>
      <c r="AR111" s="54">
        <f t="shared" si="312"/>
        <v>198800.00000000003</v>
      </c>
      <c r="AS111" s="54">
        <f t="shared" ref="AS111" si="313">SUM(AS112:AS118)</f>
        <v>470000</v>
      </c>
      <c r="AT111" s="31">
        <f t="shared" ref="AT111" si="314">SUM(AT112:AT118)</f>
        <v>0</v>
      </c>
      <c r="AU111" s="31">
        <f t="shared" ref="AU111" si="315">SUM(AU112:AU118)</f>
        <v>0</v>
      </c>
      <c r="AV111" s="31">
        <f t="shared" ref="AV111" si="316">SUM(AV112:AV118)</f>
        <v>0</v>
      </c>
      <c r="AW111" s="54">
        <f t="shared" ref="AW111:AX111" si="317">SUM(AW112:AW118)</f>
        <v>470000</v>
      </c>
      <c r="AX111" s="54">
        <f t="shared" si="317"/>
        <v>141000</v>
      </c>
      <c r="AZ111" s="54">
        <f t="shared" si="173"/>
        <v>5389000.0000000009</v>
      </c>
    </row>
    <row r="112" spans="1:52" outlineLevel="1" x14ac:dyDescent="0.2">
      <c r="A112" s="655"/>
      <c r="B112" s="184" t="s">
        <v>58</v>
      </c>
      <c r="C112" s="48">
        <v>1270000</v>
      </c>
      <c r="D112" s="32"/>
      <c r="E112" s="32"/>
      <c r="F112" s="32"/>
      <c r="G112" s="200">
        <f>C112+D112+E112/$C$16+F112/$F$16</f>
        <v>1270000</v>
      </c>
      <c r="H112" s="200">
        <f>G112*$C$16</f>
        <v>381000</v>
      </c>
      <c r="I112" s="48">
        <v>855000</v>
      </c>
      <c r="J112" s="394">
        <f>-K112*3.36</f>
        <v>-672000</v>
      </c>
      <c r="K112" s="394">
        <v>200000</v>
      </c>
      <c r="L112" s="398"/>
      <c r="M112" s="200">
        <f>I112+J112+K112/$C$16+L112/$F$16</f>
        <v>849666.66666666674</v>
      </c>
      <c r="N112" s="200">
        <f t="shared" ref="N112:N116" si="318">M112*$C$16</f>
        <v>254900</v>
      </c>
      <c r="O112" s="48">
        <v>400000</v>
      </c>
      <c r="P112" s="32"/>
      <c r="Q112" s="32"/>
      <c r="R112" s="398"/>
      <c r="S112" s="200">
        <f>O112+P112+Q112/$C$16+R112/$F$16</f>
        <v>400000</v>
      </c>
      <c r="T112" s="200">
        <f t="shared" ref="T112:T116" si="319">S112*$C$16</f>
        <v>120000</v>
      </c>
      <c r="U112" s="48">
        <v>625000</v>
      </c>
      <c r="V112" s="32">
        <f>-W112*3.34</f>
        <v>0</v>
      </c>
      <c r="W112" s="32"/>
      <c r="X112" s="32"/>
      <c r="Y112" s="200">
        <f>U112+V112+W112/$C$16+X112/$F$16</f>
        <v>625000</v>
      </c>
      <c r="Z112" s="200">
        <f t="shared" ref="Z112:Z116" si="320">Y112*$C$16</f>
        <v>187500</v>
      </c>
      <c r="AA112" s="48">
        <v>765000</v>
      </c>
      <c r="AB112" s="394">
        <f>-AC112*3.35</f>
        <v>-670000</v>
      </c>
      <c r="AC112" s="394">
        <v>200000</v>
      </c>
      <c r="AD112" s="394"/>
      <c r="AE112" s="200">
        <f>AA112+AB112+AC112/$C$16+AD112/$F$16</f>
        <v>761666.66666666674</v>
      </c>
      <c r="AF112" s="200">
        <f t="shared" ref="AF112:AF116" si="321">AE112*$C$16</f>
        <v>228500.00000000003</v>
      </c>
      <c r="AG112" s="48">
        <v>350000</v>
      </c>
      <c r="AH112" s="32"/>
      <c r="AI112" s="32"/>
      <c r="AJ112" s="32">
        <f>+-AI112/0.9</f>
        <v>0</v>
      </c>
      <c r="AK112" s="200">
        <f>AG112+AH112+AI112/$C$16+AJ112/$F$16</f>
        <v>350000</v>
      </c>
      <c r="AL112" s="200">
        <f t="shared" ref="AL112:AL116" si="322">AK112*$C$16</f>
        <v>105000</v>
      </c>
      <c r="AM112" s="48">
        <v>665000</v>
      </c>
      <c r="AN112" s="394">
        <f>+-AO112*3.34</f>
        <v>-1169000</v>
      </c>
      <c r="AO112" s="394">
        <v>350000</v>
      </c>
      <c r="AP112" s="32"/>
      <c r="AQ112" s="200">
        <f>AM112+AN112+AO112/$C$16+AP112/$F$16</f>
        <v>662666.66666666674</v>
      </c>
      <c r="AR112" s="200">
        <f t="shared" ref="AR112:AR116" si="323">AQ112*$C$16</f>
        <v>198800.00000000003</v>
      </c>
      <c r="AS112" s="48">
        <v>470000</v>
      </c>
      <c r="AT112" s="394">
        <f>+-AU112*3.4</f>
        <v>0</v>
      </c>
      <c r="AU112" s="394"/>
      <c r="AV112" s="32"/>
      <c r="AW112" s="200">
        <f>AS112+AT112+AU112/$C$16+AV112/$F$16</f>
        <v>470000</v>
      </c>
      <c r="AX112" s="200">
        <f t="shared" ref="AX112:AX116" si="324">AW112*$C$16</f>
        <v>141000</v>
      </c>
      <c r="AZ112" s="200">
        <f t="shared" si="173"/>
        <v>5389000.0000000009</v>
      </c>
    </row>
    <row r="113" spans="1:52" outlineLevel="1" x14ac:dyDescent="0.2">
      <c r="A113" s="655"/>
      <c r="B113" s="184" t="s">
        <v>56</v>
      </c>
      <c r="C113" s="48"/>
      <c r="D113" s="32"/>
      <c r="E113" s="32"/>
      <c r="F113" s="32"/>
      <c r="G113" s="200">
        <f t="shared" ref="G113:G118" si="325">C113+D113+E113/$C$16+F113/$F$16</f>
        <v>0</v>
      </c>
      <c r="H113" s="200">
        <f t="shared" ref="H113:H116" si="326">G113*$C$16</f>
        <v>0</v>
      </c>
      <c r="I113" s="48"/>
      <c r="J113" s="32"/>
      <c r="K113" s="32"/>
      <c r="L113" s="32"/>
      <c r="M113" s="200">
        <f t="shared" ref="M113:M118" si="327">I113+J113+K113/$C$16+L113/$F$16</f>
        <v>0</v>
      </c>
      <c r="N113" s="200">
        <f t="shared" si="318"/>
        <v>0</v>
      </c>
      <c r="O113" s="48"/>
      <c r="P113" s="32"/>
      <c r="Q113" s="32"/>
      <c r="R113" s="32"/>
      <c r="S113" s="200">
        <f t="shared" ref="S113:S118" si="328">O113+P113+Q113/$C$16+R113/$F$16</f>
        <v>0</v>
      </c>
      <c r="T113" s="200">
        <f t="shared" si="319"/>
        <v>0</v>
      </c>
      <c r="U113" s="48"/>
      <c r="V113" s="32"/>
      <c r="W113" s="32"/>
      <c r="X113" s="32"/>
      <c r="Y113" s="200">
        <f t="shared" ref="Y113:Y118" si="329">U113+V113+W113/$C$16+X113/$F$16</f>
        <v>0</v>
      </c>
      <c r="Z113" s="200">
        <f t="shared" si="320"/>
        <v>0</v>
      </c>
      <c r="AA113" s="48"/>
      <c r="AB113" s="32"/>
      <c r="AC113" s="32"/>
      <c r="AD113" s="32"/>
      <c r="AE113" s="200">
        <f t="shared" ref="AE113:AE118" si="330">AA113+AB113+AC113/$C$16+AD113/$F$16</f>
        <v>0</v>
      </c>
      <c r="AF113" s="200">
        <f t="shared" si="321"/>
        <v>0</v>
      </c>
      <c r="AG113" s="48"/>
      <c r="AH113" s="32"/>
      <c r="AI113" s="32"/>
      <c r="AJ113" s="32"/>
      <c r="AK113" s="200">
        <f t="shared" ref="AK113:AK118" si="331">AG113+AH113+AI113/$C$16+AJ113/$F$16</f>
        <v>0</v>
      </c>
      <c r="AL113" s="200">
        <f t="shared" si="322"/>
        <v>0</v>
      </c>
      <c r="AM113" s="48"/>
      <c r="AN113" s="394"/>
      <c r="AO113" s="394"/>
      <c r="AP113" s="32"/>
      <c r="AQ113" s="200">
        <f t="shared" ref="AQ113:AQ118" si="332">AM113+AN113+AO113/$C$16+AP113/$F$16</f>
        <v>0</v>
      </c>
      <c r="AR113" s="200">
        <f t="shared" si="323"/>
        <v>0</v>
      </c>
      <c r="AS113" s="48"/>
      <c r="AT113" s="32"/>
      <c r="AU113" s="32"/>
      <c r="AV113" s="32"/>
      <c r="AW113" s="200">
        <f t="shared" ref="AW113:AW118" si="333">AS113+AT113+AU113/$C$16+AV113/$F$16</f>
        <v>0</v>
      </c>
      <c r="AX113" s="200">
        <f t="shared" si="324"/>
        <v>0</v>
      </c>
      <c r="AZ113" s="200">
        <f t="shared" si="173"/>
        <v>0</v>
      </c>
    </row>
    <row r="114" spans="1:52" outlineLevel="1" x14ac:dyDescent="0.2">
      <c r="A114" s="655"/>
      <c r="B114" s="184" t="s">
        <v>55</v>
      </c>
      <c r="C114" s="48"/>
      <c r="D114" s="32"/>
      <c r="E114" s="32"/>
      <c r="F114" s="32"/>
      <c r="G114" s="200">
        <f t="shared" si="325"/>
        <v>0</v>
      </c>
      <c r="H114" s="200">
        <f t="shared" si="326"/>
        <v>0</v>
      </c>
      <c r="I114" s="48"/>
      <c r="J114" s="32"/>
      <c r="K114" s="32"/>
      <c r="L114" s="32"/>
      <c r="M114" s="200">
        <f t="shared" si="327"/>
        <v>0</v>
      </c>
      <c r="N114" s="200">
        <f t="shared" si="318"/>
        <v>0</v>
      </c>
      <c r="O114" s="48"/>
      <c r="P114" s="32"/>
      <c r="Q114" s="32"/>
      <c r="R114" s="32"/>
      <c r="S114" s="200">
        <f t="shared" si="328"/>
        <v>0</v>
      </c>
      <c r="T114" s="200">
        <f t="shared" si="319"/>
        <v>0</v>
      </c>
      <c r="U114" s="48"/>
      <c r="V114" s="32"/>
      <c r="W114" s="32"/>
      <c r="X114" s="32"/>
      <c r="Y114" s="200">
        <f t="shared" si="329"/>
        <v>0</v>
      </c>
      <c r="Z114" s="200">
        <f t="shared" si="320"/>
        <v>0</v>
      </c>
      <c r="AA114" s="48"/>
      <c r="AB114" s="32"/>
      <c r="AC114" s="32"/>
      <c r="AD114" s="32"/>
      <c r="AE114" s="200">
        <f t="shared" si="330"/>
        <v>0</v>
      </c>
      <c r="AF114" s="200">
        <f t="shared" si="321"/>
        <v>0</v>
      </c>
      <c r="AG114" s="48"/>
      <c r="AH114" s="32"/>
      <c r="AI114" s="32"/>
      <c r="AJ114" s="32"/>
      <c r="AK114" s="200">
        <f t="shared" si="331"/>
        <v>0</v>
      </c>
      <c r="AL114" s="200">
        <f t="shared" si="322"/>
        <v>0</v>
      </c>
      <c r="AM114" s="48"/>
      <c r="AN114" s="32"/>
      <c r="AO114" s="32"/>
      <c r="AP114" s="32"/>
      <c r="AQ114" s="200">
        <f t="shared" si="332"/>
        <v>0</v>
      </c>
      <c r="AR114" s="200">
        <f t="shared" si="323"/>
        <v>0</v>
      </c>
      <c r="AS114" s="48"/>
      <c r="AT114" s="32"/>
      <c r="AU114" s="32"/>
      <c r="AV114" s="32"/>
      <c r="AW114" s="200">
        <f t="shared" si="333"/>
        <v>0</v>
      </c>
      <c r="AX114" s="200">
        <f t="shared" si="324"/>
        <v>0</v>
      </c>
      <c r="AZ114" s="200">
        <f t="shared" si="173"/>
        <v>0</v>
      </c>
    </row>
    <row r="115" spans="1:52" outlineLevel="1" x14ac:dyDescent="0.2">
      <c r="A115" s="655"/>
      <c r="B115" s="184" t="s">
        <v>60</v>
      </c>
      <c r="C115" s="48"/>
      <c r="D115" s="32"/>
      <c r="E115" s="32"/>
      <c r="F115" s="32"/>
      <c r="G115" s="200">
        <f t="shared" si="325"/>
        <v>0</v>
      </c>
      <c r="H115" s="200">
        <f t="shared" si="326"/>
        <v>0</v>
      </c>
      <c r="I115" s="48"/>
      <c r="J115" s="32"/>
      <c r="K115" s="32"/>
      <c r="L115" s="32"/>
      <c r="M115" s="200">
        <f t="shared" si="327"/>
        <v>0</v>
      </c>
      <c r="N115" s="200">
        <f t="shared" si="318"/>
        <v>0</v>
      </c>
      <c r="O115" s="48"/>
      <c r="P115" s="32"/>
      <c r="Q115" s="32"/>
      <c r="R115" s="32"/>
      <c r="S115" s="200">
        <f t="shared" si="328"/>
        <v>0</v>
      </c>
      <c r="T115" s="200">
        <f t="shared" si="319"/>
        <v>0</v>
      </c>
      <c r="U115" s="48"/>
      <c r="V115" s="32"/>
      <c r="W115" s="32"/>
      <c r="X115" s="32"/>
      <c r="Y115" s="200">
        <f t="shared" si="329"/>
        <v>0</v>
      </c>
      <c r="Z115" s="200">
        <f t="shared" si="320"/>
        <v>0</v>
      </c>
      <c r="AA115" s="48"/>
      <c r="AB115" s="32"/>
      <c r="AC115" s="32"/>
      <c r="AD115" s="32"/>
      <c r="AE115" s="200">
        <f t="shared" si="330"/>
        <v>0</v>
      </c>
      <c r="AF115" s="200">
        <f t="shared" si="321"/>
        <v>0</v>
      </c>
      <c r="AG115" s="48"/>
      <c r="AH115" s="32"/>
      <c r="AI115" s="32"/>
      <c r="AJ115" s="32"/>
      <c r="AK115" s="200">
        <f t="shared" si="331"/>
        <v>0</v>
      </c>
      <c r="AL115" s="200">
        <f t="shared" si="322"/>
        <v>0</v>
      </c>
      <c r="AM115" s="48"/>
      <c r="AN115" s="32"/>
      <c r="AO115" s="32"/>
      <c r="AP115" s="32"/>
      <c r="AQ115" s="200">
        <f t="shared" si="332"/>
        <v>0</v>
      </c>
      <c r="AR115" s="200">
        <f t="shared" si="323"/>
        <v>0</v>
      </c>
      <c r="AS115" s="48"/>
      <c r="AT115" s="32"/>
      <c r="AU115" s="32"/>
      <c r="AV115" s="32"/>
      <c r="AW115" s="200">
        <f t="shared" si="333"/>
        <v>0</v>
      </c>
      <c r="AX115" s="200">
        <f t="shared" si="324"/>
        <v>0</v>
      </c>
      <c r="AZ115" s="200">
        <f t="shared" si="173"/>
        <v>0</v>
      </c>
    </row>
    <row r="116" spans="1:52" outlineLevel="1" x14ac:dyDescent="0.2">
      <c r="A116" s="655"/>
      <c r="B116" s="184" t="s">
        <v>61</v>
      </c>
      <c r="C116" s="48"/>
      <c r="D116" s="32"/>
      <c r="E116" s="32"/>
      <c r="F116" s="32"/>
      <c r="G116" s="200">
        <f t="shared" si="325"/>
        <v>0</v>
      </c>
      <c r="H116" s="200">
        <f t="shared" si="326"/>
        <v>0</v>
      </c>
      <c r="I116" s="48"/>
      <c r="J116" s="32"/>
      <c r="K116" s="32"/>
      <c r="L116" s="32"/>
      <c r="M116" s="200">
        <f t="shared" si="327"/>
        <v>0</v>
      </c>
      <c r="N116" s="200">
        <f t="shared" si="318"/>
        <v>0</v>
      </c>
      <c r="O116" s="48"/>
      <c r="P116" s="32"/>
      <c r="Q116" s="32"/>
      <c r="R116" s="32"/>
      <c r="S116" s="200">
        <f t="shared" si="328"/>
        <v>0</v>
      </c>
      <c r="T116" s="200">
        <f t="shared" si="319"/>
        <v>0</v>
      </c>
      <c r="U116" s="48"/>
      <c r="V116" s="32"/>
      <c r="W116" s="32"/>
      <c r="X116" s="32"/>
      <c r="Y116" s="200">
        <f t="shared" si="329"/>
        <v>0</v>
      </c>
      <c r="Z116" s="200">
        <f t="shared" si="320"/>
        <v>0</v>
      </c>
      <c r="AA116" s="48"/>
      <c r="AB116" s="32"/>
      <c r="AC116" s="32"/>
      <c r="AD116" s="32"/>
      <c r="AE116" s="200">
        <f t="shared" si="330"/>
        <v>0</v>
      </c>
      <c r="AF116" s="200">
        <f t="shared" si="321"/>
        <v>0</v>
      </c>
      <c r="AG116" s="48"/>
      <c r="AH116" s="32"/>
      <c r="AI116" s="32"/>
      <c r="AJ116" s="32"/>
      <c r="AK116" s="200">
        <f t="shared" si="331"/>
        <v>0</v>
      </c>
      <c r="AL116" s="200">
        <f t="shared" si="322"/>
        <v>0</v>
      </c>
      <c r="AM116" s="48"/>
      <c r="AN116" s="32"/>
      <c r="AO116" s="32"/>
      <c r="AP116" s="32"/>
      <c r="AQ116" s="200">
        <f t="shared" si="332"/>
        <v>0</v>
      </c>
      <c r="AR116" s="200">
        <f t="shared" si="323"/>
        <v>0</v>
      </c>
      <c r="AS116" s="48"/>
      <c r="AT116" s="32"/>
      <c r="AU116" s="32"/>
      <c r="AV116" s="32"/>
      <c r="AW116" s="200">
        <f t="shared" si="333"/>
        <v>0</v>
      </c>
      <c r="AX116" s="200">
        <f t="shared" si="324"/>
        <v>0</v>
      </c>
      <c r="AZ116" s="200">
        <f t="shared" si="173"/>
        <v>0</v>
      </c>
    </row>
    <row r="117" spans="1:52" outlineLevel="1" x14ac:dyDescent="0.2">
      <c r="A117" s="655"/>
      <c r="B117" s="33" t="s">
        <v>878</v>
      </c>
      <c r="C117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payments'!$D:$D,Vertical_Cash_flow!$B117,'Other Operational payments'!$C:$C,Vertical_Cash_flow!$B$111)</f>
        <v>0</v>
      </c>
      <c r="D117" s="32"/>
      <c r="E117" s="32"/>
      <c r="F117" s="32"/>
      <c r="G117" s="200">
        <f t="shared" si="325"/>
        <v>0</v>
      </c>
      <c r="H117" s="200">
        <f t="shared" ref="H117:H118" si="334">G117*$C$16</f>
        <v>0</v>
      </c>
      <c r="I117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payments'!$D:$D,Vertical_Cash_flow!$B117,'Other Operational payments'!$C:$C,Vertical_Cash_flow!$B$111)</f>
        <v>0</v>
      </c>
      <c r="J117" s="32"/>
      <c r="K117" s="32"/>
      <c r="L117" s="32"/>
      <c r="M117" s="200">
        <f t="shared" si="327"/>
        <v>0</v>
      </c>
      <c r="N117" s="200">
        <f t="shared" ref="N117:N118" si="335">M117*$C$16</f>
        <v>0</v>
      </c>
      <c r="O117" s="48">
        <f>SUMIFS('Other Operational payments'!$G:$G,'Other Operational payments'!$O:$O,Vertical_Cash_flow!O$11,'Other Operational payments'!$F:$F,Vertical_Cash_flow!O$15,'Other Operational payments'!$A:$A,Vertical_Cash_flow!$O$14,'Other Operational payments'!$D:$D,Vertical_Cash_flow!$B117,'Other Operational payments'!$C:$C,Vertical_Cash_flow!$B$111)</f>
        <v>0</v>
      </c>
      <c r="P117" s="32"/>
      <c r="Q117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payments'!$D:$D,Vertical_Cash_flow!$B117,'Other Operational payments'!$C:$C,Vertical_Cash_flow!$B$111)</f>
        <v>0</v>
      </c>
      <c r="R117" s="32"/>
      <c r="S117" s="200">
        <f t="shared" si="328"/>
        <v>0</v>
      </c>
      <c r="T117" s="200">
        <f t="shared" ref="T117:T118" si="336">S117*$C$16</f>
        <v>0</v>
      </c>
      <c r="U117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payments'!$D:$D,Vertical_Cash_flow!$B117,'Other Operational payments'!$C:$C,Vertical_Cash_flow!$B$111)</f>
        <v>0</v>
      </c>
      <c r="V117" s="32"/>
      <c r="W117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payments'!$D:$D,Vertical_Cash_flow!$B117,'Other Operational payments'!$C:$C,Vertical_Cash_flow!$B$111)</f>
        <v>0</v>
      </c>
      <c r="X117" s="32"/>
      <c r="Y117" s="200">
        <f t="shared" si="329"/>
        <v>0</v>
      </c>
      <c r="Z117" s="200">
        <f t="shared" ref="Z117:Z118" si="337">Y117*$C$16</f>
        <v>0</v>
      </c>
      <c r="AA117" s="48">
        <f>SUMIFS('Other Operational payments'!$G:$G,'Other Operational payments'!$O:$O,Vertical_Cash_flow!AA$11,'Other Operational payments'!$F:$F,Vertical_Cash_flow!AA$15,'Other Operational payments'!$A:$A,Vertical_Cash_flow!$C$14,'Other Operational payments'!$D:$D,Vertical_Cash_flow!$B117,'Other Operational payments'!$C:$C,Vertical_Cash_flow!$B$111)</f>
        <v>0</v>
      </c>
      <c r="AB117" s="32"/>
      <c r="AC117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payments'!$D:$D,Vertical_Cash_flow!$B117,'Other Operational payments'!$C:$C,Vertical_Cash_flow!$B$111)</f>
        <v>0</v>
      </c>
      <c r="AD117" s="32"/>
      <c r="AE117" s="200">
        <f t="shared" si="330"/>
        <v>0</v>
      </c>
      <c r="AF117" s="200">
        <f t="shared" ref="AF117:AF118" si="338">AE117*$C$16</f>
        <v>0</v>
      </c>
      <c r="AG117" s="48">
        <f>SUMIFS('Other Operational payments'!$G:$G,'Other Operational payments'!$O:$O,Vertical_Cash_flow!AG$11,'Other Operational payments'!$F:$F,Vertical_Cash_flow!AG$15,'Other Operational payments'!$A:$A,Vertical_Cash_flow!$C$14,'Other Operational payments'!$D:$D,Vertical_Cash_flow!$B117,'Other Operational payments'!$C:$C,Vertical_Cash_flow!$B$111)</f>
        <v>0</v>
      </c>
      <c r="AH117" s="32"/>
      <c r="AI117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payments'!$D:$D,Vertical_Cash_flow!$B117,'Other Operational payments'!$C:$C,Vertical_Cash_flow!$B$111)</f>
        <v>0</v>
      </c>
      <c r="AJ117" s="32"/>
      <c r="AK117" s="200">
        <f t="shared" si="331"/>
        <v>0</v>
      </c>
      <c r="AL117" s="200">
        <f t="shared" ref="AL117:AL118" si="339">AK117*$C$16</f>
        <v>0</v>
      </c>
      <c r="AM117" s="48">
        <f>SUMIFS('Other Operational payments'!$G:$G,'Other Operational payments'!$O:$O,Vertical_Cash_flow!AM$11,'Other Operational payments'!$F:$F,Vertical_Cash_flow!AM$15,'Other Operational payments'!$A:$A,Vertical_Cash_flow!$C$14,'Other Operational payments'!$D:$D,Vertical_Cash_flow!$B117,'Other Operational payments'!$C:$C,Vertical_Cash_flow!$B$111)</f>
        <v>0</v>
      </c>
      <c r="AN117" s="32"/>
      <c r="AO117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payments'!$D:$D,Vertical_Cash_flow!$B117,'Other Operational payments'!$C:$C,Vertical_Cash_flow!$B$111)</f>
        <v>0</v>
      </c>
      <c r="AP117" s="32"/>
      <c r="AQ117" s="200">
        <f t="shared" si="332"/>
        <v>0</v>
      </c>
      <c r="AR117" s="200">
        <f t="shared" ref="AR117:AR118" si="340">AQ117*$C$16</f>
        <v>0</v>
      </c>
      <c r="AS117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payments'!$D:$D,Vertical_Cash_flow!$B117,'Other Operational payments'!$C:$C,Vertical_Cash_flow!$B$111)</f>
        <v>0</v>
      </c>
      <c r="AT117" s="32"/>
      <c r="AU117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payments'!$D:$D,Vertical_Cash_flow!$B117,'Other Operational payments'!$C:$C,Vertical_Cash_flow!$B$111)</f>
        <v>0</v>
      </c>
      <c r="AV117" s="32"/>
      <c r="AW117" s="200">
        <f t="shared" si="333"/>
        <v>0</v>
      </c>
      <c r="AX117" s="200">
        <f t="shared" ref="AX117:AX118" si="341">AW117*$C$16</f>
        <v>0</v>
      </c>
      <c r="AZ117" s="200">
        <f t="shared" si="173"/>
        <v>0</v>
      </c>
    </row>
    <row r="118" spans="1:52" outlineLevel="1" x14ac:dyDescent="0.2">
      <c r="A118" s="655"/>
      <c r="B118" s="186" t="s">
        <v>57</v>
      </c>
      <c r="C118" s="48">
        <f>SUMIFS('Other Operational payments'!$G:$G,'Other Operational payments'!$O:$O,Vertical_Cash_flow!C$11,'Other Operational payments'!$F:$F,Vertical_Cash_flow!C$15,'Other Operational payments'!$A:$A,Vertical_Cash_flow!$C$14,'Other Operational payments'!$D:$D,Vertical_Cash_flow!$B118,'Other Operational payments'!$C:$C,Vertical_Cash_flow!$B$111)</f>
        <v>0</v>
      </c>
      <c r="D118" s="32"/>
      <c r="E118" s="32">
        <f>SUMIFS('Other Operational payments'!$G:$G,'Other Operational payments'!$O:$O,Vertical_Cash_flow!C$11,'Other Operational payments'!$F:$F,Vertical_Cash_flow!E$15,'Other Operational payments'!$A:$A,Vertical_Cash_flow!$E$14,'Other Operational payments'!$D:$D,Vertical_Cash_flow!$B118,'Other Operational payments'!$C:$C,Vertical_Cash_flow!$B$111)</f>
        <v>0</v>
      </c>
      <c r="F118" s="32"/>
      <c r="G118" s="200">
        <f t="shared" si="325"/>
        <v>0</v>
      </c>
      <c r="H118" s="200">
        <f t="shared" si="334"/>
        <v>0</v>
      </c>
      <c r="I118" s="48">
        <f>SUMIFS('Other Operational payments'!$G:$G,'Other Operational payments'!$O:$O,Vertical_Cash_flow!I$11,'Other Operational payments'!$F:$F,Vertical_Cash_flow!I$15,'Other Operational payments'!$A:$A,Vertical_Cash_flow!$C$14,'Other Operational payments'!$D:$D,Vertical_Cash_flow!$B118,'Other Operational payments'!$C:$C,Vertical_Cash_flow!$B$111)</f>
        <v>0</v>
      </c>
      <c r="J118" s="32"/>
      <c r="K118" s="32">
        <f>SUMIFS('Other Operational payments'!$G:$G,'Other Operational payments'!$O:$O,Vertical_Cash_flow!I$11,'Other Operational payments'!$F:$F,Vertical_Cash_flow!K$15,'Other Operational payments'!$A:$A,Vertical_Cash_flow!$E$14,'Other Operational payments'!$D:$D,Vertical_Cash_flow!$B118,'Other Operational payments'!$C:$C,Vertical_Cash_flow!$B$111)</f>
        <v>0</v>
      </c>
      <c r="L118" s="32"/>
      <c r="M118" s="200">
        <f t="shared" si="327"/>
        <v>0</v>
      </c>
      <c r="N118" s="200">
        <f t="shared" si="335"/>
        <v>0</v>
      </c>
      <c r="O118" s="48">
        <f>SUMIFS('Other Operational payments'!$G:$G,'Other Operational payments'!$O:$O,Vertical_Cash_flow!O$11,'Other Operational payments'!$F:$F,Vertical_Cash_flow!O$15,'Other Operational payments'!$A:$A,Vertical_Cash_flow!$O$14,'Other Operational payments'!$D:$D,Vertical_Cash_flow!$B118,'Other Operational payments'!$C:$C,Vertical_Cash_flow!$B$111)</f>
        <v>0</v>
      </c>
      <c r="P118" s="32"/>
      <c r="Q118" s="32">
        <f>SUMIFS('Other Operational payments'!$G:$G,'Other Operational payments'!$O:$O,Vertical_Cash_flow!O$11,'Other Operational payments'!$F:$F,Vertical_Cash_flow!Q$15,'Other Operational payments'!$A:$A,Vertical_Cash_flow!$E$14,'Other Operational payments'!$D:$D,Vertical_Cash_flow!$B118,'Other Operational payments'!$C:$C,Vertical_Cash_flow!$B$111)</f>
        <v>0</v>
      </c>
      <c r="R118" s="32"/>
      <c r="S118" s="200">
        <f t="shared" si="328"/>
        <v>0</v>
      </c>
      <c r="T118" s="200">
        <f t="shared" si="336"/>
        <v>0</v>
      </c>
      <c r="U118" s="48">
        <f>SUMIFS('Other Operational payments'!$G:$G,'Other Operational payments'!$O:$O,Vertical_Cash_flow!U$11,'Other Operational payments'!$F:$F,Vertical_Cash_flow!U$15,'Other Operational payments'!$A:$A,Vertical_Cash_flow!$C$14,'Other Operational payments'!$D:$D,Vertical_Cash_flow!$B118,'Other Operational payments'!$C:$C,Vertical_Cash_flow!$B$111)</f>
        <v>0</v>
      </c>
      <c r="V118" s="32"/>
      <c r="W118" s="32">
        <f>SUMIFS('Other Operational payments'!$G:$G,'Other Operational payments'!$O:$O,Vertical_Cash_flow!U$11,'Other Operational payments'!$F:$F,Vertical_Cash_flow!W$15,'Other Operational payments'!$A:$A,Vertical_Cash_flow!$E$14,'Other Operational payments'!$D:$D,Vertical_Cash_flow!$B118,'Other Operational payments'!$C:$C,Vertical_Cash_flow!$B$111)</f>
        <v>0</v>
      </c>
      <c r="X118" s="32"/>
      <c r="Y118" s="200">
        <f t="shared" si="329"/>
        <v>0</v>
      </c>
      <c r="Z118" s="200">
        <f t="shared" si="337"/>
        <v>0</v>
      </c>
      <c r="AA118" s="48">
        <f>SUMIFS('Other Operational payments'!$G:$G,'Other Operational payments'!$O:$O,Vertical_Cash_flow!Y$11,'Other Operational payments'!$F:$F,Vertical_Cash_flow!AA$15,'Other Operational payments'!$A:$A,Vertical_Cash_flow!$E$14,'Other Operational payments'!$D:$D,Vertical_Cash_flow!$B118,'Other Operational payments'!$C:$C,Vertical_Cash_flow!$B$111)</f>
        <v>0</v>
      </c>
      <c r="AB118" s="32"/>
      <c r="AC118" s="32">
        <f>SUMIFS('Other Operational payments'!$G:$G,'Other Operational payments'!$O:$O,Vertical_Cash_flow!AA$11,'Other Operational payments'!$F:$F,Vertical_Cash_flow!AC$15,'Other Operational payments'!$A:$A,Vertical_Cash_flow!$E$14,'Other Operational payments'!$D:$D,Vertical_Cash_flow!$B118,'Other Operational payments'!$C:$C,Vertical_Cash_flow!$B$111)</f>
        <v>0</v>
      </c>
      <c r="AD118" s="32"/>
      <c r="AE118" s="200">
        <f t="shared" si="330"/>
        <v>0</v>
      </c>
      <c r="AF118" s="200">
        <f t="shared" si="338"/>
        <v>0</v>
      </c>
      <c r="AG118" s="48">
        <f>SUMIFS('Other Operational payments'!$G:$G,'Other Operational payments'!$O:$O,Vertical_Cash_flow!AE$11,'Other Operational payments'!$F:$F,Vertical_Cash_flow!AG$15,'Other Operational payments'!$A:$A,Vertical_Cash_flow!$E$14,'Other Operational payments'!$D:$D,Vertical_Cash_flow!$B118,'Other Operational payments'!$C:$C,Vertical_Cash_flow!$B$111)</f>
        <v>0</v>
      </c>
      <c r="AH118" s="32"/>
      <c r="AI118" s="32">
        <f>SUMIFS('Other Operational payments'!$G:$G,'Other Operational payments'!$O:$O,Vertical_Cash_flow!AG$11,'Other Operational payments'!$F:$F,Vertical_Cash_flow!AI$15,'Other Operational payments'!$A:$A,Vertical_Cash_flow!$E$14,'Other Operational payments'!$D:$D,Vertical_Cash_flow!$B118,'Other Operational payments'!$C:$C,Vertical_Cash_flow!$B$111)</f>
        <v>0</v>
      </c>
      <c r="AJ118" s="32"/>
      <c r="AK118" s="200">
        <f t="shared" si="331"/>
        <v>0</v>
      </c>
      <c r="AL118" s="200">
        <f t="shared" si="339"/>
        <v>0</v>
      </c>
      <c r="AM118" s="48">
        <f>SUMIFS('Other Operational payments'!$G:$G,'Other Operational payments'!$O:$O,Vertical_Cash_flow!AK$11,'Other Operational payments'!$F:$F,Vertical_Cash_flow!AM$15,'Other Operational payments'!$A:$A,Vertical_Cash_flow!$E$14,'Other Operational payments'!$D:$D,Vertical_Cash_flow!$B118,'Other Operational payments'!$C:$C,Vertical_Cash_flow!$B$111)</f>
        <v>0</v>
      </c>
      <c r="AN118" s="32"/>
      <c r="AO118" s="32">
        <f>SUMIFS('Other Operational payments'!$G:$G,'Other Operational payments'!$O:$O,Vertical_Cash_flow!AM$11,'Other Operational payments'!$F:$F,Vertical_Cash_flow!AO$15,'Other Operational payments'!$A:$A,Vertical_Cash_flow!$E$14,'Other Operational payments'!$D:$D,Vertical_Cash_flow!$B118,'Other Operational payments'!$C:$C,Vertical_Cash_flow!$B$111)</f>
        <v>0</v>
      </c>
      <c r="AP118" s="32"/>
      <c r="AQ118" s="200">
        <f t="shared" si="332"/>
        <v>0</v>
      </c>
      <c r="AR118" s="200">
        <f t="shared" si="340"/>
        <v>0</v>
      </c>
      <c r="AS118" s="48">
        <f>SUMIFS('Other Operational payments'!$G:$G,'Other Operational payments'!$O:$O,Vertical_Cash_flow!AS$11,'Other Operational payments'!$F:$F,Vertical_Cash_flow!AS$15,'Other Operational payments'!$A:$A,Vertical_Cash_flow!$C$14,'Other Operational payments'!$D:$D,Vertical_Cash_flow!$B118,'Other Operational payments'!$C:$C,Vertical_Cash_flow!$B$111)</f>
        <v>0</v>
      </c>
      <c r="AT118" s="32"/>
      <c r="AU118" s="32">
        <f>SUMIFS('Other Operational payments'!$G:$G,'Other Operational payments'!$O:$O,Vertical_Cash_flow!AS$11,'Other Operational payments'!$F:$F,Vertical_Cash_flow!AU$15,'Other Operational payments'!$A:$A,Vertical_Cash_flow!$E$14,'Other Operational payments'!$D:$D,Vertical_Cash_flow!$B118,'Other Operational payments'!$C:$C,Vertical_Cash_flow!$B$111)</f>
        <v>0</v>
      </c>
      <c r="AV118" s="32"/>
      <c r="AW118" s="200">
        <f t="shared" si="333"/>
        <v>0</v>
      </c>
      <c r="AX118" s="200">
        <f t="shared" si="341"/>
        <v>0</v>
      </c>
      <c r="AZ118" s="200">
        <f t="shared" si="173"/>
        <v>0</v>
      </c>
    </row>
    <row r="119" spans="1:52" outlineLevel="1" x14ac:dyDescent="0.2">
      <c r="A119" s="655"/>
      <c r="B119" s="186"/>
      <c r="C119" s="45"/>
      <c r="D119" s="25"/>
      <c r="E119" s="25"/>
      <c r="F119" s="25"/>
      <c r="G119" s="45"/>
      <c r="H119" s="45"/>
      <c r="I119" s="45"/>
      <c r="J119" s="25"/>
      <c r="K119" s="25"/>
      <c r="L119" s="25"/>
      <c r="M119" s="45"/>
      <c r="N119" s="45"/>
      <c r="O119" s="45"/>
      <c r="P119" s="25"/>
      <c r="Q119" s="25"/>
      <c r="R119" s="25"/>
      <c r="S119" s="45"/>
      <c r="T119" s="45"/>
      <c r="U119" s="45"/>
      <c r="V119" s="25"/>
      <c r="W119" s="25"/>
      <c r="X119" s="25"/>
      <c r="Y119" s="45"/>
      <c r="Z119" s="45"/>
      <c r="AA119" s="45"/>
      <c r="AB119" s="25"/>
      <c r="AC119" s="25"/>
      <c r="AD119" s="25"/>
      <c r="AE119" s="45"/>
      <c r="AF119" s="45"/>
      <c r="AG119" s="45"/>
      <c r="AH119" s="25"/>
      <c r="AI119" s="25"/>
      <c r="AJ119" s="25"/>
      <c r="AK119" s="45"/>
      <c r="AL119" s="45"/>
      <c r="AM119" s="45"/>
      <c r="AN119" s="25"/>
      <c r="AO119" s="25"/>
      <c r="AP119" s="25"/>
      <c r="AQ119" s="45"/>
      <c r="AR119" s="45"/>
      <c r="AS119" s="45"/>
      <c r="AT119" s="25"/>
      <c r="AU119" s="25"/>
      <c r="AV119" s="25"/>
      <c r="AW119" s="45"/>
      <c r="AX119" s="45"/>
      <c r="AZ119" s="45">
        <f t="shared" si="173"/>
        <v>0</v>
      </c>
    </row>
    <row r="120" spans="1:52" s="3" customFormat="1" x14ac:dyDescent="0.2">
      <c r="A120" s="656"/>
      <c r="B120" s="182" t="s">
        <v>264</v>
      </c>
      <c r="C120" s="57">
        <f>SUMIFS('Other Operational payments'!$G:$G,'Other Operational payments'!$O:$O,Vertical_Cash_flow!C$11,'Other Operational payments'!$F:$F,Vertical_Cash_flow!C$15,'Other Operational payments'!$A:$A,Vertical_Cash_flow!$C$14,'Other Operational payments'!$C:$C,Vertical_Cash_flow!$B120)</f>
        <v>10000</v>
      </c>
      <c r="D120" s="306">
        <f>SUMIFS('Other Operational payments'!$G:$G,'Other Operational payments'!$O:$O,Vertical_Cash_flow!C$11,'Other Operational payments'!$F:$F,Vertical_Cash_flow!D$15,'Other Operational payments'!$A:$A,Vertical_Cash_flow!$D$14,'Other Operational payments'!$C:$C,Vertical_Cash_flow!$B120)</f>
        <v>284392.77500000008</v>
      </c>
      <c r="E120" s="56">
        <f>SUMIFS('Other Operational payments'!$G:$G,'Other Operational payments'!$O:$O,Vertical_Cash_flow!C$11,'Other Operational payments'!$F:$F,Vertical_Cash_flow!E$15,'Other Operational payments'!$A:$A,Vertical_Cash_flow!$E$14,'Other Operational payments'!$C:$C,Vertical_Cash_flow!$B120)</f>
        <v>0</v>
      </c>
      <c r="F120" s="307">
        <f>SUMIFS('Other Operational payments'!$G:$G,'Other Operational payments'!$O:$O,Vertical_Cash_flow!C$11,'Other Operational payments'!$F:$F,Vertical_Cash_flow!F$15,'Other Operational payments'!$A:$A,Vertical_Cash_flow!$F$14,'Other Operational payments'!$C:$C,Vertical_Cash_flow!$B120)</f>
        <v>0</v>
      </c>
      <c r="G120" s="201">
        <f>C120+D120+E120/$C$16+F120/$F$16</f>
        <v>294392.77500000008</v>
      </c>
      <c r="H120" s="201">
        <f>C120*C$16+D120*D$16+G120*G$16+E120+F120*F$16</f>
        <v>88317.832500000019</v>
      </c>
      <c r="I120" s="57">
        <f>SUMIFS('Other Operational payments'!$G:$G,'Other Operational payments'!$O:$O,Vertical_Cash_flow!I$11,'Other Operational payments'!$F:$F,Vertical_Cash_flow!I$15,'Other Operational payments'!$A:$A,Vertical_Cash_flow!$C$14,'Other Operational payments'!$C:$C,Vertical_Cash_flow!$B120)</f>
        <v>10000</v>
      </c>
      <c r="J120" s="306">
        <f>SUMIFS('Other Operational payments'!$G:$G,'Other Operational payments'!$O:$O,Vertical_Cash_flow!I$11,'Other Operational payments'!$F:$F,Vertical_Cash_flow!J$15,'Other Operational payments'!$A:$A,Vertical_Cash_flow!$D$14,'Other Operational payments'!$C:$C,Vertical_Cash_flow!$B120)</f>
        <v>112562.249</v>
      </c>
      <c r="K120" s="56">
        <f>SUMIFS('Other Operational payments'!$G:$G,'Other Operational payments'!$O:$O,Vertical_Cash_flow!I$11,'Other Operational payments'!$F:$F,Vertical_Cash_flow!K$15,'Other Operational payments'!$A:$A,Vertical_Cash_flow!$E$14,'Other Operational payments'!$C:$C,Vertical_Cash_flow!$B120)</f>
        <v>0</v>
      </c>
      <c r="L120" s="307">
        <f>SUMIFS('Other Operational payments'!$G:$G,'Other Operational payments'!$O:$O,Vertical_Cash_flow!I$11,'Other Operational payments'!$F:$F,Vertical_Cash_flow!L$15,'Other Operational payments'!$A:$A,Vertical_Cash_flow!$F$14,'Other Operational payments'!$C:$C,Vertical_Cash_flow!$B120)</f>
        <v>0</v>
      </c>
      <c r="M120" s="201">
        <f>I120+J120+K120/$C$16+L120/$F$16</f>
        <v>122562.249</v>
      </c>
      <c r="N120" s="201">
        <f>I120*I$16+J120*J$16+M120*M$16+K120+L120*L$16</f>
        <v>36768.674699999996</v>
      </c>
      <c r="O120" s="57">
        <f>SUMIFS('Other Operational payments'!$G:$G,'Other Operational payments'!$O:$O,Vertical_Cash_flow!O$11,'Other Operational payments'!$F:$F,Vertical_Cash_flow!O$15,'Other Operational payments'!$A:$A,Vertical_Cash_flow!$C$14,'Other Operational payments'!$C:$C,Vertical_Cash_flow!$B120)</f>
        <v>10000</v>
      </c>
      <c r="P120" s="306">
        <f>SUMIFS('Other Operational payments'!$G:$G,'Other Operational payments'!$O:$O,Vertical_Cash_flow!O$11,'Other Operational payments'!$F:$F,Vertical_Cash_flow!P$15,'Other Operational payments'!$A:$A,Vertical_Cash_flow!$D$14,'Other Operational payments'!$C:$C,Vertical_Cash_flow!$B120)</f>
        <v>200150.32499999995</v>
      </c>
      <c r="Q120" s="56">
        <f>SUMIFS('Other Operational payments'!$G:$G,'Other Operational payments'!$O:$O,Vertical_Cash_flow!O$11,'Other Operational payments'!$F:$F,Vertical_Cash_flow!Q$15,'Other Operational payments'!$A:$A,Vertical_Cash_flow!$E$14,'Other Operational payments'!$C:$C,Vertical_Cash_flow!$B120)</f>
        <v>0</v>
      </c>
      <c r="R120" s="307">
        <f>SUMIFS('Other Operational payments'!$G:$G,'Other Operational payments'!$O:$O,Vertical_Cash_flow!O$11,'Other Operational payments'!$F:$F,Vertical_Cash_flow!R$15,'Other Operational payments'!$A:$A,Vertical_Cash_flow!$F$14,'Other Operational payments'!$C:$C,Vertical_Cash_flow!$B120)</f>
        <v>0</v>
      </c>
      <c r="S120" s="201">
        <f>O120+P120+Q120/$C$16+R120/$F$16</f>
        <v>210150.32499999995</v>
      </c>
      <c r="T120" s="201">
        <f>O120*O$16+P120*P$16+S120*S$16+Q120+R120*R$16</f>
        <v>63045.097499999982</v>
      </c>
      <c r="U120" s="57">
        <f>SUMIFS('Other Operational payments'!$G:$G,'Other Operational payments'!$O:$O,Vertical_Cash_flow!U$11,'Other Operational payments'!$F:$F,Vertical_Cash_flow!U$15,'Other Operational payments'!$A:$A,Vertical_Cash_flow!$C$14,'Other Operational payments'!$C:$C,Vertical_Cash_flow!$B120)</f>
        <v>10000</v>
      </c>
      <c r="V120" s="306">
        <f>SUMIFS('Other Operational payments'!$G:$G,'Other Operational payments'!$O:$O,Vertical_Cash_flow!U$11,'Other Operational payments'!$F:$F,Vertical_Cash_flow!V$15,'Other Operational payments'!$A:$A,Vertical_Cash_flow!$D$14,'Other Operational payments'!$C:$C,Vertical_Cash_flow!$B120)</f>
        <v>157801.39700000006</v>
      </c>
      <c r="W120" s="56">
        <f>SUMIFS('Other Operational payments'!$G:$G,'Other Operational payments'!$O:$O,Vertical_Cash_flow!U$11,'Other Operational payments'!$F:$F,Vertical_Cash_flow!W$15,'Other Operational payments'!$A:$A,Vertical_Cash_flow!$E$14,'Other Operational payments'!$C:$C,Vertical_Cash_flow!$B120)</f>
        <v>0</v>
      </c>
      <c r="X120" s="307">
        <f>SUMIFS('Other Operational payments'!$G:$G,'Other Operational payments'!$O:$O,Vertical_Cash_flow!U$11,'Other Operational payments'!$F:$F,Vertical_Cash_flow!X$15,'Other Operational payments'!$A:$A,Vertical_Cash_flow!$F$14,'Other Operational payments'!$C:$C,Vertical_Cash_flow!$B120)</f>
        <v>0</v>
      </c>
      <c r="Y120" s="201">
        <f>U120+V120+W120/$C$16+X120/$F$16</f>
        <v>167801.39700000006</v>
      </c>
      <c r="Z120" s="201">
        <f>U120*U$16+V120*V$16+Y120*Y$16+W120+X120*X$16</f>
        <v>50340.419100000014</v>
      </c>
      <c r="AA120" s="57">
        <f>SUMIFS('Other Operational payments'!$G:$G,'Other Operational payments'!$O:$O,Vertical_Cash_flow!AA$11,'Other Operational payments'!$F:$F,Vertical_Cash_flow!AA$15,'Other Operational payments'!$A:$A,Vertical_Cash_flow!$C$14,'Other Operational payments'!$C:$C,Vertical_Cash_flow!$B120)</f>
        <v>10000</v>
      </c>
      <c r="AB120" s="306">
        <f>SUMIFS('Other Operational payments'!$G:$G,'Other Operational payments'!$O:$O,Vertical_Cash_flow!AA$11,'Other Operational payments'!$F:$F,Vertical_Cash_flow!AB$15,'Other Operational payments'!$A:$A,Vertical_Cash_flow!$D$14,'Other Operational payments'!$C:$C,Vertical_Cash_flow!$B120)</f>
        <v>152453.38399999996</v>
      </c>
      <c r="AC120" s="56">
        <f>SUMIFS('Other Operational payments'!$G:$G,'Other Operational payments'!$O:$O,Vertical_Cash_flow!AA$11,'Other Operational payments'!$F:$F,Vertical_Cash_flow!AC$15,'Other Operational payments'!$A:$A,Vertical_Cash_flow!$E$14,'Other Operational payments'!$C:$C,Vertical_Cash_flow!$B120)</f>
        <v>0</v>
      </c>
      <c r="AD120" s="307">
        <f>SUMIFS('Other Operational payments'!$G:$G,'Other Operational payments'!$O:$O,Vertical_Cash_flow!AA$11,'Other Operational payments'!$F:$F,Vertical_Cash_flow!AD$15,'Other Operational payments'!$A:$A,Vertical_Cash_flow!$F$14,'Other Operational payments'!$C:$C,Vertical_Cash_flow!$B120)</f>
        <v>0</v>
      </c>
      <c r="AE120" s="201">
        <f>AA120+AB120+AC120/$C$16+AD120/$F$16</f>
        <v>162453.38399999996</v>
      </c>
      <c r="AF120" s="201">
        <f>AA120*AA$16+AB120*AB$16+AE120*AE$16+AC120+AD120*AD$16</f>
        <v>48736.015199999987</v>
      </c>
      <c r="AG120" s="57">
        <f>SUMIFS('Other Operational payments'!$G:$G,'Other Operational payments'!$O:$O,Vertical_Cash_flow!AG$11,'Other Operational payments'!$F:$F,Vertical_Cash_flow!AG$15,'Other Operational payments'!$A:$A,Vertical_Cash_flow!$C$14,'Other Operational payments'!$C:$C,Vertical_Cash_flow!$B120)</f>
        <v>10000</v>
      </c>
      <c r="AH120" s="306">
        <f>SUMIFS('Other Operational payments'!$G:$G,'Other Operational payments'!$O:$O,Vertical_Cash_flow!AG$11,'Other Operational payments'!$F:$F,Vertical_Cash_flow!AH$15,'Other Operational payments'!$A:$A,Vertical_Cash_flow!$D$14,'Other Operational payments'!$C:$C,Vertical_Cash_flow!$B120)</f>
        <v>103726.78200000001</v>
      </c>
      <c r="AI120" s="56">
        <f>SUMIFS('Other Operational payments'!$G:$G,'Other Operational payments'!$O:$O,Vertical_Cash_flow!AG$11,'Other Operational payments'!$F:$F,Vertical_Cash_flow!AI$15,'Other Operational payments'!$A:$A,Vertical_Cash_flow!$E$14,'Other Operational payments'!$C:$C,Vertical_Cash_flow!$B120)</f>
        <v>0</v>
      </c>
      <c r="AJ120" s="307">
        <f>SUMIFS('Other Operational payments'!$G:$G,'Other Operational payments'!$O:$O,Vertical_Cash_flow!AG$11,'Other Operational payments'!$F:$F,Vertical_Cash_flow!AJ$15,'Other Operational payments'!$A:$A,Vertical_Cash_flow!$F$14,'Other Operational payments'!$C:$C,Vertical_Cash_flow!$B120)</f>
        <v>0</v>
      </c>
      <c r="AK120" s="201">
        <f>AG120+AH120+AI120/$C$16+AJ120/$F$16</f>
        <v>113726.78200000001</v>
      </c>
      <c r="AL120" s="201">
        <f>AG120*AG$16+AH120*AH$16+AK120*AK$16+AI120+AJ120*AJ$16</f>
        <v>34118.034599999999</v>
      </c>
      <c r="AM120" s="57">
        <f>SUMIFS('Other Operational payments'!$G:$G,'Other Operational payments'!$O:$O,Vertical_Cash_flow!AM$11,'Other Operational payments'!$F:$F,Vertical_Cash_flow!AM$15,'Other Operational payments'!$A:$A,Vertical_Cash_flow!$C$14,'Other Operational payments'!$C:$C,Vertical_Cash_flow!$B120)</f>
        <v>10000</v>
      </c>
      <c r="AN120" s="306">
        <f>SUMIFS('Other Operational payments'!$G:$G,'Other Operational payments'!$O:$O,Vertical_Cash_flow!AM$11,'Other Operational payments'!$F:$F,Vertical_Cash_flow!AN$15,'Other Operational payments'!$A:$A,Vertical_Cash_flow!$D$14,'Other Operational payments'!$C:$C,Vertical_Cash_flow!$B120)+120000</f>
        <v>243288.27399999998</v>
      </c>
      <c r="AO120" s="56">
        <f>SUMIFS('Other Operational payments'!$G:$G,'Other Operational payments'!$O:$O,Vertical_Cash_flow!AM$11,'Other Operational payments'!$F:$F,Vertical_Cash_flow!AO$15,'Other Operational payments'!$A:$A,Vertical_Cash_flow!$E$14,'Other Operational payments'!$C:$C,Vertical_Cash_flow!$B120)</f>
        <v>0</v>
      </c>
      <c r="AP120" s="307">
        <f>SUMIFS('Other Operational payments'!$G:$G,'Other Operational payments'!$O:$O,Vertical_Cash_flow!AM$11,'Other Operational payments'!$F:$F,Vertical_Cash_flow!AP$15,'Other Operational payments'!$A:$A,Vertical_Cash_flow!$F$14,'Other Operational payments'!$C:$C,Vertical_Cash_flow!$B120)</f>
        <v>0</v>
      </c>
      <c r="AQ120" s="201">
        <f>AM120+AN120+AO120/$C$16+AP120/$F$16</f>
        <v>253288.27399999998</v>
      </c>
      <c r="AR120" s="201">
        <f>AM120*AM$16+AN120*AN$16+AQ120*AQ$16+AO120+AP120*AP$16</f>
        <v>75986.482199999984</v>
      </c>
      <c r="AS120" s="57">
        <f>SUMIFS('Other Operational payments'!$G:$G,'Other Operational payments'!$O:$O,Vertical_Cash_flow!AS$11,'Other Operational payments'!$F:$F,Vertical_Cash_flow!AS$15,'Other Operational payments'!$A:$A,Vertical_Cash_flow!$C$14,'Other Operational payments'!$C:$C,Vertical_Cash_flow!$B120)</f>
        <v>10000</v>
      </c>
      <c r="AT120" s="306">
        <f>SUMIFS('Other Operational payments'!$G:$G,'Other Operational payments'!$O:$O,Vertical_Cash_flow!AS$11,'Other Operational payments'!$F:$F,Vertical_Cash_flow!AT$15,'Other Operational payments'!$A:$A,Vertical_Cash_flow!$D$14,'Other Operational payments'!$C:$C,Vertical_Cash_flow!$B120)</f>
        <v>104445.60100000001</v>
      </c>
      <c r="AU120" s="56">
        <f>SUMIFS('Other Operational payments'!$G:$G,'Other Operational payments'!$O:$O,Vertical_Cash_flow!AS$11,'Other Operational payments'!$F:$F,Vertical_Cash_flow!AU$15,'Other Operational payments'!$A:$A,Vertical_Cash_flow!$E$14,'Other Operational payments'!$C:$C,Vertical_Cash_flow!$B120)</f>
        <v>0</v>
      </c>
      <c r="AV120" s="307">
        <f>SUMIFS('Other Operational payments'!$G:$G,'Other Operational payments'!$O:$O,Vertical_Cash_flow!AS$11,'Other Operational payments'!$F:$F,Vertical_Cash_flow!AV$15,'Other Operational payments'!$A:$A,Vertical_Cash_flow!$F$14,'Other Operational payments'!$C:$C,Vertical_Cash_flow!$B120)</f>
        <v>0</v>
      </c>
      <c r="AW120" s="201">
        <f>AS120+AT120+AU120/$C$16+AV120/$F$16</f>
        <v>114445.60100000001</v>
      </c>
      <c r="AX120" s="201">
        <f>AS120*AS$16+AT120*AT$16+AW120*AW$16+AU120+AV120*AV$16</f>
        <v>34333.6803</v>
      </c>
      <c r="AZ120" s="201">
        <f t="shared" si="173"/>
        <v>1438820.787</v>
      </c>
    </row>
    <row r="121" spans="1:52" ht="13.5" thickBot="1" x14ac:dyDescent="0.25">
      <c r="A121" s="232"/>
      <c r="B121" s="100"/>
      <c r="C121" s="45"/>
      <c r="D121" s="25"/>
      <c r="E121" s="25"/>
      <c r="F121" s="25"/>
      <c r="G121" s="45"/>
      <c r="H121" s="45"/>
      <c r="I121" s="45"/>
      <c r="J121" s="25"/>
      <c r="K121" s="25"/>
      <c r="L121" s="25"/>
      <c r="M121" s="45"/>
      <c r="N121" s="45"/>
      <c r="O121" s="45"/>
      <c r="P121" s="25"/>
      <c r="Q121" s="25"/>
      <c r="R121" s="25"/>
      <c r="S121" s="45"/>
      <c r="T121" s="45"/>
      <c r="U121" s="45"/>
      <c r="V121" s="25"/>
      <c r="W121" s="25"/>
      <c r="X121" s="25"/>
      <c r="Y121" s="45"/>
      <c r="Z121" s="45"/>
      <c r="AA121" s="45"/>
      <c r="AB121" s="25"/>
      <c r="AC121" s="25"/>
      <c r="AD121" s="25"/>
      <c r="AE121" s="45"/>
      <c r="AF121" s="45"/>
      <c r="AG121" s="45"/>
      <c r="AH121" s="25"/>
      <c r="AI121" s="25"/>
      <c r="AJ121" s="25"/>
      <c r="AK121" s="45"/>
      <c r="AL121" s="45"/>
      <c r="AM121" s="45"/>
      <c r="AN121" s="25"/>
      <c r="AO121" s="25"/>
      <c r="AP121" s="25"/>
      <c r="AQ121" s="45"/>
      <c r="AR121" s="45"/>
      <c r="AS121" s="45"/>
      <c r="AT121" s="25"/>
      <c r="AU121" s="25"/>
      <c r="AV121" s="25"/>
      <c r="AW121" s="45"/>
      <c r="AX121" s="45"/>
      <c r="AZ121" s="45">
        <f t="shared" si="173"/>
        <v>0</v>
      </c>
    </row>
    <row r="122" spans="1:52" s="38" customFormat="1" ht="26.25" thickBot="1" x14ac:dyDescent="0.25">
      <c r="A122" s="232"/>
      <c r="B122" s="132" t="s">
        <v>16</v>
      </c>
      <c r="C122" s="133">
        <f t="shared" ref="C122:AD122" si="342">C80+C89+C94+C101+C106+C111+C120</f>
        <v>1345890.6</v>
      </c>
      <c r="D122" s="134">
        <f>D80+D89+D94+D101+D106+D111+D120</f>
        <v>1420728.9950000001</v>
      </c>
      <c r="E122" s="135">
        <f t="shared" si="342"/>
        <v>500396.85</v>
      </c>
      <c r="F122" s="135">
        <f t="shared" si="342"/>
        <v>0</v>
      </c>
      <c r="G122" s="199">
        <f t="shared" si="342"/>
        <v>4434609.0949999997</v>
      </c>
      <c r="H122" s="199">
        <f t="shared" si="342"/>
        <v>1330382.7285000002</v>
      </c>
      <c r="I122" s="133">
        <f t="shared" si="342"/>
        <v>952000</v>
      </c>
      <c r="J122" s="134">
        <f t="shared" si="342"/>
        <v>576682.94899999991</v>
      </c>
      <c r="K122" s="134">
        <f t="shared" si="342"/>
        <v>292837.26</v>
      </c>
      <c r="L122" s="134">
        <f t="shared" si="342"/>
        <v>0</v>
      </c>
      <c r="M122" s="199">
        <f t="shared" si="342"/>
        <v>2504807.1490000002</v>
      </c>
      <c r="N122" s="199">
        <f t="shared" si="342"/>
        <v>751442.14469999995</v>
      </c>
      <c r="O122" s="133">
        <f t="shared" si="342"/>
        <v>410000</v>
      </c>
      <c r="P122" s="134">
        <f t="shared" si="342"/>
        <v>844571.02499999991</v>
      </c>
      <c r="Q122" s="134">
        <f t="shared" si="342"/>
        <v>460893.7</v>
      </c>
      <c r="R122" s="134">
        <f t="shared" si="342"/>
        <v>0</v>
      </c>
      <c r="S122" s="199">
        <f t="shared" si="342"/>
        <v>2790883.3583333334</v>
      </c>
      <c r="T122" s="199">
        <f t="shared" si="342"/>
        <v>837265.00750000007</v>
      </c>
      <c r="U122" s="133">
        <f t="shared" si="342"/>
        <v>635000</v>
      </c>
      <c r="V122" s="133">
        <f t="shared" si="342"/>
        <v>802222.09700000007</v>
      </c>
      <c r="W122" s="133">
        <f t="shared" si="342"/>
        <v>64720.94</v>
      </c>
      <c r="X122" s="133">
        <f t="shared" si="342"/>
        <v>0</v>
      </c>
      <c r="Y122" s="199">
        <f t="shared" si="342"/>
        <v>1652958.5636666666</v>
      </c>
      <c r="Z122" s="199">
        <f t="shared" si="342"/>
        <v>495887.56910000002</v>
      </c>
      <c r="AA122" s="133">
        <f t="shared" si="342"/>
        <v>775000</v>
      </c>
      <c r="AB122" s="133">
        <f t="shared" si="342"/>
        <v>126874.08399999992</v>
      </c>
      <c r="AC122" s="133">
        <f t="shared" si="342"/>
        <v>237055.11</v>
      </c>
      <c r="AD122" s="133">
        <f t="shared" si="342"/>
        <v>0</v>
      </c>
      <c r="AE122" s="199">
        <f t="shared" ref="AE122:AX122" si="343">AE80+AE89+AE94+AE101+AE106+AE111+AE120</f>
        <v>1692057.784</v>
      </c>
      <c r="AF122" s="199">
        <f t="shared" si="343"/>
        <v>507617.33520000003</v>
      </c>
      <c r="AG122" s="133">
        <f t="shared" si="343"/>
        <v>510000</v>
      </c>
      <c r="AH122" s="133">
        <f t="shared" si="343"/>
        <v>1098147.4819999998</v>
      </c>
      <c r="AI122" s="133">
        <f t="shared" si="343"/>
        <v>0</v>
      </c>
      <c r="AJ122" s="133">
        <f t="shared" si="343"/>
        <v>0</v>
      </c>
      <c r="AK122" s="199">
        <f t="shared" si="343"/>
        <v>1608147.4819999998</v>
      </c>
      <c r="AL122" s="199">
        <f t="shared" si="343"/>
        <v>482444.24459999998</v>
      </c>
      <c r="AM122" s="133">
        <f t="shared" si="343"/>
        <v>762000</v>
      </c>
      <c r="AN122" s="133">
        <f t="shared" si="343"/>
        <v>210408.97399999993</v>
      </c>
      <c r="AO122" s="133">
        <f t="shared" si="343"/>
        <v>390503.67</v>
      </c>
      <c r="AP122" s="133">
        <f t="shared" si="343"/>
        <v>0</v>
      </c>
      <c r="AQ122" s="199">
        <f t="shared" si="343"/>
        <v>2274087.8739999998</v>
      </c>
      <c r="AR122" s="199">
        <f t="shared" si="343"/>
        <v>682226.36219999997</v>
      </c>
      <c r="AS122" s="133">
        <f t="shared" si="343"/>
        <v>480000</v>
      </c>
      <c r="AT122" s="133">
        <f t="shared" si="343"/>
        <v>748866.30099999998</v>
      </c>
      <c r="AU122" s="133">
        <f t="shared" si="343"/>
        <v>0</v>
      </c>
      <c r="AV122" s="133">
        <f t="shared" si="343"/>
        <v>0</v>
      </c>
      <c r="AW122" s="199">
        <f t="shared" si="343"/>
        <v>1228866.301</v>
      </c>
      <c r="AX122" s="199">
        <f t="shared" si="343"/>
        <v>368659.89029999997</v>
      </c>
      <c r="AZ122" s="199">
        <f t="shared" si="173"/>
        <v>18186417.607000001</v>
      </c>
    </row>
    <row r="123" spans="1:52" ht="26.25" thickBot="1" x14ac:dyDescent="0.25">
      <c r="A123" s="232"/>
      <c r="B123" s="136" t="s">
        <v>237</v>
      </c>
      <c r="C123" s="137">
        <f t="shared" ref="C123:AD123" si="344">C76-C122</f>
        <v>-600102.01700000023</v>
      </c>
      <c r="D123" s="138">
        <f t="shared" si="344"/>
        <v>-150728.99500000011</v>
      </c>
      <c r="E123" s="138">
        <f t="shared" si="344"/>
        <v>-157415.67999999993</v>
      </c>
      <c r="F123" s="138">
        <f t="shared" si="344"/>
        <v>0</v>
      </c>
      <c r="G123" s="137">
        <f t="shared" si="344"/>
        <v>-1275549.9453333332</v>
      </c>
      <c r="H123" s="137">
        <f t="shared" si="344"/>
        <v>-382664.98360000015</v>
      </c>
      <c r="I123" s="137">
        <f t="shared" si="344"/>
        <v>98844.35599999968</v>
      </c>
      <c r="J123" s="138">
        <f t="shared" si="344"/>
        <v>278317.05100000009</v>
      </c>
      <c r="K123" s="138">
        <f t="shared" si="344"/>
        <v>-166692.69</v>
      </c>
      <c r="L123" s="138">
        <f t="shared" si="344"/>
        <v>0</v>
      </c>
      <c r="M123" s="137">
        <f t="shared" si="344"/>
        <v>-178480.89300000062</v>
      </c>
      <c r="N123" s="137">
        <f t="shared" si="344"/>
        <v>-53544.267900000094</v>
      </c>
      <c r="O123" s="137">
        <f t="shared" si="344"/>
        <v>1406.8410000000731</v>
      </c>
      <c r="P123" s="138">
        <f t="shared" si="344"/>
        <v>-444571.02499999991</v>
      </c>
      <c r="Q123" s="138">
        <f t="shared" si="344"/>
        <v>-219275.8</v>
      </c>
      <c r="R123" s="138">
        <f t="shared" si="344"/>
        <v>0</v>
      </c>
      <c r="S123" s="137">
        <f t="shared" si="344"/>
        <v>-1174083.5173333334</v>
      </c>
      <c r="T123" s="137">
        <f t="shared" si="344"/>
        <v>-352225.05520000006</v>
      </c>
      <c r="U123" s="137">
        <f t="shared" si="344"/>
        <v>7203.0959999999031</v>
      </c>
      <c r="V123" s="138">
        <f t="shared" si="344"/>
        <v>-177222.09700000007</v>
      </c>
      <c r="W123" s="138">
        <f t="shared" si="344"/>
        <v>8341.6600000000035</v>
      </c>
      <c r="X123" s="138">
        <f t="shared" si="344"/>
        <v>0</v>
      </c>
      <c r="Y123" s="137">
        <f t="shared" si="344"/>
        <v>-142213.46766666672</v>
      </c>
      <c r="Z123" s="137">
        <f t="shared" si="344"/>
        <v>-42664.040300000052</v>
      </c>
      <c r="AA123" s="137">
        <f t="shared" si="344"/>
        <v>1832.9639999999199</v>
      </c>
      <c r="AB123" s="138">
        <f t="shared" si="344"/>
        <v>638125.91600000008</v>
      </c>
      <c r="AC123" s="138">
        <f t="shared" si="344"/>
        <v>105309.33000000007</v>
      </c>
      <c r="AD123" s="138">
        <f t="shared" si="344"/>
        <v>0</v>
      </c>
      <c r="AE123" s="137">
        <f t="shared" ref="AE123:AX123" si="345">AE76-AE122</f>
        <v>990989.98</v>
      </c>
      <c r="AF123" s="137">
        <f t="shared" si="345"/>
        <v>297296.99400000001</v>
      </c>
      <c r="AG123" s="137">
        <f t="shared" si="345"/>
        <v>-2754.3680000000168</v>
      </c>
      <c r="AH123" s="138">
        <f t="shared" si="345"/>
        <v>-748147.48199999984</v>
      </c>
      <c r="AI123" s="138">
        <f t="shared" si="345"/>
        <v>328703.73</v>
      </c>
      <c r="AJ123" s="138">
        <f t="shared" si="345"/>
        <v>0</v>
      </c>
      <c r="AK123" s="137">
        <f t="shared" si="345"/>
        <v>344777.25000000023</v>
      </c>
      <c r="AL123" s="137">
        <f t="shared" si="345"/>
        <v>103433.17500000005</v>
      </c>
      <c r="AM123" s="137">
        <f t="shared" si="345"/>
        <v>200496.23599999992</v>
      </c>
      <c r="AN123" s="138">
        <f t="shared" si="345"/>
        <v>454591.02600000007</v>
      </c>
      <c r="AO123" s="138">
        <f t="shared" si="345"/>
        <v>-150477.47999999998</v>
      </c>
      <c r="AP123" s="138">
        <f t="shared" si="345"/>
        <v>0</v>
      </c>
      <c r="AQ123" s="137">
        <f t="shared" si="345"/>
        <v>153495.66200000001</v>
      </c>
      <c r="AR123" s="137">
        <f t="shared" si="345"/>
        <v>46048.69860000012</v>
      </c>
      <c r="AS123" s="137">
        <f t="shared" si="345"/>
        <v>41899.30700000003</v>
      </c>
      <c r="AT123" s="138">
        <f t="shared" si="345"/>
        <v>-278866.30099999998</v>
      </c>
      <c r="AU123" s="138">
        <f t="shared" si="345"/>
        <v>71190</v>
      </c>
      <c r="AV123" s="138">
        <f t="shared" si="345"/>
        <v>0</v>
      </c>
      <c r="AW123" s="137">
        <f t="shared" si="345"/>
        <v>333.00600000005215</v>
      </c>
      <c r="AX123" s="137">
        <f t="shared" si="345"/>
        <v>99.901799999992363</v>
      </c>
      <c r="AZ123" s="137">
        <f t="shared" si="173"/>
        <v>-1280731.9253333334</v>
      </c>
    </row>
    <row r="124" spans="1:52" ht="13.5" thickBot="1" x14ac:dyDescent="0.25">
      <c r="A124" s="232"/>
      <c r="B124" s="99"/>
      <c r="C124" s="51"/>
      <c r="D124" s="28"/>
      <c r="E124" s="28"/>
      <c r="F124" s="28"/>
      <c r="G124" s="51"/>
      <c r="H124" s="51"/>
      <c r="I124" s="51"/>
      <c r="J124" s="28"/>
      <c r="K124" s="28"/>
      <c r="L124" s="28"/>
      <c r="M124" s="51"/>
      <c r="N124" s="51"/>
      <c r="O124" s="51"/>
      <c r="P124" s="28"/>
      <c r="Q124" s="28"/>
      <c r="R124" s="28"/>
      <c r="S124" s="51"/>
      <c r="T124" s="51"/>
      <c r="U124" s="51"/>
      <c r="V124" s="28"/>
      <c r="W124" s="28"/>
      <c r="X124" s="28"/>
      <c r="Y124" s="51"/>
      <c r="Z124" s="51"/>
      <c r="AA124" s="51"/>
      <c r="AB124" s="28"/>
      <c r="AC124" s="28"/>
      <c r="AD124" s="28"/>
      <c r="AE124" s="51"/>
      <c r="AF124" s="51"/>
      <c r="AG124" s="51"/>
      <c r="AH124" s="28"/>
      <c r="AI124" s="28"/>
      <c r="AJ124" s="28"/>
      <c r="AK124" s="51"/>
      <c r="AL124" s="51"/>
      <c r="AM124" s="51"/>
      <c r="AN124" s="28"/>
      <c r="AO124" s="28"/>
      <c r="AP124" s="28"/>
      <c r="AQ124" s="51"/>
      <c r="AR124" s="51"/>
      <c r="AS124" s="51"/>
      <c r="AT124" s="28"/>
      <c r="AU124" s="28"/>
      <c r="AV124" s="28"/>
      <c r="AW124" s="51"/>
      <c r="AX124" s="51"/>
      <c r="AZ124" s="51"/>
    </row>
    <row r="125" spans="1:52" x14ac:dyDescent="0.2">
      <c r="A125" s="654" t="s">
        <v>463</v>
      </c>
      <c r="B125" s="191" t="s">
        <v>77</v>
      </c>
      <c r="C125" s="52"/>
      <c r="D125" s="29"/>
      <c r="E125" s="29"/>
      <c r="F125" s="29"/>
      <c r="G125" s="52"/>
      <c r="H125" s="52"/>
      <c r="I125" s="52"/>
      <c r="J125" s="29"/>
      <c r="K125" s="29"/>
      <c r="L125" s="29"/>
      <c r="M125" s="52"/>
      <c r="N125" s="52"/>
      <c r="O125" s="52"/>
      <c r="P125" s="29"/>
      <c r="Q125" s="29"/>
      <c r="R125" s="29"/>
      <c r="S125" s="52"/>
      <c r="T125" s="52"/>
      <c r="U125" s="52"/>
      <c r="V125" s="29"/>
      <c r="W125" s="29"/>
      <c r="X125" s="29"/>
      <c r="Y125" s="52"/>
      <c r="Z125" s="52"/>
      <c r="AA125" s="52"/>
      <c r="AB125" s="29"/>
      <c r="AC125" s="29"/>
      <c r="AD125" s="29"/>
      <c r="AE125" s="52"/>
      <c r="AF125" s="52"/>
      <c r="AG125" s="52"/>
      <c r="AH125" s="29"/>
      <c r="AI125" s="29"/>
      <c r="AJ125" s="29"/>
      <c r="AK125" s="52"/>
      <c r="AL125" s="52"/>
      <c r="AM125" s="52"/>
      <c r="AN125" s="29"/>
      <c r="AO125" s="29"/>
      <c r="AP125" s="29"/>
      <c r="AQ125" s="52"/>
      <c r="AR125" s="52"/>
      <c r="AS125" s="52"/>
      <c r="AT125" s="29"/>
      <c r="AU125" s="29"/>
      <c r="AV125" s="29"/>
      <c r="AW125" s="52"/>
      <c r="AX125" s="52"/>
      <c r="AZ125" s="52"/>
    </row>
    <row r="126" spans="1:52" x14ac:dyDescent="0.2">
      <c r="A126" s="655"/>
      <c r="B126" s="184" t="s">
        <v>231</v>
      </c>
      <c r="C126" s="48">
        <f>SUMIFS('CAPEX payments'!$F:$F,'CAPEX payments'!$N:$N,Vertical_Cash_flow!C$11,'CAPEX payments'!$E:$E,Vertical_Cash_flow!C$15,'CAPEX payments'!$A:$A,Vertical_Cash_flow!$C$14,'CAPEX payments'!$C:$C,Vertical_Cash_flow!$B126)</f>
        <v>0</v>
      </c>
      <c r="D126" s="32">
        <f>SUMIFS('CAPEX payments'!$F:$F,'CAPEX payments'!$N:$N,Vertical_Cash_flow!C$11,'CAPEX payments'!$E:$E,Vertical_Cash_flow!D$15,'CAPEX payments'!$A:$A,Vertical_Cash_flow!$D$14,'CAPEX payments'!$C:$C,Vertical_Cash_flow!$B126)</f>
        <v>0</v>
      </c>
      <c r="E126" s="32">
        <f>SUMIFS('CAPEX payments'!$F:$F,'CAPEX payments'!$N:$N,Vertical_Cash_flow!C$11,'CAPEX payments'!$E:$E,Vertical_Cash_flow!E$15,'CAPEX payments'!$A:$A,Vertical_Cash_flow!$E$14,'CAPEX payments'!$C:$C,Vertical_Cash_flow!$B126)</f>
        <v>0</v>
      </c>
      <c r="F126" s="32">
        <f>SUMIFS('CAPEX payments'!$F:$F,'CAPEX payments'!$N:$N,Vertical_Cash_flow!C$11,'CAPEX payments'!$E:$E,Vertical_Cash_flow!F$15,'CAPEX payments'!$A:$A,Vertical_Cash_flow!$F$14,'CAPEX payments'!$C:$C,Vertical_Cash_flow!$B126)</f>
        <v>0</v>
      </c>
      <c r="G126" s="200">
        <f>C126+D126+E126/$C$16+F126/$F$16</f>
        <v>0</v>
      </c>
      <c r="H126" s="200">
        <f t="shared" ref="H126:H131" si="346">G126*$C$16</f>
        <v>0</v>
      </c>
      <c r="I126" s="48">
        <f>SUMIFS('CAPEX payments'!$F:$F,'CAPEX payments'!$N:$N,Vertical_Cash_flow!I$11,'CAPEX payments'!$E:$E,Vertical_Cash_flow!I$15,'CAPEX payments'!$A:$A,Vertical_Cash_flow!$C$14,'CAPEX payments'!$C:$C,Vertical_Cash_flow!$B126)</f>
        <v>100000</v>
      </c>
      <c r="J126" s="32">
        <f>SUMIFS('CAPEX payments'!$F:$F,'CAPEX payments'!$N:$N,Vertical_Cash_flow!I$11,'CAPEX payments'!$E:$E,Vertical_Cash_flow!J$15,'CAPEX payments'!$A:$A,Vertical_Cash_flow!$D$14,'CAPEX payments'!$C:$C,Vertical_Cash_flow!$B126)</f>
        <v>0</v>
      </c>
      <c r="K126" s="32">
        <f>SUMIFS('CAPEX payments'!$F:$F,'CAPEX payments'!$N:$N,Vertical_Cash_flow!I$11,'CAPEX payments'!$E:$E,Vertical_Cash_flow!K$15,'CAPEX payments'!$A:$A,Vertical_Cash_flow!$E$14,'CAPEX payments'!$C:$C,Vertical_Cash_flow!$B126)</f>
        <v>0</v>
      </c>
      <c r="L126" s="32">
        <f>SUMIFS('CAPEX payments'!$F:$F,'CAPEX payments'!$N:$N,Vertical_Cash_flow!I$11,'CAPEX payments'!$E:$E,Vertical_Cash_flow!L$15,'CAPEX payments'!$A:$A,Vertical_Cash_flow!$F$14,'CAPEX payments'!$C:$C,Vertical_Cash_flow!$B126)</f>
        <v>0</v>
      </c>
      <c r="M126" s="200">
        <f>I126+J126+K126/$C$16+L126/$F$16</f>
        <v>100000</v>
      </c>
      <c r="N126" s="200">
        <f t="shared" ref="N126:N131" si="347">M126*$C$16</f>
        <v>30000</v>
      </c>
      <c r="O126" s="48">
        <f>SUMIFS('CAPEX payments'!$F:$F,'CAPEX payments'!$N:$N,Vertical_Cash_flow!O$11,'CAPEX payments'!$E:$E,Vertical_Cash_flow!O$15,'CAPEX payments'!$A:$A,Vertical_Cash_flow!$C$14,'CAPEX payments'!$C:$C,Vertical_Cash_flow!$B126)</f>
        <v>0</v>
      </c>
      <c r="P126" s="32">
        <f>SUMIFS('CAPEX payments'!$F:$F,'CAPEX payments'!$N:$N,Vertical_Cash_flow!O$11,'CAPEX payments'!$E:$E,Vertical_Cash_flow!P$15,'CAPEX payments'!$A:$A,Vertical_Cash_flow!$D$14,'CAPEX payments'!$C:$C,Vertical_Cash_flow!$B126)</f>
        <v>0</v>
      </c>
      <c r="Q126" s="32">
        <f>SUMIFS('CAPEX payments'!$F:$F,'CAPEX payments'!$N:$N,Vertical_Cash_flow!O$11,'CAPEX payments'!$E:$E,Vertical_Cash_flow!Q$15,'CAPEX payments'!$A:$A,Vertical_Cash_flow!$E$14,'CAPEX payments'!$C:$C,Vertical_Cash_flow!$B126)</f>
        <v>0</v>
      </c>
      <c r="R126" s="32">
        <f>SUMIFS('CAPEX payments'!$F:$F,'CAPEX payments'!$N:$N,Vertical_Cash_flow!O$11,'CAPEX payments'!$E:$E,Vertical_Cash_flow!R$15,'CAPEX payments'!$A:$A,Vertical_Cash_flow!$F$14,'CAPEX payments'!$C:$C,Vertical_Cash_flow!$B126)</f>
        <v>0</v>
      </c>
      <c r="S126" s="200">
        <f>O126+P126+Q126/$C$16+R126/$F$16</f>
        <v>0</v>
      </c>
      <c r="T126" s="200">
        <f t="shared" ref="T126:T131" si="348">S126*$C$16</f>
        <v>0</v>
      </c>
      <c r="U126" s="48">
        <f>SUMIFS('CAPEX payments'!$F:$F,'CAPEX payments'!$N:$N,Vertical_Cash_flow!U$11,'CAPEX payments'!$E:$E,Vertical_Cash_flow!U$15,'CAPEX payments'!$A:$A,Vertical_Cash_flow!$C$14,'CAPEX payments'!$C:$C,Vertical_Cash_flow!$B126)</f>
        <v>0</v>
      </c>
      <c r="V126" s="32">
        <f>SUMIFS('CAPEX payments'!$F:$F,'CAPEX payments'!$N:$N,Vertical_Cash_flow!U$11,'CAPEX payments'!$E:$E,Vertical_Cash_flow!V$15,'CAPEX payments'!$A:$A,Vertical_Cash_flow!$D$14,'CAPEX payments'!$C:$C,Vertical_Cash_flow!$B126)</f>
        <v>0</v>
      </c>
      <c r="W126" s="32">
        <f>SUMIFS('CAPEX payments'!$F:$F,'CAPEX payments'!$N:$N,Vertical_Cash_flow!U$11,'CAPEX payments'!$E:$E,Vertical_Cash_flow!W$15,'CAPEX payments'!$A:$A,Vertical_Cash_flow!$E$14,'CAPEX payments'!$C:$C,Vertical_Cash_flow!$B126)</f>
        <v>0</v>
      </c>
      <c r="X126" s="32">
        <f>SUMIFS('CAPEX payments'!$F:$F,'CAPEX payments'!$N:$N,Vertical_Cash_flow!U$11,'CAPEX payments'!$E:$E,Vertical_Cash_flow!X$15,'CAPEX payments'!$A:$A,Vertical_Cash_flow!$F$14,'CAPEX payments'!$C:$C,Vertical_Cash_flow!$B126)</f>
        <v>0</v>
      </c>
      <c r="Y126" s="200">
        <f>U126+V126+W126/$C$16+X126/$F$16</f>
        <v>0</v>
      </c>
      <c r="Z126" s="200">
        <f t="shared" ref="Z126:Z131" si="349">Y126*$C$16</f>
        <v>0</v>
      </c>
      <c r="AA126" s="48">
        <f>SUMIFS('CAPEX payments'!$F:$F,'CAPEX payments'!$N:$N,Vertical_Cash_flow!AA$11,'CAPEX payments'!$E:$E,Vertical_Cash_flow!AA$15,'CAPEX payments'!$A:$A,Vertical_Cash_flow!$C$14,'CAPEX payments'!$C:$C,Vertical_Cash_flow!$B126)</f>
        <v>0</v>
      </c>
      <c r="AB126" s="32">
        <f>SUMIFS('CAPEX payments'!$F:$F,'CAPEX payments'!$N:$N,Vertical_Cash_flow!AA$11,'CAPEX payments'!$E:$E,Vertical_Cash_flow!AB$15,'CAPEX payments'!$A:$A,Vertical_Cash_flow!$D$14,'CAPEX payments'!$C:$C,Vertical_Cash_flow!$B126)</f>
        <v>0</v>
      </c>
      <c r="AC126" s="32">
        <f>SUMIFS('CAPEX payments'!$F:$F,'CAPEX payments'!$N:$N,Vertical_Cash_flow!AA$11,'CAPEX payments'!$E:$E,Vertical_Cash_flow!AC$15,'CAPEX payments'!$A:$A,Vertical_Cash_flow!$E$14,'CAPEX payments'!$C:$C,Vertical_Cash_flow!$B126)</f>
        <v>0</v>
      </c>
      <c r="AD126" s="32">
        <f>SUMIFS('CAPEX payments'!$F:$F,'CAPEX payments'!$N:$N,Vertical_Cash_flow!AA$11,'CAPEX payments'!$E:$E,Vertical_Cash_flow!AD$15,'CAPEX payments'!$A:$A,Vertical_Cash_flow!$F$14,'CAPEX payments'!$C:$C,Vertical_Cash_flow!$B126)</f>
        <v>0</v>
      </c>
      <c r="AE126" s="200">
        <f>AA126+AB126+AC126/$C$16+AD126/$F$16</f>
        <v>0</v>
      </c>
      <c r="AF126" s="200">
        <f t="shared" ref="AF126:AF131" si="350">AE126*$C$16</f>
        <v>0</v>
      </c>
      <c r="AG126" s="48">
        <f>SUMIFS('CAPEX payments'!$F:$F,'CAPEX payments'!$N:$N,Vertical_Cash_flow!AG$11,'CAPEX payments'!$E:$E,Vertical_Cash_flow!AG$15,'CAPEX payments'!$A:$A,Vertical_Cash_flow!$C$14,'CAPEX payments'!$C:$C,Vertical_Cash_flow!$B126)</f>
        <v>0</v>
      </c>
      <c r="AH126" s="32">
        <f>SUMIFS('CAPEX payments'!$F:$F,'CAPEX payments'!$N:$N,Vertical_Cash_flow!AG$11,'CAPEX payments'!$E:$E,Vertical_Cash_flow!AH$15,'CAPEX payments'!$A:$A,Vertical_Cash_flow!$D$14,'CAPEX payments'!$C:$C,Vertical_Cash_flow!$B126)</f>
        <v>0</v>
      </c>
      <c r="AI126" s="32">
        <f>SUMIFS('CAPEX payments'!$F:$F,'CAPEX payments'!$N:$N,Vertical_Cash_flow!AG$11,'CAPEX payments'!$E:$E,Vertical_Cash_flow!AI$15,'CAPEX payments'!$A:$A,Vertical_Cash_flow!$E$14,'CAPEX payments'!$C:$C,Vertical_Cash_flow!$B126)</f>
        <v>0</v>
      </c>
      <c r="AJ126" s="32">
        <f>SUMIFS('CAPEX payments'!$F:$F,'CAPEX payments'!$N:$N,Vertical_Cash_flow!AG$11,'CAPEX payments'!$E:$E,Vertical_Cash_flow!AJ$15,'CAPEX payments'!$A:$A,Vertical_Cash_flow!$F$14,'CAPEX payments'!$C:$C,Vertical_Cash_flow!$B126)</f>
        <v>0</v>
      </c>
      <c r="AK126" s="200">
        <f>AG126+AH126+AI126/$C$16+AJ126/$F$16</f>
        <v>0</v>
      </c>
      <c r="AL126" s="200">
        <f t="shared" ref="AL126:AL131" si="351">AK126*$C$16</f>
        <v>0</v>
      </c>
      <c r="AM126" s="48">
        <f>SUMIFS('CAPEX payments'!$F:$F,'CAPEX payments'!$N:$N,Vertical_Cash_flow!AM$11,'CAPEX payments'!$E:$E,Vertical_Cash_flow!AM$15,'CAPEX payments'!$A:$A,Vertical_Cash_flow!$C$14,'CAPEX payments'!$C:$C,Vertical_Cash_flow!$B126)</f>
        <v>200000</v>
      </c>
      <c r="AN126" s="32">
        <f>SUMIFS('CAPEX payments'!$F:$F,'CAPEX payments'!$N:$N,Vertical_Cash_flow!AM$11,'CAPEX payments'!$E:$E,Vertical_Cash_flow!AN$15,'CAPEX payments'!$A:$A,Vertical_Cash_flow!$D$14,'CAPEX payments'!$C:$C,Vertical_Cash_flow!$B126)</f>
        <v>0</v>
      </c>
      <c r="AO126" s="32">
        <f>SUMIFS('CAPEX payments'!$F:$F,'CAPEX payments'!$N:$N,Vertical_Cash_flow!AM$11,'CAPEX payments'!$E:$E,Vertical_Cash_flow!AO$15,'CAPEX payments'!$A:$A,Vertical_Cash_flow!$E$14,'CAPEX payments'!$C:$C,Vertical_Cash_flow!$B126)</f>
        <v>0</v>
      </c>
      <c r="AP126" s="32">
        <f>SUMIFS('CAPEX payments'!$F:$F,'CAPEX payments'!$N:$N,Vertical_Cash_flow!AM$11,'CAPEX payments'!$E:$E,Vertical_Cash_flow!AP$15,'CAPEX payments'!$A:$A,Vertical_Cash_flow!$F$14,'CAPEX payments'!$C:$C,Vertical_Cash_flow!$B126)</f>
        <v>0</v>
      </c>
      <c r="AQ126" s="200">
        <f>AM126+AN126+AO126/$C$16+AP126/$F$16</f>
        <v>200000</v>
      </c>
      <c r="AR126" s="200">
        <f t="shared" ref="AR126:AR131" si="352">AQ126*$C$16</f>
        <v>60000</v>
      </c>
      <c r="AS126" s="48">
        <f>SUMIFS('CAPEX payments'!$F:$F,'CAPEX payments'!$N:$N,Vertical_Cash_flow!AS$11,'CAPEX payments'!$E:$E,Vertical_Cash_flow!AS$15,'CAPEX payments'!$A:$A,Vertical_Cash_flow!$C$14,'CAPEX payments'!$C:$C,Vertical_Cash_flow!$B126)</f>
        <v>0</v>
      </c>
      <c r="AT126" s="32">
        <f>SUMIFS('CAPEX payments'!$F:$F,'CAPEX payments'!$N:$N,Vertical_Cash_flow!AS$11,'CAPEX payments'!$E:$E,Vertical_Cash_flow!AT$15,'CAPEX payments'!$A:$A,Vertical_Cash_flow!$D$14,'CAPEX payments'!$C:$C,Vertical_Cash_flow!$B126)</f>
        <v>0</v>
      </c>
      <c r="AU126" s="32">
        <f>SUMIFS('CAPEX payments'!$F:$F,'CAPEX payments'!$N:$N,Vertical_Cash_flow!AS$11,'CAPEX payments'!$E:$E,Vertical_Cash_flow!AU$15,'CAPEX payments'!$A:$A,Vertical_Cash_flow!$E$14,'CAPEX payments'!$C:$C,Vertical_Cash_flow!$B126)</f>
        <v>0</v>
      </c>
      <c r="AV126" s="32">
        <f>SUMIFS('CAPEX payments'!$F:$F,'CAPEX payments'!$N:$N,Vertical_Cash_flow!AS$11,'CAPEX payments'!$E:$E,Vertical_Cash_flow!AV$15,'CAPEX payments'!$A:$A,Vertical_Cash_flow!$F$14,'CAPEX payments'!$C:$C,Vertical_Cash_flow!$B126)</f>
        <v>0</v>
      </c>
      <c r="AW126" s="200">
        <f>AS126+AT126+AU126/$C$16+AV126/$F$16</f>
        <v>0</v>
      </c>
      <c r="AX126" s="200">
        <f t="shared" ref="AX126:AX131" si="353">AW126*$C$16</f>
        <v>0</v>
      </c>
      <c r="AZ126" s="200">
        <f t="shared" ref="AZ126:AZ132" si="354">SUM(G126,S126,Y126,AE126,AK126,AQ126,AW126,M126)</f>
        <v>300000</v>
      </c>
    </row>
    <row r="127" spans="1:52" x14ac:dyDescent="0.2">
      <c r="A127" s="655"/>
      <c r="B127" s="184" t="s">
        <v>232</v>
      </c>
      <c r="C127" s="48">
        <f>SUMIFS('CAPEX payments'!$F:$F,'CAPEX payments'!$N:$N,Vertical_Cash_flow!C$11,'CAPEX payments'!$E:$E,Vertical_Cash_flow!C$15,'CAPEX payments'!$A:$A,Vertical_Cash_flow!$C$14,'CAPEX payments'!$C:$C,Vertical_Cash_flow!$B127)</f>
        <v>0</v>
      </c>
      <c r="D127" s="32">
        <v>0</v>
      </c>
      <c r="E127" s="32">
        <f>SUMIFS('CAPEX payments'!$F:$F,'CAPEX payments'!$N:$N,Vertical_Cash_flow!C$11,'CAPEX payments'!$E:$E,Vertical_Cash_flow!E$15,'CAPEX payments'!$A:$A,Vertical_Cash_flow!$E$14,'CAPEX payments'!$C:$C,Vertical_Cash_flow!$B127)</f>
        <v>0</v>
      </c>
      <c r="F127" s="32">
        <f>SUMIFS('CAPEX payments'!$F:$F,'CAPEX payments'!$N:$N,Vertical_Cash_flow!C$11,'CAPEX payments'!$E:$E,Vertical_Cash_flow!F$15,'CAPEX payments'!$A:$A,Vertical_Cash_flow!$F$14,'CAPEX payments'!$C:$C,Vertical_Cash_flow!$B127)</f>
        <v>0</v>
      </c>
      <c r="G127" s="200">
        <f t="shared" ref="G127:G131" si="355">C127+D127+E127/$C$16+F127/$F$16</f>
        <v>0</v>
      </c>
      <c r="H127" s="200">
        <f t="shared" si="346"/>
        <v>0</v>
      </c>
      <c r="I127" s="48">
        <f>SUMIFS('CAPEX payments'!$F:$F,'CAPEX payments'!$N:$N,Vertical_Cash_flow!I$11,'CAPEX payments'!$E:$E,Vertical_Cash_flow!I$15,'CAPEX payments'!$A:$A,Vertical_Cash_flow!$C$14,'CAPEX payments'!$C:$C,Vertical_Cash_flow!$B127)</f>
        <v>0</v>
      </c>
      <c r="J127" s="32">
        <f>SUMIFS('CAPEX payments'!$F:$F,'CAPEX payments'!$N:$N,Vertical_Cash_flow!I$11,'CAPEX payments'!$E:$E,Vertical_Cash_flow!J$15,'CAPEX payments'!$A:$A,Vertical_Cash_flow!$D$14,'CAPEX payments'!$C:$C,Vertical_Cash_flow!$B127)</f>
        <v>0</v>
      </c>
      <c r="K127" s="32">
        <f>SUMIFS('CAPEX payments'!$F:$F,'CAPEX payments'!$N:$N,Vertical_Cash_flow!I$11,'CAPEX payments'!$E:$E,Vertical_Cash_flow!K$15,'CAPEX payments'!$A:$A,Vertical_Cash_flow!$E$14,'CAPEX payments'!$C:$C,Vertical_Cash_flow!$B127)</f>
        <v>0</v>
      </c>
      <c r="L127" s="32">
        <f>SUMIFS('CAPEX payments'!$F:$F,'CAPEX payments'!$N:$N,Vertical_Cash_flow!I$11,'CAPEX payments'!$E:$E,Vertical_Cash_flow!L$15,'CAPEX payments'!$A:$A,Vertical_Cash_flow!$F$14,'CAPEX payments'!$C:$C,Vertical_Cash_flow!$B127)</f>
        <v>0</v>
      </c>
      <c r="M127" s="200">
        <f t="shared" ref="M127:M131" si="356">I127+J127+K127/$C$16+L127/$F$16</f>
        <v>0</v>
      </c>
      <c r="N127" s="200">
        <f t="shared" si="347"/>
        <v>0</v>
      </c>
      <c r="O127" s="48">
        <f>SUMIFS('CAPEX payments'!$F:$F,'CAPEX payments'!$N:$N,Vertical_Cash_flow!O$11,'CAPEX payments'!$E:$E,Vertical_Cash_flow!O$15,'CAPEX payments'!$A:$A,Vertical_Cash_flow!$C$14,'CAPEX payments'!$C:$C,Vertical_Cash_flow!$B127)</f>
        <v>0</v>
      </c>
      <c r="P127" s="32">
        <f>SUMIFS('CAPEX payments'!$F:$F,'CAPEX payments'!$N:$N,Vertical_Cash_flow!O$11,'CAPEX payments'!$E:$E,Vertical_Cash_flow!P$15,'CAPEX payments'!$A:$A,Vertical_Cash_flow!$D$14,'CAPEX payments'!$C:$C,Vertical_Cash_flow!$B127)</f>
        <v>0</v>
      </c>
      <c r="Q127" s="32">
        <f>SUMIFS('CAPEX payments'!$F:$F,'CAPEX payments'!$N:$N,Vertical_Cash_flow!O$11,'CAPEX payments'!$E:$E,Vertical_Cash_flow!Q$15,'CAPEX payments'!$A:$A,Vertical_Cash_flow!$E$14,'CAPEX payments'!$C:$C,Vertical_Cash_flow!$B127)</f>
        <v>0</v>
      </c>
      <c r="R127" s="32">
        <f>SUMIFS('CAPEX payments'!$F:$F,'CAPEX payments'!$N:$N,Vertical_Cash_flow!O$11,'CAPEX payments'!$E:$E,Vertical_Cash_flow!R$15,'CAPEX payments'!$A:$A,Vertical_Cash_flow!$F$14,'CAPEX payments'!$C:$C,Vertical_Cash_flow!$B127)</f>
        <v>0</v>
      </c>
      <c r="S127" s="200">
        <f t="shared" ref="S127:S131" si="357">O127+P127+Q127/$C$16+R127/$F$16</f>
        <v>0</v>
      </c>
      <c r="T127" s="200">
        <f t="shared" si="348"/>
        <v>0</v>
      </c>
      <c r="U127" s="48">
        <f>SUMIFS('CAPEX payments'!$F:$F,'CAPEX payments'!$N:$N,Vertical_Cash_flow!U$11,'CAPEX payments'!$E:$E,Vertical_Cash_flow!U$15,'CAPEX payments'!$A:$A,Vertical_Cash_flow!$C$14,'CAPEX payments'!$C:$C,Vertical_Cash_flow!$B127)</f>
        <v>0</v>
      </c>
      <c r="V127" s="32">
        <f>SUMIFS('CAPEX payments'!$F:$F,'CAPEX payments'!$N:$N,Vertical_Cash_flow!U$11,'CAPEX payments'!$E:$E,Vertical_Cash_flow!V$15,'CAPEX payments'!$A:$A,Vertical_Cash_flow!$D$14,'CAPEX payments'!$C:$C,Vertical_Cash_flow!$B127)</f>
        <v>0</v>
      </c>
      <c r="W127" s="32">
        <f>SUMIFS('CAPEX payments'!$F:$F,'CAPEX payments'!$N:$N,Vertical_Cash_flow!U$11,'CAPEX payments'!$E:$E,Vertical_Cash_flow!W$15,'CAPEX payments'!$A:$A,Vertical_Cash_flow!$E$14,'CAPEX payments'!$C:$C,Vertical_Cash_flow!$B127)</f>
        <v>0</v>
      </c>
      <c r="X127" s="32">
        <f>SUMIFS('CAPEX payments'!$F:$F,'CAPEX payments'!$N:$N,Vertical_Cash_flow!U$11,'CAPEX payments'!$E:$E,Vertical_Cash_flow!X$15,'CAPEX payments'!$A:$A,Vertical_Cash_flow!$F$14,'CAPEX payments'!$C:$C,Vertical_Cash_flow!$B127)</f>
        <v>0</v>
      </c>
      <c r="Y127" s="200">
        <f t="shared" ref="Y127:Y131" si="358">U127+V127+W127/$C$16+X127/$F$16</f>
        <v>0</v>
      </c>
      <c r="Z127" s="200">
        <f t="shared" si="349"/>
        <v>0</v>
      </c>
      <c r="AA127" s="48">
        <f>SUMIFS('CAPEX payments'!$F:$F,'CAPEX payments'!$N:$N,Vertical_Cash_flow!AA$11,'CAPEX payments'!$E:$E,Vertical_Cash_flow!AA$15,'CAPEX payments'!$A:$A,Vertical_Cash_flow!$C$14,'CAPEX payments'!$C:$C,Vertical_Cash_flow!$B127)</f>
        <v>0</v>
      </c>
      <c r="AB127" s="32">
        <f>SUMIFS('CAPEX payments'!$F:$F,'CAPEX payments'!$N:$N,Vertical_Cash_flow!AA$11,'CAPEX payments'!$E:$E,Vertical_Cash_flow!AB$15,'CAPEX payments'!$A:$A,Vertical_Cash_flow!$D$14,'CAPEX payments'!$C:$C,Vertical_Cash_flow!$B127)</f>
        <v>0</v>
      </c>
      <c r="AC127" s="32">
        <f>SUMIFS('CAPEX payments'!$F:$F,'CAPEX payments'!$N:$N,Vertical_Cash_flow!AA$11,'CAPEX payments'!$E:$E,Vertical_Cash_flow!AC$15,'CAPEX payments'!$A:$A,Vertical_Cash_flow!$E$14,'CAPEX payments'!$C:$C,Vertical_Cash_flow!$B127)</f>
        <v>12000</v>
      </c>
      <c r="AD127" s="32">
        <f>SUMIFS('CAPEX payments'!$F:$F,'CAPEX payments'!$N:$N,Vertical_Cash_flow!AA$11,'CAPEX payments'!$E:$E,Vertical_Cash_flow!AD$15,'CAPEX payments'!$A:$A,Vertical_Cash_flow!$F$14,'CAPEX payments'!$C:$C,Vertical_Cash_flow!$B127)</f>
        <v>0</v>
      </c>
      <c r="AE127" s="200">
        <f t="shared" ref="AE127:AE131" si="359">AA127+AB127+AC127/$C$16+AD127/$F$16</f>
        <v>40000</v>
      </c>
      <c r="AF127" s="200">
        <f t="shared" si="350"/>
        <v>12000</v>
      </c>
      <c r="AG127" s="48">
        <f>SUMIFS('CAPEX payments'!$F:$F,'CAPEX payments'!$N:$N,Vertical_Cash_flow!AG$11,'CAPEX payments'!$E:$E,Vertical_Cash_flow!AG$15,'CAPEX payments'!$A:$A,Vertical_Cash_flow!$C$14,'CAPEX payments'!$C:$C,Vertical_Cash_flow!$B127)</f>
        <v>0</v>
      </c>
      <c r="AH127" s="32">
        <f>SUMIFS('CAPEX payments'!$F:$F,'CAPEX payments'!$N:$N,Vertical_Cash_flow!AG$11,'CAPEX payments'!$E:$E,Vertical_Cash_flow!AH$15,'CAPEX payments'!$A:$A,Vertical_Cash_flow!$D$14,'CAPEX payments'!$C:$C,Vertical_Cash_flow!$B127)</f>
        <v>0</v>
      </c>
      <c r="AI127" s="32">
        <f>SUMIFS('CAPEX payments'!$F:$F,'CAPEX payments'!$N:$N,Vertical_Cash_flow!AG$11,'CAPEX payments'!$E:$E,Vertical_Cash_flow!AI$15,'CAPEX payments'!$A:$A,Vertical_Cash_flow!$E$14,'CAPEX payments'!$C:$C,Vertical_Cash_flow!$B127)</f>
        <v>0</v>
      </c>
      <c r="AJ127" s="32">
        <f>SUMIFS('CAPEX payments'!$F:$F,'CAPEX payments'!$N:$N,Vertical_Cash_flow!AG$11,'CAPEX payments'!$E:$E,Vertical_Cash_flow!AJ$15,'CAPEX payments'!$A:$A,Vertical_Cash_flow!$F$14,'CAPEX payments'!$C:$C,Vertical_Cash_flow!$B127)</f>
        <v>0</v>
      </c>
      <c r="AK127" s="200">
        <f t="shared" ref="AK127:AK131" si="360">AG127+AH127+AI127/$C$16+AJ127/$F$16</f>
        <v>0</v>
      </c>
      <c r="AL127" s="200">
        <f t="shared" si="351"/>
        <v>0</v>
      </c>
      <c r="AM127" s="48">
        <f>SUMIFS('CAPEX payments'!$F:$F,'CAPEX payments'!$N:$N,Vertical_Cash_flow!AM$11,'CAPEX payments'!$E:$E,Vertical_Cash_flow!AM$15,'CAPEX payments'!$A:$A,Vertical_Cash_flow!$C$14,'CAPEX payments'!$C:$C,Vertical_Cash_flow!$B127)</f>
        <v>0</v>
      </c>
      <c r="AN127" s="32">
        <f>SUMIFS('CAPEX payments'!$F:$F,'CAPEX payments'!$N:$N,Vertical_Cash_flow!AM$11,'CAPEX payments'!$E:$E,Vertical_Cash_flow!AN$15,'CAPEX payments'!$A:$A,Vertical_Cash_flow!$D$14,'CAPEX payments'!$C:$C,Vertical_Cash_flow!$B127)</f>
        <v>0</v>
      </c>
      <c r="AO127" s="32">
        <f>SUMIFS('CAPEX payments'!$F:$F,'CAPEX payments'!$N:$N,Vertical_Cash_flow!AM$11,'CAPEX payments'!$E:$E,Vertical_Cash_flow!AO$15,'CAPEX payments'!$A:$A,Vertical_Cash_flow!$E$14,'CAPEX payments'!$C:$C,Vertical_Cash_flow!$B127)</f>
        <v>0</v>
      </c>
      <c r="AP127" s="32">
        <f>SUMIFS('CAPEX payments'!$F:$F,'CAPEX payments'!$N:$N,Vertical_Cash_flow!AM$11,'CAPEX payments'!$E:$E,Vertical_Cash_flow!AP$15,'CAPEX payments'!$A:$A,Vertical_Cash_flow!$F$14,'CAPEX payments'!$C:$C,Vertical_Cash_flow!$B127)</f>
        <v>0</v>
      </c>
      <c r="AQ127" s="200">
        <f t="shared" ref="AQ127:AQ131" si="361">AM127+AN127+AO127/$C$16+AP127/$F$16</f>
        <v>0</v>
      </c>
      <c r="AR127" s="200">
        <f t="shared" si="352"/>
        <v>0</v>
      </c>
      <c r="AS127" s="48">
        <f>SUMIFS('CAPEX payments'!$F:$F,'CAPEX payments'!$N:$N,Vertical_Cash_flow!AS$11,'CAPEX payments'!$E:$E,Vertical_Cash_flow!AS$15,'CAPEX payments'!$A:$A,Vertical_Cash_flow!$C$14,'CAPEX payments'!$C:$C,Vertical_Cash_flow!$B127)</f>
        <v>0</v>
      </c>
      <c r="AT127" s="32">
        <f>SUMIFS('CAPEX payments'!$F:$F,'CAPEX payments'!$N:$N,Vertical_Cash_flow!AS$11,'CAPEX payments'!$E:$E,Vertical_Cash_flow!AT$15,'CAPEX payments'!$A:$A,Vertical_Cash_flow!$D$14,'CAPEX payments'!$C:$C,Vertical_Cash_flow!$B127)</f>
        <v>0</v>
      </c>
      <c r="AU127" s="32">
        <f>SUMIFS('CAPEX payments'!$F:$F,'CAPEX payments'!$N:$N,Vertical_Cash_flow!AS$11,'CAPEX payments'!$E:$E,Vertical_Cash_flow!AU$15,'CAPEX payments'!$A:$A,Vertical_Cash_flow!$E$14,'CAPEX payments'!$C:$C,Vertical_Cash_flow!$B127)</f>
        <v>0</v>
      </c>
      <c r="AV127" s="32">
        <f>SUMIFS('CAPEX payments'!$F:$F,'CAPEX payments'!$N:$N,Vertical_Cash_flow!AS$11,'CAPEX payments'!$E:$E,Vertical_Cash_flow!AV$15,'CAPEX payments'!$A:$A,Vertical_Cash_flow!$F$14,'CAPEX payments'!$C:$C,Vertical_Cash_flow!$B127)</f>
        <v>0</v>
      </c>
      <c r="AW127" s="200">
        <f t="shared" ref="AW127:AW131" si="362">AS127+AT127+AU127/$C$16+AV127/$F$16</f>
        <v>0</v>
      </c>
      <c r="AX127" s="200">
        <f t="shared" si="353"/>
        <v>0</v>
      </c>
      <c r="AZ127" s="200">
        <f t="shared" si="354"/>
        <v>40000</v>
      </c>
    </row>
    <row r="128" spans="1:52" x14ac:dyDescent="0.2">
      <c r="A128" s="655"/>
      <c r="B128" s="184" t="s">
        <v>265</v>
      </c>
      <c r="C128" s="48">
        <f>SUMIFS('CAPEX payments'!$F:$F,'CAPEX payments'!$N:$N,Vertical_Cash_flow!C$11,'CAPEX payments'!$E:$E,Vertical_Cash_flow!C$15,'CAPEX payments'!$A:$A,Vertical_Cash_flow!$C$14,'CAPEX payments'!$C:$C,Vertical_Cash_flow!$B128)</f>
        <v>0</v>
      </c>
      <c r="D128" s="32">
        <f>SUMIFS('CAPEX payments'!$F:$F,'CAPEX payments'!$N:$N,Vertical_Cash_flow!C$11,'CAPEX payments'!$E:$E,Vertical_Cash_flow!D$15,'CAPEX payments'!$A:$A,Vertical_Cash_flow!$D$14,'CAPEX payments'!$C:$C,Vertical_Cash_flow!$B128)</f>
        <v>0</v>
      </c>
      <c r="E128" s="32">
        <f>SUMIFS('CAPEX payments'!$F:$F,'CAPEX payments'!$N:$N,Vertical_Cash_flow!C$11,'CAPEX payments'!$E:$E,Vertical_Cash_flow!E$15,'CAPEX payments'!$A:$A,Vertical_Cash_flow!$E$14,'CAPEX payments'!$C:$C,Vertical_Cash_flow!$B128)</f>
        <v>0</v>
      </c>
      <c r="F128" s="32">
        <f>SUMIFS('CAPEX payments'!$F:$F,'CAPEX payments'!$N:$N,Vertical_Cash_flow!C$11,'CAPEX payments'!$E:$E,Vertical_Cash_flow!F$15,'CAPEX payments'!$A:$A,Vertical_Cash_flow!$F$14,'CAPEX payments'!$C:$C,Vertical_Cash_flow!$B128)</f>
        <v>0</v>
      </c>
      <c r="G128" s="200">
        <f t="shared" si="355"/>
        <v>0</v>
      </c>
      <c r="H128" s="200">
        <f t="shared" si="346"/>
        <v>0</v>
      </c>
      <c r="I128" s="48">
        <f>SUMIFS('CAPEX payments'!$F:$F,'CAPEX payments'!$N:$N,Vertical_Cash_flow!I$11,'CAPEX payments'!$E:$E,Vertical_Cash_flow!I$15,'CAPEX payments'!$A:$A,Vertical_Cash_flow!$C$14,'CAPEX payments'!$C:$C,Vertical_Cash_flow!$B128)</f>
        <v>0</v>
      </c>
      <c r="J128" s="32">
        <f>SUMIFS('CAPEX payments'!$F:$F,'CAPEX payments'!$N:$N,Vertical_Cash_flow!I$11,'CAPEX payments'!$E:$E,Vertical_Cash_flow!J$15,'CAPEX payments'!$A:$A,Vertical_Cash_flow!$D$14,'CAPEX payments'!$C:$C,Vertical_Cash_flow!$B128)</f>
        <v>0</v>
      </c>
      <c r="K128" s="32">
        <f>SUMIFS('CAPEX payments'!$F:$F,'CAPEX payments'!$N:$N,Vertical_Cash_flow!I$11,'CAPEX payments'!$E:$E,Vertical_Cash_flow!K$15,'CAPEX payments'!$A:$A,Vertical_Cash_flow!$E$14,'CAPEX payments'!$C:$C,Vertical_Cash_flow!$B128)</f>
        <v>0</v>
      </c>
      <c r="L128" s="32">
        <f>SUMIFS('CAPEX payments'!$F:$F,'CAPEX payments'!$N:$N,Vertical_Cash_flow!I$11,'CAPEX payments'!$E:$E,Vertical_Cash_flow!L$15,'CAPEX payments'!$A:$A,Vertical_Cash_flow!$F$14,'CAPEX payments'!$C:$C,Vertical_Cash_flow!$B128)</f>
        <v>0</v>
      </c>
      <c r="M128" s="200">
        <f t="shared" si="356"/>
        <v>0</v>
      </c>
      <c r="N128" s="200">
        <f t="shared" si="347"/>
        <v>0</v>
      </c>
      <c r="O128" s="48">
        <f>SUMIFS('CAPEX payments'!$F:$F,'CAPEX payments'!$N:$N,Vertical_Cash_flow!O$11,'CAPEX payments'!$E:$E,Vertical_Cash_flow!O$15,'CAPEX payments'!$A:$A,Vertical_Cash_flow!$C$14,'CAPEX payments'!$C:$C,Vertical_Cash_flow!$B128)</f>
        <v>0</v>
      </c>
      <c r="P128" s="32">
        <f>SUMIFS('CAPEX payments'!$F:$F,'CAPEX payments'!$N:$N,Vertical_Cash_flow!O$11,'CAPEX payments'!$E:$E,Vertical_Cash_flow!P$15,'CAPEX payments'!$A:$A,Vertical_Cash_flow!$D$14,'CAPEX payments'!$C:$C,Vertical_Cash_flow!$B128)</f>
        <v>0</v>
      </c>
      <c r="Q128" s="32">
        <f>SUMIFS('CAPEX payments'!$F:$F,'CAPEX payments'!$N:$N,Vertical_Cash_flow!O$11,'CAPEX payments'!$E:$E,Vertical_Cash_flow!Q$15,'CAPEX payments'!$A:$A,Vertical_Cash_flow!$E$14,'CAPEX payments'!$C:$C,Vertical_Cash_flow!$B128)</f>
        <v>0</v>
      </c>
      <c r="R128" s="32">
        <f>SUMIFS('CAPEX payments'!$F:$F,'CAPEX payments'!$N:$N,Vertical_Cash_flow!O$11,'CAPEX payments'!$E:$E,Vertical_Cash_flow!R$15,'CAPEX payments'!$A:$A,Vertical_Cash_flow!$F$14,'CAPEX payments'!$C:$C,Vertical_Cash_flow!$B128)</f>
        <v>0</v>
      </c>
      <c r="S128" s="200">
        <f t="shared" si="357"/>
        <v>0</v>
      </c>
      <c r="T128" s="200">
        <f t="shared" si="348"/>
        <v>0</v>
      </c>
      <c r="U128" s="48">
        <f>SUMIFS('CAPEX payments'!$F:$F,'CAPEX payments'!$N:$N,Vertical_Cash_flow!U$11,'CAPEX payments'!$E:$E,Vertical_Cash_flow!U$15,'CAPEX payments'!$A:$A,Vertical_Cash_flow!$C$14,'CAPEX payments'!$C:$C,Vertical_Cash_flow!$B128)</f>
        <v>0</v>
      </c>
      <c r="V128" s="32">
        <f>SUMIFS('CAPEX payments'!$F:$F,'CAPEX payments'!$N:$N,Vertical_Cash_flow!U$11,'CAPEX payments'!$E:$E,Vertical_Cash_flow!V$15,'CAPEX payments'!$A:$A,Vertical_Cash_flow!$D$14,'CAPEX payments'!$C:$C,Vertical_Cash_flow!$B128)</f>
        <v>0</v>
      </c>
      <c r="W128" s="32">
        <f>SUMIFS('CAPEX payments'!$F:$F,'CAPEX payments'!$N:$N,Vertical_Cash_flow!U$11,'CAPEX payments'!$E:$E,Vertical_Cash_flow!W$15,'CAPEX payments'!$A:$A,Vertical_Cash_flow!$E$14,'CAPEX payments'!$C:$C,Vertical_Cash_flow!$B128)</f>
        <v>0</v>
      </c>
      <c r="X128" s="32">
        <f>SUMIFS('CAPEX payments'!$F:$F,'CAPEX payments'!$N:$N,Vertical_Cash_flow!U$11,'CAPEX payments'!$E:$E,Vertical_Cash_flow!X$15,'CAPEX payments'!$A:$A,Vertical_Cash_flow!$F$14,'CAPEX payments'!$C:$C,Vertical_Cash_flow!$B128)</f>
        <v>0</v>
      </c>
      <c r="Y128" s="200">
        <f t="shared" si="358"/>
        <v>0</v>
      </c>
      <c r="Z128" s="200">
        <f t="shared" si="349"/>
        <v>0</v>
      </c>
      <c r="AA128" s="48">
        <f>SUMIFS('CAPEX payments'!$F:$F,'CAPEX payments'!$N:$N,Vertical_Cash_flow!AA$11,'CAPEX payments'!$E:$E,Vertical_Cash_flow!AA$15,'CAPEX payments'!$A:$A,Vertical_Cash_flow!$C$14,'CAPEX payments'!$C:$C,Vertical_Cash_flow!$B128)</f>
        <v>0</v>
      </c>
      <c r="AB128" s="32">
        <f>SUMIFS('CAPEX payments'!$F:$F,'CAPEX payments'!$N:$N,Vertical_Cash_flow!AA$11,'CAPEX payments'!$E:$E,Vertical_Cash_flow!AB$15,'CAPEX payments'!$A:$A,Vertical_Cash_flow!$D$14,'CAPEX payments'!$C:$C,Vertical_Cash_flow!$B128)</f>
        <v>0</v>
      </c>
      <c r="AC128" s="32">
        <f>SUMIFS('CAPEX payments'!$F:$F,'CAPEX payments'!$N:$N,Vertical_Cash_flow!AA$11,'CAPEX payments'!$E:$E,Vertical_Cash_flow!AC$15,'CAPEX payments'!$A:$A,Vertical_Cash_flow!$E$14,'CAPEX payments'!$C:$C,Vertical_Cash_flow!$B128)</f>
        <v>0</v>
      </c>
      <c r="AD128" s="32">
        <f>SUMIFS('CAPEX payments'!$F:$F,'CAPEX payments'!$N:$N,Vertical_Cash_flow!AA$11,'CAPEX payments'!$E:$E,Vertical_Cash_flow!AD$15,'CAPEX payments'!$A:$A,Vertical_Cash_flow!$F$14,'CAPEX payments'!$C:$C,Vertical_Cash_flow!$B128)</f>
        <v>0</v>
      </c>
      <c r="AE128" s="200">
        <f t="shared" si="359"/>
        <v>0</v>
      </c>
      <c r="AF128" s="200">
        <f t="shared" si="350"/>
        <v>0</v>
      </c>
      <c r="AG128" s="48">
        <f>SUMIFS('CAPEX payments'!$F:$F,'CAPEX payments'!$N:$N,Vertical_Cash_flow!AG$11,'CAPEX payments'!$E:$E,Vertical_Cash_flow!AG$15,'CAPEX payments'!$A:$A,Vertical_Cash_flow!$C$14,'CAPEX payments'!$C:$C,Vertical_Cash_flow!$B128)</f>
        <v>0</v>
      </c>
      <c r="AH128" s="32">
        <f>SUMIFS('CAPEX payments'!$F:$F,'CAPEX payments'!$N:$N,Vertical_Cash_flow!AG$11,'CAPEX payments'!$E:$E,Vertical_Cash_flow!AH$15,'CAPEX payments'!$A:$A,Vertical_Cash_flow!$D$14,'CAPEX payments'!$C:$C,Vertical_Cash_flow!$B128)</f>
        <v>0</v>
      </c>
      <c r="AI128" s="32">
        <f>SUMIFS('CAPEX payments'!$F:$F,'CAPEX payments'!$N:$N,Vertical_Cash_flow!AG$11,'CAPEX payments'!$E:$E,Vertical_Cash_flow!AI$15,'CAPEX payments'!$A:$A,Vertical_Cash_flow!$E$14,'CAPEX payments'!$C:$C,Vertical_Cash_flow!$B128)</f>
        <v>0</v>
      </c>
      <c r="AJ128" s="32">
        <f>SUMIFS('CAPEX payments'!$F:$F,'CAPEX payments'!$N:$N,Vertical_Cash_flow!AG$11,'CAPEX payments'!$E:$E,Vertical_Cash_flow!AJ$15,'CAPEX payments'!$A:$A,Vertical_Cash_flow!$F$14,'CAPEX payments'!$C:$C,Vertical_Cash_flow!$B128)</f>
        <v>0</v>
      </c>
      <c r="AK128" s="200">
        <f t="shared" si="360"/>
        <v>0</v>
      </c>
      <c r="AL128" s="200">
        <f t="shared" si="351"/>
        <v>0</v>
      </c>
      <c r="AM128" s="48">
        <f>SUMIFS('CAPEX payments'!$F:$F,'CAPEX payments'!$N:$N,Vertical_Cash_flow!AM$11,'CAPEX payments'!$E:$E,Vertical_Cash_flow!AM$15,'CAPEX payments'!$A:$A,Vertical_Cash_flow!$C$14,'CAPEX payments'!$C:$C,Vertical_Cash_flow!$B128)</f>
        <v>0</v>
      </c>
      <c r="AN128" s="32">
        <f>SUMIFS('CAPEX payments'!$F:$F,'CAPEX payments'!$N:$N,Vertical_Cash_flow!AM$11,'CAPEX payments'!$E:$E,Vertical_Cash_flow!AN$15,'CAPEX payments'!$A:$A,Vertical_Cash_flow!$D$14,'CAPEX payments'!$C:$C,Vertical_Cash_flow!$B128)</f>
        <v>0</v>
      </c>
      <c r="AO128" s="32">
        <f>SUMIFS('CAPEX payments'!$F:$F,'CAPEX payments'!$N:$N,Vertical_Cash_flow!AM$11,'CAPEX payments'!$E:$E,Vertical_Cash_flow!AO$15,'CAPEX payments'!$A:$A,Vertical_Cash_flow!$E$14,'CAPEX payments'!$C:$C,Vertical_Cash_flow!$B128)</f>
        <v>0</v>
      </c>
      <c r="AP128" s="32">
        <f>SUMIFS('CAPEX payments'!$F:$F,'CAPEX payments'!$N:$N,Vertical_Cash_flow!AM$11,'CAPEX payments'!$E:$E,Vertical_Cash_flow!AP$15,'CAPEX payments'!$A:$A,Vertical_Cash_flow!$F$14,'CAPEX payments'!$C:$C,Vertical_Cash_flow!$B128)</f>
        <v>0</v>
      </c>
      <c r="AQ128" s="200">
        <f t="shared" si="361"/>
        <v>0</v>
      </c>
      <c r="AR128" s="200">
        <f t="shared" si="352"/>
        <v>0</v>
      </c>
      <c r="AS128" s="48">
        <f>SUMIFS('CAPEX payments'!$F:$F,'CAPEX payments'!$N:$N,Vertical_Cash_flow!AS$11,'CAPEX payments'!$E:$E,Vertical_Cash_flow!AS$15,'CAPEX payments'!$A:$A,Vertical_Cash_flow!$C$14,'CAPEX payments'!$C:$C,Vertical_Cash_flow!$B128)</f>
        <v>0</v>
      </c>
      <c r="AT128" s="32">
        <f>SUMIFS('CAPEX payments'!$F:$F,'CAPEX payments'!$N:$N,Vertical_Cash_flow!AS$11,'CAPEX payments'!$E:$E,Vertical_Cash_flow!AT$15,'CAPEX payments'!$A:$A,Vertical_Cash_flow!$D$14,'CAPEX payments'!$C:$C,Vertical_Cash_flow!$B128)</f>
        <v>0</v>
      </c>
      <c r="AU128" s="32">
        <f>SUMIFS('CAPEX payments'!$F:$F,'CAPEX payments'!$N:$N,Vertical_Cash_flow!AS$11,'CAPEX payments'!$E:$E,Vertical_Cash_flow!AU$15,'CAPEX payments'!$A:$A,Vertical_Cash_flow!$E$14,'CAPEX payments'!$C:$C,Vertical_Cash_flow!$B128)</f>
        <v>0</v>
      </c>
      <c r="AV128" s="32">
        <f>SUMIFS('CAPEX payments'!$F:$F,'CAPEX payments'!$N:$N,Vertical_Cash_flow!AS$11,'CAPEX payments'!$E:$E,Vertical_Cash_flow!AV$15,'CAPEX payments'!$A:$A,Vertical_Cash_flow!$F$14,'CAPEX payments'!$C:$C,Vertical_Cash_flow!$B128)</f>
        <v>0</v>
      </c>
      <c r="AW128" s="200">
        <f t="shared" si="362"/>
        <v>0</v>
      </c>
      <c r="AX128" s="200">
        <f t="shared" si="353"/>
        <v>0</v>
      </c>
      <c r="AZ128" s="200">
        <f t="shared" si="354"/>
        <v>0</v>
      </c>
    </row>
    <row r="129" spans="1:52" x14ac:dyDescent="0.2">
      <c r="A129" s="655"/>
      <c r="B129" s="184" t="s">
        <v>233</v>
      </c>
      <c r="C129" s="48">
        <f>SUMIFS('CAPEX payments'!$F:$F,'CAPEX payments'!$N:$N,Vertical_Cash_flow!C$11,'CAPEX payments'!$E:$E,Vertical_Cash_flow!C$15,'CAPEX payments'!$A:$A,Vertical_Cash_flow!$C$14,'CAPEX payments'!$C:$C,Vertical_Cash_flow!$B129)</f>
        <v>0</v>
      </c>
      <c r="D129" s="32">
        <f>SUMIFS('CAPEX payments'!$F:$F,'CAPEX payments'!$N:$N,Vertical_Cash_flow!C$11,'CAPEX payments'!$E:$E,Vertical_Cash_flow!D$15,'CAPEX payments'!$A:$A,Vertical_Cash_flow!$D$14,'CAPEX payments'!$C:$C,Vertical_Cash_flow!$B129)</f>
        <v>0</v>
      </c>
      <c r="E129" s="32">
        <f>SUMIFS('CAPEX payments'!$F:$F,'CAPEX payments'!$N:$N,Vertical_Cash_flow!C$11,'CAPEX payments'!$E:$E,Vertical_Cash_flow!E$15,'CAPEX payments'!$A:$A,Vertical_Cash_flow!$E$14,'CAPEX payments'!$C:$C,Vertical_Cash_flow!$B129)</f>
        <v>0</v>
      </c>
      <c r="F129" s="32">
        <f>SUMIFS('CAPEX payments'!$F:$F,'CAPEX payments'!$N:$N,Vertical_Cash_flow!C$11,'CAPEX payments'!$E:$E,Vertical_Cash_flow!F$15,'CAPEX payments'!$A:$A,Vertical_Cash_flow!$F$14,'CAPEX payments'!$C:$C,Vertical_Cash_flow!$B129)</f>
        <v>0</v>
      </c>
      <c r="G129" s="200">
        <f t="shared" si="355"/>
        <v>0</v>
      </c>
      <c r="H129" s="200">
        <f t="shared" si="346"/>
        <v>0</v>
      </c>
      <c r="I129" s="48">
        <f>SUMIFS('CAPEX payments'!$F:$F,'CAPEX payments'!$N:$N,Vertical_Cash_flow!I$11,'CAPEX payments'!$E:$E,Vertical_Cash_flow!I$15,'CAPEX payments'!$A:$A,Vertical_Cash_flow!$C$14,'CAPEX payments'!$C:$C,Vertical_Cash_flow!$B129)</f>
        <v>0</v>
      </c>
      <c r="J129" s="32">
        <f>SUMIFS('CAPEX payments'!$F:$F,'CAPEX payments'!$N:$N,Vertical_Cash_flow!I$11,'CAPEX payments'!$E:$E,Vertical_Cash_flow!J$15,'CAPEX payments'!$A:$A,Vertical_Cash_flow!$D$14,'CAPEX payments'!$C:$C,Vertical_Cash_flow!$B129)</f>
        <v>0</v>
      </c>
      <c r="K129" s="32">
        <f>SUMIFS('CAPEX payments'!$F:$F,'CAPEX payments'!$N:$N,Vertical_Cash_flow!I$11,'CAPEX payments'!$E:$E,Vertical_Cash_flow!K$15,'CAPEX payments'!$A:$A,Vertical_Cash_flow!$E$14,'CAPEX payments'!$C:$C,Vertical_Cash_flow!$B129)</f>
        <v>0</v>
      </c>
      <c r="L129" s="32">
        <f>SUMIFS('CAPEX payments'!$F:$F,'CAPEX payments'!$N:$N,Vertical_Cash_flow!I$11,'CAPEX payments'!$E:$E,Vertical_Cash_flow!L$15,'CAPEX payments'!$A:$A,Vertical_Cash_flow!$F$14,'CAPEX payments'!$C:$C,Vertical_Cash_flow!$B129)</f>
        <v>0</v>
      </c>
      <c r="M129" s="200">
        <f t="shared" si="356"/>
        <v>0</v>
      </c>
      <c r="N129" s="200">
        <f t="shared" si="347"/>
        <v>0</v>
      </c>
      <c r="O129" s="48">
        <f>SUMIFS('CAPEX payments'!$F:$F,'CAPEX payments'!$N:$N,Vertical_Cash_flow!O$11,'CAPEX payments'!$E:$E,Vertical_Cash_flow!O$15,'CAPEX payments'!$A:$A,Vertical_Cash_flow!$C$14,'CAPEX payments'!$C:$C,Vertical_Cash_flow!$B129)</f>
        <v>0</v>
      </c>
      <c r="P129" s="32">
        <f>SUMIFS('CAPEX payments'!$F:$F,'CAPEX payments'!$N:$N,Vertical_Cash_flow!O$11,'CAPEX payments'!$E:$E,Vertical_Cash_flow!P$15,'CAPEX payments'!$A:$A,Vertical_Cash_flow!$D$14,'CAPEX payments'!$C:$C,Vertical_Cash_flow!$B129)</f>
        <v>0</v>
      </c>
      <c r="Q129" s="32">
        <f>SUMIFS('CAPEX payments'!$F:$F,'CAPEX payments'!$N:$N,Vertical_Cash_flow!O$11,'CAPEX payments'!$E:$E,Vertical_Cash_flow!Q$15,'CAPEX payments'!$A:$A,Vertical_Cash_flow!$E$14,'CAPEX payments'!$C:$C,Vertical_Cash_flow!$B129)</f>
        <v>0</v>
      </c>
      <c r="R129" s="32">
        <f>SUMIFS('CAPEX payments'!$F:$F,'CAPEX payments'!$N:$N,Vertical_Cash_flow!O$11,'CAPEX payments'!$E:$E,Vertical_Cash_flow!R$15,'CAPEX payments'!$A:$A,Vertical_Cash_flow!$F$14,'CAPEX payments'!$C:$C,Vertical_Cash_flow!$B129)</f>
        <v>0</v>
      </c>
      <c r="S129" s="200">
        <f t="shared" si="357"/>
        <v>0</v>
      </c>
      <c r="T129" s="200">
        <f t="shared" si="348"/>
        <v>0</v>
      </c>
      <c r="U129" s="48">
        <f>SUMIFS('CAPEX payments'!$F:$F,'CAPEX payments'!$N:$N,Vertical_Cash_flow!U$11,'CAPEX payments'!$E:$E,Vertical_Cash_flow!U$15,'CAPEX payments'!$A:$A,Vertical_Cash_flow!$C$14,'CAPEX payments'!$C:$C,Vertical_Cash_flow!$B129)</f>
        <v>0</v>
      </c>
      <c r="V129" s="32">
        <f>SUMIFS('CAPEX payments'!$F:$F,'CAPEX payments'!$N:$N,Vertical_Cash_flow!U$11,'CAPEX payments'!$E:$E,Vertical_Cash_flow!V$15,'CAPEX payments'!$A:$A,Vertical_Cash_flow!$D$14,'CAPEX payments'!$C:$C,Vertical_Cash_flow!$B129)</f>
        <v>0</v>
      </c>
      <c r="W129" s="32">
        <f>SUMIFS('CAPEX payments'!$F:$F,'CAPEX payments'!$N:$N,Vertical_Cash_flow!U$11,'CAPEX payments'!$E:$E,Vertical_Cash_flow!W$15,'CAPEX payments'!$A:$A,Vertical_Cash_flow!$E$14,'CAPEX payments'!$C:$C,Vertical_Cash_flow!$B129)</f>
        <v>0</v>
      </c>
      <c r="X129" s="32">
        <f>SUMIFS('CAPEX payments'!$F:$F,'CAPEX payments'!$N:$N,Vertical_Cash_flow!U$11,'CAPEX payments'!$E:$E,Vertical_Cash_flow!X$15,'CAPEX payments'!$A:$A,Vertical_Cash_flow!$F$14,'CAPEX payments'!$C:$C,Vertical_Cash_flow!$B129)</f>
        <v>0</v>
      </c>
      <c r="Y129" s="200">
        <f t="shared" si="358"/>
        <v>0</v>
      </c>
      <c r="Z129" s="200">
        <f t="shared" si="349"/>
        <v>0</v>
      </c>
      <c r="AA129" s="48">
        <f>SUMIFS('CAPEX payments'!$F:$F,'CAPEX payments'!$N:$N,Vertical_Cash_flow!AA$11,'CAPEX payments'!$E:$E,Vertical_Cash_flow!AA$15,'CAPEX payments'!$A:$A,Vertical_Cash_flow!$C$14,'CAPEX payments'!$C:$C,Vertical_Cash_flow!$B129)</f>
        <v>0</v>
      </c>
      <c r="AB129" s="32">
        <f>SUMIFS('CAPEX payments'!$F:$F,'CAPEX payments'!$N:$N,Vertical_Cash_flow!AA$11,'CAPEX payments'!$E:$E,Vertical_Cash_flow!AB$15,'CAPEX payments'!$A:$A,Vertical_Cash_flow!$D$14,'CAPEX payments'!$C:$C,Vertical_Cash_flow!$B129)</f>
        <v>0</v>
      </c>
      <c r="AC129" s="32">
        <f>SUMIFS('CAPEX payments'!$F:$F,'CAPEX payments'!$N:$N,Vertical_Cash_flow!AA$11,'CAPEX payments'!$E:$E,Vertical_Cash_flow!AC$15,'CAPEX payments'!$A:$A,Vertical_Cash_flow!$E$14,'CAPEX payments'!$C:$C,Vertical_Cash_flow!$B129)</f>
        <v>0</v>
      </c>
      <c r="AD129" s="32">
        <f>SUMIFS('CAPEX payments'!$F:$F,'CAPEX payments'!$N:$N,Vertical_Cash_flow!AA$11,'CAPEX payments'!$E:$E,Vertical_Cash_flow!AD$15,'CAPEX payments'!$A:$A,Vertical_Cash_flow!$F$14,'CAPEX payments'!$C:$C,Vertical_Cash_flow!$B129)</f>
        <v>0</v>
      </c>
      <c r="AE129" s="200">
        <f t="shared" si="359"/>
        <v>0</v>
      </c>
      <c r="AF129" s="200">
        <f t="shared" si="350"/>
        <v>0</v>
      </c>
      <c r="AG129" s="48">
        <f>SUMIFS('CAPEX payments'!$F:$F,'CAPEX payments'!$N:$N,Vertical_Cash_flow!AG$11,'CAPEX payments'!$E:$E,Vertical_Cash_flow!AG$15,'CAPEX payments'!$A:$A,Vertical_Cash_flow!$C$14,'CAPEX payments'!$C:$C,Vertical_Cash_flow!$B129)</f>
        <v>0</v>
      </c>
      <c r="AH129" s="32">
        <f>SUMIFS('CAPEX payments'!$F:$F,'CAPEX payments'!$N:$N,Vertical_Cash_flow!AG$11,'CAPEX payments'!$E:$E,Vertical_Cash_flow!AH$15,'CAPEX payments'!$A:$A,Vertical_Cash_flow!$D$14,'CAPEX payments'!$C:$C,Vertical_Cash_flow!$B129)</f>
        <v>0</v>
      </c>
      <c r="AI129" s="32">
        <f>SUMIFS('CAPEX payments'!$F:$F,'CAPEX payments'!$N:$N,Vertical_Cash_flow!AG$11,'CAPEX payments'!$E:$E,Vertical_Cash_flow!AI$15,'CAPEX payments'!$A:$A,Vertical_Cash_flow!$E$14,'CAPEX payments'!$C:$C,Vertical_Cash_flow!$B129)</f>
        <v>0</v>
      </c>
      <c r="AJ129" s="32">
        <f>SUMIFS('CAPEX payments'!$F:$F,'CAPEX payments'!$N:$N,Vertical_Cash_flow!AG$11,'CAPEX payments'!$E:$E,Vertical_Cash_flow!AJ$15,'CAPEX payments'!$A:$A,Vertical_Cash_flow!$F$14,'CAPEX payments'!$C:$C,Vertical_Cash_flow!$B129)</f>
        <v>0</v>
      </c>
      <c r="AK129" s="200">
        <f t="shared" si="360"/>
        <v>0</v>
      </c>
      <c r="AL129" s="200">
        <f t="shared" si="351"/>
        <v>0</v>
      </c>
      <c r="AM129" s="48">
        <f>SUMIFS('CAPEX payments'!$F:$F,'CAPEX payments'!$N:$N,Vertical_Cash_flow!AM$11,'CAPEX payments'!$E:$E,Vertical_Cash_flow!AM$15,'CAPEX payments'!$A:$A,Vertical_Cash_flow!$C$14,'CAPEX payments'!$C:$C,Vertical_Cash_flow!$B129)</f>
        <v>0</v>
      </c>
      <c r="AN129" s="32">
        <f>SUMIFS('CAPEX payments'!$F:$F,'CAPEX payments'!$N:$N,Vertical_Cash_flow!AM$11,'CAPEX payments'!$E:$E,Vertical_Cash_flow!AN$15,'CAPEX payments'!$A:$A,Vertical_Cash_flow!$D$14,'CAPEX payments'!$C:$C,Vertical_Cash_flow!$B129)</f>
        <v>0</v>
      </c>
      <c r="AO129" s="32">
        <f>SUMIFS('CAPEX payments'!$F:$F,'CAPEX payments'!$N:$N,Vertical_Cash_flow!AM$11,'CAPEX payments'!$E:$E,Vertical_Cash_flow!AO$15,'CAPEX payments'!$A:$A,Vertical_Cash_flow!$E$14,'CAPEX payments'!$C:$C,Vertical_Cash_flow!$B129)</f>
        <v>0</v>
      </c>
      <c r="AP129" s="32">
        <f>SUMIFS('CAPEX payments'!$F:$F,'CAPEX payments'!$N:$N,Vertical_Cash_flow!AM$11,'CAPEX payments'!$E:$E,Vertical_Cash_flow!AP$15,'CAPEX payments'!$A:$A,Vertical_Cash_flow!$F$14,'CAPEX payments'!$C:$C,Vertical_Cash_flow!$B129)</f>
        <v>0</v>
      </c>
      <c r="AQ129" s="200">
        <f t="shared" si="361"/>
        <v>0</v>
      </c>
      <c r="AR129" s="200">
        <f t="shared" si="352"/>
        <v>0</v>
      </c>
      <c r="AS129" s="48">
        <f>SUMIFS('CAPEX payments'!$F:$F,'CAPEX payments'!$N:$N,Vertical_Cash_flow!AS$11,'CAPEX payments'!$E:$E,Vertical_Cash_flow!AS$15,'CAPEX payments'!$A:$A,Vertical_Cash_flow!$C$14,'CAPEX payments'!$C:$C,Vertical_Cash_flow!$B129)</f>
        <v>0</v>
      </c>
      <c r="AT129" s="32">
        <f>SUMIFS('CAPEX payments'!$F:$F,'CAPEX payments'!$N:$N,Vertical_Cash_flow!AS$11,'CAPEX payments'!$E:$E,Vertical_Cash_flow!AT$15,'CAPEX payments'!$A:$A,Vertical_Cash_flow!$D$14,'CAPEX payments'!$C:$C,Vertical_Cash_flow!$B129)</f>
        <v>0</v>
      </c>
      <c r="AU129" s="32">
        <f>SUMIFS('CAPEX payments'!$F:$F,'CAPEX payments'!$N:$N,Vertical_Cash_flow!AS$11,'CAPEX payments'!$E:$E,Vertical_Cash_flow!AU$15,'CAPEX payments'!$A:$A,Vertical_Cash_flow!$E$14,'CAPEX payments'!$C:$C,Vertical_Cash_flow!$B129)</f>
        <v>0</v>
      </c>
      <c r="AV129" s="32">
        <f>SUMIFS('CAPEX payments'!$F:$F,'CAPEX payments'!$N:$N,Vertical_Cash_flow!AS$11,'CAPEX payments'!$E:$E,Vertical_Cash_flow!AV$15,'CAPEX payments'!$A:$A,Vertical_Cash_flow!$F$14,'CAPEX payments'!$C:$C,Vertical_Cash_flow!$B129)</f>
        <v>0</v>
      </c>
      <c r="AW129" s="200">
        <f t="shared" si="362"/>
        <v>0</v>
      </c>
      <c r="AX129" s="200">
        <f t="shared" si="353"/>
        <v>0</v>
      </c>
      <c r="AZ129" s="200">
        <f t="shared" si="354"/>
        <v>0</v>
      </c>
    </row>
    <row r="130" spans="1:52" x14ac:dyDescent="0.2">
      <c r="A130" s="655"/>
      <c r="B130" s="184" t="s">
        <v>234</v>
      </c>
      <c r="C130" s="48">
        <f>SUMIFS('CAPEX payments'!$F:$F,'CAPEX payments'!$N:$N,Vertical_Cash_flow!C$11,'CAPEX payments'!$E:$E,Vertical_Cash_flow!C$15,'CAPEX payments'!$A:$A,Vertical_Cash_flow!$C$14,'CAPEX payments'!$C:$C,Vertical_Cash_flow!$B130)</f>
        <v>0</v>
      </c>
      <c r="D130" s="32">
        <f>SUMIFS('CAPEX payments'!$F:$F,'CAPEX payments'!$N:$N,Vertical_Cash_flow!C$11,'CAPEX payments'!$E:$E,Vertical_Cash_flow!D$15,'CAPEX payments'!$A:$A,Vertical_Cash_flow!$D$14,'CAPEX payments'!$C:$C,Vertical_Cash_flow!$B130)</f>
        <v>0</v>
      </c>
      <c r="E130" s="32">
        <f>SUMIFS('CAPEX payments'!$F:$F,'CAPEX payments'!$N:$N,Vertical_Cash_flow!C$11,'CAPEX payments'!$E:$E,Vertical_Cash_flow!E$15,'CAPEX payments'!$A:$A,Vertical_Cash_flow!$E$14,'CAPEX payments'!$C:$C,Vertical_Cash_flow!$B130)</f>
        <v>0</v>
      </c>
      <c r="F130" s="32">
        <f>SUMIFS('CAPEX payments'!$F:$F,'CAPEX payments'!$N:$N,Vertical_Cash_flow!C$11,'CAPEX payments'!$E:$E,Vertical_Cash_flow!F$15,'CAPEX payments'!$A:$A,Vertical_Cash_flow!$F$14,'CAPEX payments'!$C:$C,Vertical_Cash_flow!$B130)</f>
        <v>0</v>
      </c>
      <c r="G130" s="200">
        <f t="shared" si="355"/>
        <v>0</v>
      </c>
      <c r="H130" s="200">
        <f t="shared" si="346"/>
        <v>0</v>
      </c>
      <c r="I130" s="48">
        <f>SUMIFS('CAPEX payments'!$F:$F,'CAPEX payments'!$N:$N,Vertical_Cash_flow!I$11,'CAPEX payments'!$E:$E,Vertical_Cash_flow!I$15,'CAPEX payments'!$A:$A,Vertical_Cash_flow!$C$14,'CAPEX payments'!$C:$C,Vertical_Cash_flow!$B130)</f>
        <v>0</v>
      </c>
      <c r="J130" s="32">
        <f>SUMIFS('CAPEX payments'!$F:$F,'CAPEX payments'!$N:$N,Vertical_Cash_flow!I$11,'CAPEX payments'!$E:$E,Vertical_Cash_flow!J$15,'CAPEX payments'!$A:$A,Vertical_Cash_flow!$D$14,'CAPEX payments'!$C:$C,Vertical_Cash_flow!$B130)</f>
        <v>0</v>
      </c>
      <c r="K130" s="32">
        <f>SUMIFS('CAPEX payments'!$F:$F,'CAPEX payments'!$N:$N,Vertical_Cash_flow!I$11,'CAPEX payments'!$E:$E,Vertical_Cash_flow!K$15,'CAPEX payments'!$A:$A,Vertical_Cash_flow!$E$14,'CAPEX payments'!$C:$C,Vertical_Cash_flow!$B130)</f>
        <v>0</v>
      </c>
      <c r="L130" s="32">
        <f>SUMIFS('CAPEX payments'!$F:$F,'CAPEX payments'!$N:$N,Vertical_Cash_flow!I$11,'CAPEX payments'!$E:$E,Vertical_Cash_flow!L$15,'CAPEX payments'!$A:$A,Vertical_Cash_flow!$F$14,'CAPEX payments'!$C:$C,Vertical_Cash_flow!$B130)</f>
        <v>0</v>
      </c>
      <c r="M130" s="200">
        <f t="shared" si="356"/>
        <v>0</v>
      </c>
      <c r="N130" s="200">
        <f t="shared" si="347"/>
        <v>0</v>
      </c>
      <c r="O130" s="48">
        <f>SUMIFS('CAPEX payments'!$F:$F,'CAPEX payments'!$N:$N,Vertical_Cash_flow!O$11,'CAPEX payments'!$E:$E,Vertical_Cash_flow!O$15,'CAPEX payments'!$A:$A,Vertical_Cash_flow!$C$14,'CAPEX payments'!$C:$C,Vertical_Cash_flow!$B130)</f>
        <v>0</v>
      </c>
      <c r="P130" s="32">
        <f>SUMIFS('CAPEX payments'!$F:$F,'CAPEX payments'!$N:$N,Vertical_Cash_flow!O$11,'CAPEX payments'!$E:$E,Vertical_Cash_flow!P$15,'CAPEX payments'!$A:$A,Vertical_Cash_flow!$D$14,'CAPEX payments'!$C:$C,Vertical_Cash_flow!$B130)</f>
        <v>0</v>
      </c>
      <c r="Q130" s="32">
        <f>SUMIFS('CAPEX payments'!$F:$F,'CAPEX payments'!$N:$N,Vertical_Cash_flow!O$11,'CAPEX payments'!$E:$E,Vertical_Cash_flow!Q$15,'CAPEX payments'!$A:$A,Vertical_Cash_flow!$E$14,'CAPEX payments'!$C:$C,Vertical_Cash_flow!$B130)</f>
        <v>0</v>
      </c>
      <c r="R130" s="32">
        <f>SUMIFS('CAPEX payments'!$F:$F,'CAPEX payments'!$N:$N,Vertical_Cash_flow!O$11,'CAPEX payments'!$E:$E,Vertical_Cash_flow!R$15,'CAPEX payments'!$A:$A,Vertical_Cash_flow!$F$14,'CAPEX payments'!$C:$C,Vertical_Cash_flow!$B130)</f>
        <v>0</v>
      </c>
      <c r="S130" s="200">
        <f t="shared" si="357"/>
        <v>0</v>
      </c>
      <c r="T130" s="200">
        <f t="shared" si="348"/>
        <v>0</v>
      </c>
      <c r="U130" s="48">
        <f>SUMIFS('CAPEX payments'!$F:$F,'CAPEX payments'!$N:$N,Vertical_Cash_flow!U$11,'CAPEX payments'!$E:$E,Vertical_Cash_flow!U$15,'CAPEX payments'!$A:$A,Vertical_Cash_flow!$C$14,'CAPEX payments'!$C:$C,Vertical_Cash_flow!$B130)</f>
        <v>0</v>
      </c>
      <c r="V130" s="32">
        <f>SUMIFS('CAPEX payments'!$F:$F,'CAPEX payments'!$N:$N,Vertical_Cash_flow!U$11,'CAPEX payments'!$E:$E,Vertical_Cash_flow!V$15,'CAPEX payments'!$A:$A,Vertical_Cash_flow!$D$14,'CAPEX payments'!$C:$C,Vertical_Cash_flow!$B130)</f>
        <v>0</v>
      </c>
      <c r="W130" s="32">
        <f>SUMIFS('CAPEX payments'!$F:$F,'CAPEX payments'!$N:$N,Vertical_Cash_flow!U$11,'CAPEX payments'!$E:$E,Vertical_Cash_flow!W$15,'CAPEX payments'!$A:$A,Vertical_Cash_flow!$E$14,'CAPEX payments'!$C:$C,Vertical_Cash_flow!$B130)</f>
        <v>0</v>
      </c>
      <c r="X130" s="32">
        <f>SUMIFS('CAPEX payments'!$F:$F,'CAPEX payments'!$N:$N,Vertical_Cash_flow!U$11,'CAPEX payments'!$E:$E,Vertical_Cash_flow!X$15,'CAPEX payments'!$A:$A,Vertical_Cash_flow!$F$14,'CAPEX payments'!$C:$C,Vertical_Cash_flow!$B130)</f>
        <v>0</v>
      </c>
      <c r="Y130" s="200">
        <f t="shared" si="358"/>
        <v>0</v>
      </c>
      <c r="Z130" s="200">
        <f t="shared" si="349"/>
        <v>0</v>
      </c>
      <c r="AA130" s="48">
        <f>SUMIFS('CAPEX payments'!$F:$F,'CAPEX payments'!$N:$N,Vertical_Cash_flow!AA$11,'CAPEX payments'!$E:$E,Vertical_Cash_flow!AA$15,'CAPEX payments'!$A:$A,Vertical_Cash_flow!$C$14,'CAPEX payments'!$C:$C,Vertical_Cash_flow!$B130)</f>
        <v>0</v>
      </c>
      <c r="AB130" s="32">
        <f>SUMIFS('CAPEX payments'!$F:$F,'CAPEX payments'!$N:$N,Vertical_Cash_flow!AA$11,'CAPEX payments'!$E:$E,Vertical_Cash_flow!AB$15,'CAPEX payments'!$A:$A,Vertical_Cash_flow!$D$14,'CAPEX payments'!$C:$C,Vertical_Cash_flow!$B130)</f>
        <v>0</v>
      </c>
      <c r="AC130" s="32">
        <f>SUMIFS('CAPEX payments'!$F:$F,'CAPEX payments'!$N:$N,Vertical_Cash_flow!AA$11,'CAPEX payments'!$E:$E,Vertical_Cash_flow!AC$15,'CAPEX payments'!$A:$A,Vertical_Cash_flow!$E$14,'CAPEX payments'!$C:$C,Vertical_Cash_flow!$B130)</f>
        <v>0</v>
      </c>
      <c r="AD130" s="32">
        <f>SUMIFS('CAPEX payments'!$F:$F,'CAPEX payments'!$N:$N,Vertical_Cash_flow!AA$11,'CAPEX payments'!$E:$E,Vertical_Cash_flow!AD$15,'CAPEX payments'!$A:$A,Vertical_Cash_flow!$F$14,'CAPEX payments'!$C:$C,Vertical_Cash_flow!$B130)</f>
        <v>0</v>
      </c>
      <c r="AE130" s="200">
        <f t="shared" si="359"/>
        <v>0</v>
      </c>
      <c r="AF130" s="200">
        <f t="shared" si="350"/>
        <v>0</v>
      </c>
      <c r="AG130" s="48">
        <f>SUMIFS('CAPEX payments'!$F:$F,'CAPEX payments'!$N:$N,Vertical_Cash_flow!AG$11,'CAPEX payments'!$E:$E,Vertical_Cash_flow!AG$15,'CAPEX payments'!$A:$A,Vertical_Cash_flow!$C$14,'CAPEX payments'!$C:$C,Vertical_Cash_flow!$B130)</f>
        <v>0</v>
      </c>
      <c r="AH130" s="32">
        <f>SUMIFS('CAPEX payments'!$F:$F,'CAPEX payments'!$N:$N,Vertical_Cash_flow!AG$11,'CAPEX payments'!$E:$E,Vertical_Cash_flow!AH$15,'CAPEX payments'!$A:$A,Vertical_Cash_flow!$D$14,'CAPEX payments'!$C:$C,Vertical_Cash_flow!$B130)</f>
        <v>0</v>
      </c>
      <c r="AI130" s="32">
        <f>SUMIFS('CAPEX payments'!$F:$F,'CAPEX payments'!$N:$N,Vertical_Cash_flow!AG$11,'CAPEX payments'!$E:$E,Vertical_Cash_flow!AI$15,'CAPEX payments'!$A:$A,Vertical_Cash_flow!$E$14,'CAPEX payments'!$C:$C,Vertical_Cash_flow!$B130)</f>
        <v>0</v>
      </c>
      <c r="AJ130" s="32">
        <f>SUMIFS('CAPEX payments'!$F:$F,'CAPEX payments'!$N:$N,Vertical_Cash_flow!AG$11,'CAPEX payments'!$E:$E,Vertical_Cash_flow!AJ$15,'CAPEX payments'!$A:$A,Vertical_Cash_flow!$F$14,'CAPEX payments'!$C:$C,Vertical_Cash_flow!$B130)</f>
        <v>0</v>
      </c>
      <c r="AK130" s="200">
        <f t="shared" si="360"/>
        <v>0</v>
      </c>
      <c r="AL130" s="200">
        <f t="shared" si="351"/>
        <v>0</v>
      </c>
      <c r="AM130" s="48">
        <f>SUMIFS('CAPEX payments'!$F:$F,'CAPEX payments'!$N:$N,Vertical_Cash_flow!AM$11,'CAPEX payments'!$E:$E,Vertical_Cash_flow!AM$15,'CAPEX payments'!$A:$A,Vertical_Cash_flow!$C$14,'CAPEX payments'!$C:$C,Vertical_Cash_flow!$B130)</f>
        <v>0</v>
      </c>
      <c r="AN130" s="32">
        <f>SUMIFS('CAPEX payments'!$F:$F,'CAPEX payments'!$N:$N,Vertical_Cash_flow!AM$11,'CAPEX payments'!$E:$E,Vertical_Cash_flow!AN$15,'CAPEX payments'!$A:$A,Vertical_Cash_flow!$D$14,'CAPEX payments'!$C:$C,Vertical_Cash_flow!$B130)</f>
        <v>0</v>
      </c>
      <c r="AO130" s="32">
        <f>SUMIFS('CAPEX payments'!$F:$F,'CAPEX payments'!$N:$N,Vertical_Cash_flow!AM$11,'CAPEX payments'!$E:$E,Vertical_Cash_flow!AO$15,'CAPEX payments'!$A:$A,Vertical_Cash_flow!$E$14,'CAPEX payments'!$C:$C,Vertical_Cash_flow!$B130)</f>
        <v>0</v>
      </c>
      <c r="AP130" s="32">
        <f>SUMIFS('CAPEX payments'!$F:$F,'CAPEX payments'!$N:$N,Vertical_Cash_flow!AM$11,'CAPEX payments'!$E:$E,Vertical_Cash_flow!AP$15,'CAPEX payments'!$A:$A,Vertical_Cash_flow!$F$14,'CAPEX payments'!$C:$C,Vertical_Cash_flow!$B130)</f>
        <v>0</v>
      </c>
      <c r="AQ130" s="200">
        <f t="shared" si="361"/>
        <v>0</v>
      </c>
      <c r="AR130" s="200">
        <f t="shared" si="352"/>
        <v>0</v>
      </c>
      <c r="AS130" s="48">
        <f>SUMIFS('CAPEX payments'!$F:$F,'CAPEX payments'!$N:$N,Vertical_Cash_flow!AS$11,'CAPEX payments'!$E:$E,Vertical_Cash_flow!AS$15,'CAPEX payments'!$A:$A,Vertical_Cash_flow!$C$14,'CAPEX payments'!$C:$C,Vertical_Cash_flow!$B130)</f>
        <v>0</v>
      </c>
      <c r="AT130" s="32">
        <f>SUMIFS('CAPEX payments'!$F:$F,'CAPEX payments'!$N:$N,Vertical_Cash_flow!AS$11,'CAPEX payments'!$E:$E,Vertical_Cash_flow!AT$15,'CAPEX payments'!$A:$A,Vertical_Cash_flow!$D$14,'CAPEX payments'!$C:$C,Vertical_Cash_flow!$B130)</f>
        <v>0</v>
      </c>
      <c r="AU130" s="32">
        <f>SUMIFS('CAPEX payments'!$F:$F,'CAPEX payments'!$N:$N,Vertical_Cash_flow!AS$11,'CAPEX payments'!$E:$E,Vertical_Cash_flow!AU$15,'CAPEX payments'!$A:$A,Vertical_Cash_flow!$E$14,'CAPEX payments'!$C:$C,Vertical_Cash_flow!$B130)</f>
        <v>0</v>
      </c>
      <c r="AV130" s="32">
        <f>SUMIFS('CAPEX payments'!$F:$F,'CAPEX payments'!$N:$N,Vertical_Cash_flow!AS$11,'CAPEX payments'!$E:$E,Vertical_Cash_flow!AV$15,'CAPEX payments'!$A:$A,Vertical_Cash_flow!$F$14,'CAPEX payments'!$C:$C,Vertical_Cash_flow!$B130)</f>
        <v>0</v>
      </c>
      <c r="AW130" s="200">
        <f t="shared" si="362"/>
        <v>0</v>
      </c>
      <c r="AX130" s="200">
        <f t="shared" si="353"/>
        <v>0</v>
      </c>
      <c r="AZ130" s="200">
        <f t="shared" si="354"/>
        <v>0</v>
      </c>
    </row>
    <row r="131" spans="1:52" ht="13.5" thickBot="1" x14ac:dyDescent="0.25">
      <c r="A131" s="655"/>
      <c r="B131" s="184" t="s">
        <v>240</v>
      </c>
      <c r="C131" s="48">
        <f>SUMIFS('CAPEX payments'!$F:$F,'CAPEX payments'!$N:$N,Vertical_Cash_flow!C$11,'CAPEX payments'!$E:$E,Vertical_Cash_flow!C$15,'CAPEX payments'!$A:$A,Vertical_Cash_flow!$C$14,'CAPEX payments'!$C:$C,Vertical_Cash_flow!$B131)</f>
        <v>0</v>
      </c>
      <c r="D131" s="32">
        <v>0</v>
      </c>
      <c r="E131" s="32">
        <f>SUMIFS('CAPEX payments'!$F:$F,'CAPEX payments'!$N:$N,Vertical_Cash_flow!C$11,'CAPEX payments'!$E:$E,Vertical_Cash_flow!E$15,'CAPEX payments'!$A:$A,Vertical_Cash_flow!$E$14,'CAPEX payments'!$C:$C,Vertical_Cash_flow!$B131)</f>
        <v>0</v>
      </c>
      <c r="F131" s="32">
        <f>SUMIFS('CAPEX payments'!$F:$F,'CAPEX payments'!$N:$N,Vertical_Cash_flow!C$11,'CAPEX payments'!$E:$E,Vertical_Cash_flow!F$15,'CAPEX payments'!$A:$A,Vertical_Cash_flow!$F$14,'CAPEX payments'!$C:$C,Vertical_Cash_flow!$B131)</f>
        <v>0</v>
      </c>
      <c r="G131" s="200">
        <f t="shared" si="355"/>
        <v>0</v>
      </c>
      <c r="H131" s="200">
        <f t="shared" si="346"/>
        <v>0</v>
      </c>
      <c r="I131" s="48">
        <f>SUMIFS('CAPEX payments'!$F:$F,'CAPEX payments'!$N:$N,Vertical_Cash_flow!I$11,'CAPEX payments'!$E:$E,Vertical_Cash_flow!I$15,'CAPEX payments'!$A:$A,Vertical_Cash_flow!$C$14,'CAPEX payments'!$C:$C,Vertical_Cash_flow!$B131)</f>
        <v>0</v>
      </c>
      <c r="J131" s="32">
        <f>SUMIFS('CAPEX payments'!$F:$F,'CAPEX payments'!$N:$N,Vertical_Cash_flow!I$11,'CAPEX payments'!$E:$E,Vertical_Cash_flow!J$15,'CAPEX payments'!$A:$A,Vertical_Cash_flow!$D$14,'CAPEX payments'!$C:$C,Vertical_Cash_flow!$B131)</f>
        <v>0</v>
      </c>
      <c r="K131" s="32">
        <f>SUMIFS('CAPEX payments'!$F:$F,'CAPEX payments'!$N:$N,Vertical_Cash_flow!I$11,'CAPEX payments'!$E:$E,Vertical_Cash_flow!K$15,'CAPEX payments'!$A:$A,Vertical_Cash_flow!$E$14,'CAPEX payments'!$C:$C,Vertical_Cash_flow!$B131)</f>
        <v>0</v>
      </c>
      <c r="L131" s="32">
        <f>SUMIFS('CAPEX payments'!$F:$F,'CAPEX payments'!$N:$N,Vertical_Cash_flow!I$11,'CAPEX payments'!$E:$E,Vertical_Cash_flow!L$15,'CAPEX payments'!$A:$A,Vertical_Cash_flow!$F$14,'CAPEX payments'!$C:$C,Vertical_Cash_flow!$B131)</f>
        <v>0</v>
      </c>
      <c r="M131" s="200">
        <f t="shared" si="356"/>
        <v>0</v>
      </c>
      <c r="N131" s="200">
        <f t="shared" si="347"/>
        <v>0</v>
      </c>
      <c r="O131" s="48">
        <f>SUMIFS('CAPEX payments'!$F:$F,'CAPEX payments'!$N:$N,Vertical_Cash_flow!O$11,'CAPEX payments'!$E:$E,Vertical_Cash_flow!O$15,'CAPEX payments'!$A:$A,Vertical_Cash_flow!$C$14,'CAPEX payments'!$C:$C,Vertical_Cash_flow!$B131)</f>
        <v>0</v>
      </c>
      <c r="P131" s="32">
        <f>SUMIFS('CAPEX payments'!$F:$F,'CAPEX payments'!$N:$N,Vertical_Cash_flow!O$11,'CAPEX payments'!$E:$E,Vertical_Cash_flow!P$15,'CAPEX payments'!$A:$A,Vertical_Cash_flow!$D$14,'CAPEX payments'!$C:$C,Vertical_Cash_flow!$B131)</f>
        <v>0</v>
      </c>
      <c r="Q131" s="32">
        <f>SUMIFS('CAPEX payments'!$F:$F,'CAPEX payments'!$N:$N,Vertical_Cash_flow!O$11,'CAPEX payments'!$E:$E,Vertical_Cash_flow!Q$15,'CAPEX payments'!$A:$A,Vertical_Cash_flow!$E$14,'CAPEX payments'!$C:$C,Vertical_Cash_flow!$B131)</f>
        <v>0</v>
      </c>
      <c r="R131" s="32">
        <f>SUMIFS('CAPEX payments'!$F:$F,'CAPEX payments'!$N:$N,Vertical_Cash_flow!O$11,'CAPEX payments'!$E:$E,Vertical_Cash_flow!R$15,'CAPEX payments'!$A:$A,Vertical_Cash_flow!$F$14,'CAPEX payments'!$C:$C,Vertical_Cash_flow!$B131)</f>
        <v>0</v>
      </c>
      <c r="S131" s="200">
        <f t="shared" si="357"/>
        <v>0</v>
      </c>
      <c r="T131" s="200">
        <f t="shared" si="348"/>
        <v>0</v>
      </c>
      <c r="U131" s="48">
        <f>SUMIFS('CAPEX payments'!$F:$F,'CAPEX payments'!$N:$N,Vertical_Cash_flow!U$11,'CAPEX payments'!$E:$E,Vertical_Cash_flow!U$15,'CAPEX payments'!$A:$A,Vertical_Cash_flow!$C$14,'CAPEX payments'!$C:$C,Vertical_Cash_flow!$B131)</f>
        <v>0</v>
      </c>
      <c r="V131" s="32">
        <f>SUMIFS('CAPEX payments'!$F:$F,'CAPEX payments'!$N:$N,Vertical_Cash_flow!U$11,'CAPEX payments'!$E:$E,Vertical_Cash_flow!V$15,'CAPEX payments'!$A:$A,Vertical_Cash_flow!$D$14,'CAPEX payments'!$C:$C,Vertical_Cash_flow!$B131)</f>
        <v>0</v>
      </c>
      <c r="W131" s="32">
        <f>SUMIFS('CAPEX payments'!$F:$F,'CAPEX payments'!$N:$N,Vertical_Cash_flow!U$11,'CAPEX payments'!$E:$E,Vertical_Cash_flow!W$15,'CAPEX payments'!$A:$A,Vertical_Cash_flow!$E$14,'CAPEX payments'!$C:$C,Vertical_Cash_flow!$B131)</f>
        <v>0</v>
      </c>
      <c r="X131" s="32">
        <f>SUMIFS('CAPEX payments'!$F:$F,'CAPEX payments'!$N:$N,Vertical_Cash_flow!U$11,'CAPEX payments'!$E:$E,Vertical_Cash_flow!X$15,'CAPEX payments'!$A:$A,Vertical_Cash_flow!$F$14,'CAPEX payments'!$C:$C,Vertical_Cash_flow!$B131)</f>
        <v>0</v>
      </c>
      <c r="Y131" s="200">
        <f t="shared" si="358"/>
        <v>0</v>
      </c>
      <c r="Z131" s="200">
        <f t="shared" si="349"/>
        <v>0</v>
      </c>
      <c r="AA131" s="48">
        <f>SUMIFS('CAPEX payments'!$F:$F,'CAPEX payments'!$N:$N,Vertical_Cash_flow!AA$11,'CAPEX payments'!$E:$E,Vertical_Cash_flow!AA$15,'CAPEX payments'!$A:$A,Vertical_Cash_flow!$C$14,'CAPEX payments'!$C:$C,Vertical_Cash_flow!$B131)</f>
        <v>0</v>
      </c>
      <c r="AB131" s="32">
        <f>SUMIFS('CAPEX payments'!$F:$F,'CAPEX payments'!$N:$N,Vertical_Cash_flow!AA$11,'CAPEX payments'!$E:$E,Vertical_Cash_flow!AB$15,'CAPEX payments'!$A:$A,Vertical_Cash_flow!$D$14,'CAPEX payments'!$C:$C,Vertical_Cash_flow!$B131)</f>
        <v>0</v>
      </c>
      <c r="AC131" s="32">
        <f>SUMIFS('CAPEX payments'!$F:$F,'CAPEX payments'!$N:$N,Vertical_Cash_flow!AA$11,'CAPEX payments'!$E:$E,Vertical_Cash_flow!AC$15,'CAPEX payments'!$A:$A,Vertical_Cash_flow!$E$14,'CAPEX payments'!$C:$C,Vertical_Cash_flow!$B131)</f>
        <v>0</v>
      </c>
      <c r="AD131" s="32">
        <f>SUMIFS('CAPEX payments'!$F:$F,'CAPEX payments'!$N:$N,Vertical_Cash_flow!AA$11,'CAPEX payments'!$E:$E,Vertical_Cash_flow!AD$15,'CAPEX payments'!$A:$A,Vertical_Cash_flow!$F$14,'CAPEX payments'!$C:$C,Vertical_Cash_flow!$B131)</f>
        <v>0</v>
      </c>
      <c r="AE131" s="200">
        <f t="shared" si="359"/>
        <v>0</v>
      </c>
      <c r="AF131" s="200">
        <f t="shared" si="350"/>
        <v>0</v>
      </c>
      <c r="AG131" s="48">
        <f>SUMIFS('CAPEX payments'!$F:$F,'CAPEX payments'!$N:$N,Vertical_Cash_flow!AG$11,'CAPEX payments'!$E:$E,Vertical_Cash_flow!AG$15,'CAPEX payments'!$A:$A,Vertical_Cash_flow!$C$14,'CAPEX payments'!$C:$C,Vertical_Cash_flow!$B131)</f>
        <v>0</v>
      </c>
      <c r="AH131" s="32">
        <f>SUMIFS('CAPEX payments'!$F:$F,'CAPEX payments'!$N:$N,Vertical_Cash_flow!AG$11,'CAPEX payments'!$E:$E,Vertical_Cash_flow!AH$15,'CAPEX payments'!$A:$A,Vertical_Cash_flow!$D$14,'CAPEX payments'!$C:$C,Vertical_Cash_flow!$B131)</f>
        <v>0</v>
      </c>
      <c r="AI131" s="32">
        <f>SUMIFS('CAPEX payments'!$F:$F,'CAPEX payments'!$N:$N,Vertical_Cash_flow!AG$11,'CAPEX payments'!$E:$E,Vertical_Cash_flow!AI$15,'CAPEX payments'!$A:$A,Vertical_Cash_flow!$E$14,'CAPEX payments'!$C:$C,Vertical_Cash_flow!$B131)</f>
        <v>0</v>
      </c>
      <c r="AJ131" s="32">
        <f>SUMIFS('CAPEX payments'!$F:$F,'CAPEX payments'!$N:$N,Vertical_Cash_flow!AG$11,'CAPEX payments'!$E:$E,Vertical_Cash_flow!AJ$15,'CAPEX payments'!$A:$A,Vertical_Cash_flow!$F$14,'CAPEX payments'!$C:$C,Vertical_Cash_flow!$B131)</f>
        <v>0</v>
      </c>
      <c r="AK131" s="200">
        <f t="shared" si="360"/>
        <v>0</v>
      </c>
      <c r="AL131" s="200">
        <f t="shared" si="351"/>
        <v>0</v>
      </c>
      <c r="AM131" s="48">
        <f>SUMIFS('CAPEX payments'!$F:$F,'CAPEX payments'!$N:$N,Vertical_Cash_flow!AM$11,'CAPEX payments'!$E:$E,Vertical_Cash_flow!AM$15,'CAPEX payments'!$A:$A,Vertical_Cash_flow!$C$14,'CAPEX payments'!$C:$C,Vertical_Cash_flow!$B131)</f>
        <v>0</v>
      </c>
      <c r="AN131" s="32">
        <f>SUMIFS('CAPEX payments'!$F:$F,'CAPEX payments'!$N:$N,Vertical_Cash_flow!AM$11,'CAPEX payments'!$E:$E,Vertical_Cash_flow!AN$15,'CAPEX payments'!$A:$A,Vertical_Cash_flow!$D$14,'CAPEX payments'!$C:$C,Vertical_Cash_flow!$B131)</f>
        <v>0</v>
      </c>
      <c r="AO131" s="32">
        <f>SUMIFS('CAPEX payments'!$F:$F,'CAPEX payments'!$N:$N,Vertical_Cash_flow!AM$11,'CAPEX payments'!$E:$E,Vertical_Cash_flow!AO$15,'CAPEX payments'!$A:$A,Vertical_Cash_flow!$E$14,'CAPEX payments'!$C:$C,Vertical_Cash_flow!$B131)</f>
        <v>0</v>
      </c>
      <c r="AP131" s="32">
        <f>SUMIFS('CAPEX payments'!$F:$F,'CAPEX payments'!$N:$N,Vertical_Cash_flow!AM$11,'CAPEX payments'!$E:$E,Vertical_Cash_flow!AP$15,'CAPEX payments'!$A:$A,Vertical_Cash_flow!$F$14,'CAPEX payments'!$C:$C,Vertical_Cash_flow!$B131)</f>
        <v>0</v>
      </c>
      <c r="AQ131" s="200">
        <f t="shared" si="361"/>
        <v>0</v>
      </c>
      <c r="AR131" s="200">
        <f t="shared" si="352"/>
        <v>0</v>
      </c>
      <c r="AS131" s="48">
        <f>SUMIFS('CAPEX payments'!$F:$F,'CAPEX payments'!$N:$N,Vertical_Cash_flow!AS$11,'CAPEX payments'!$E:$E,Vertical_Cash_flow!AS$15,'CAPEX payments'!$A:$A,Vertical_Cash_flow!$C$14,'CAPEX payments'!$C:$C,Vertical_Cash_flow!$B131)</f>
        <v>0</v>
      </c>
      <c r="AT131" s="32">
        <f>SUMIFS('CAPEX payments'!$F:$F,'CAPEX payments'!$N:$N,Vertical_Cash_flow!AS$11,'CAPEX payments'!$E:$E,Vertical_Cash_flow!AT$15,'CAPEX payments'!$A:$A,Vertical_Cash_flow!$D$14,'CAPEX payments'!$C:$C,Vertical_Cash_flow!$B131)</f>
        <v>0</v>
      </c>
      <c r="AU131" s="32">
        <f>SUMIFS('CAPEX payments'!$F:$F,'CAPEX payments'!$N:$N,Vertical_Cash_flow!AS$11,'CAPEX payments'!$E:$E,Vertical_Cash_flow!AU$15,'CAPEX payments'!$A:$A,Vertical_Cash_flow!$E$14,'CAPEX payments'!$C:$C,Vertical_Cash_flow!$B131)</f>
        <v>0</v>
      </c>
      <c r="AV131" s="32">
        <f>SUMIFS('CAPEX payments'!$F:$F,'CAPEX payments'!$N:$N,Vertical_Cash_flow!AS$11,'CAPEX payments'!$E:$E,Vertical_Cash_flow!AV$15,'CAPEX payments'!$A:$A,Vertical_Cash_flow!$F$14,'CAPEX payments'!$C:$C,Vertical_Cash_flow!$B131)</f>
        <v>0</v>
      </c>
      <c r="AW131" s="200">
        <f t="shared" si="362"/>
        <v>0</v>
      </c>
      <c r="AX131" s="200">
        <f t="shared" si="353"/>
        <v>0</v>
      </c>
      <c r="AZ131" s="200">
        <f t="shared" si="354"/>
        <v>0</v>
      </c>
    </row>
    <row r="132" spans="1:52" ht="24" thickBot="1" x14ac:dyDescent="0.25">
      <c r="A132" s="656"/>
      <c r="B132" s="192" t="s">
        <v>78</v>
      </c>
      <c r="C132" s="50">
        <f t="shared" ref="C132:AD132" si="363">SUM(C126:C131)</f>
        <v>0</v>
      </c>
      <c r="D132" s="59">
        <f t="shared" si="363"/>
        <v>0</v>
      </c>
      <c r="E132" s="59">
        <f t="shared" si="363"/>
        <v>0</v>
      </c>
      <c r="F132" s="59">
        <f t="shared" si="363"/>
        <v>0</v>
      </c>
      <c r="G132" s="202">
        <f>SUM(G126:G131)</f>
        <v>0</v>
      </c>
      <c r="H132" s="202">
        <f t="shared" si="363"/>
        <v>0</v>
      </c>
      <c r="I132" s="50">
        <f t="shared" si="363"/>
        <v>100000</v>
      </c>
      <c r="J132" s="59">
        <f t="shared" si="363"/>
        <v>0</v>
      </c>
      <c r="K132" s="59">
        <f t="shared" si="363"/>
        <v>0</v>
      </c>
      <c r="L132" s="59">
        <f t="shared" si="363"/>
        <v>0</v>
      </c>
      <c r="M132" s="202">
        <f>SUM(M126:M131)</f>
        <v>100000</v>
      </c>
      <c r="N132" s="202">
        <f t="shared" ref="N132" si="364">SUM(N126:N131)</f>
        <v>30000</v>
      </c>
      <c r="O132" s="50">
        <f t="shared" si="363"/>
        <v>0</v>
      </c>
      <c r="P132" s="59">
        <f t="shared" si="363"/>
        <v>0</v>
      </c>
      <c r="Q132" s="59">
        <f t="shared" si="363"/>
        <v>0</v>
      </c>
      <c r="R132" s="59">
        <f t="shared" si="363"/>
        <v>0</v>
      </c>
      <c r="S132" s="202">
        <f>SUM(S126:S131)</f>
        <v>0</v>
      </c>
      <c r="T132" s="202">
        <f t="shared" ref="T132" si="365">SUM(T126:T131)</f>
        <v>0</v>
      </c>
      <c r="U132" s="50">
        <f t="shared" si="363"/>
        <v>0</v>
      </c>
      <c r="V132" s="59">
        <f t="shared" si="363"/>
        <v>0</v>
      </c>
      <c r="W132" s="59">
        <f t="shared" si="363"/>
        <v>0</v>
      </c>
      <c r="X132" s="59">
        <f t="shared" si="363"/>
        <v>0</v>
      </c>
      <c r="Y132" s="202">
        <f>SUM(Y126:Y131)</f>
        <v>0</v>
      </c>
      <c r="Z132" s="202">
        <f t="shared" ref="Z132" si="366">SUM(Z126:Z131)</f>
        <v>0</v>
      </c>
      <c r="AA132" s="50">
        <f t="shared" si="363"/>
        <v>0</v>
      </c>
      <c r="AB132" s="59">
        <f t="shared" si="363"/>
        <v>0</v>
      </c>
      <c r="AC132" s="59">
        <f t="shared" si="363"/>
        <v>12000</v>
      </c>
      <c r="AD132" s="59">
        <f t="shared" si="363"/>
        <v>0</v>
      </c>
      <c r="AE132" s="202">
        <f>SUM(AE126:AE131)</f>
        <v>40000</v>
      </c>
      <c r="AF132" s="202">
        <f t="shared" ref="AF132" si="367">SUM(AF126:AF131)</f>
        <v>12000</v>
      </c>
      <c r="AG132" s="50">
        <f t="shared" ref="AG132:AV132" si="368">SUM(AG126:AG131)</f>
        <v>0</v>
      </c>
      <c r="AH132" s="59">
        <f t="shared" si="368"/>
        <v>0</v>
      </c>
      <c r="AI132" s="59">
        <f t="shared" si="368"/>
        <v>0</v>
      </c>
      <c r="AJ132" s="59">
        <f t="shared" si="368"/>
        <v>0</v>
      </c>
      <c r="AK132" s="202">
        <f>SUM(AK126:AK131)</f>
        <v>0</v>
      </c>
      <c r="AL132" s="202">
        <f t="shared" ref="AL132" si="369">SUM(AL126:AL131)</f>
        <v>0</v>
      </c>
      <c r="AM132" s="50">
        <f t="shared" si="368"/>
        <v>200000</v>
      </c>
      <c r="AN132" s="59">
        <f t="shared" si="368"/>
        <v>0</v>
      </c>
      <c r="AO132" s="59">
        <f t="shared" si="368"/>
        <v>0</v>
      </c>
      <c r="AP132" s="59">
        <f t="shared" si="368"/>
        <v>0</v>
      </c>
      <c r="AQ132" s="202">
        <f>SUM(AQ126:AQ131)</f>
        <v>200000</v>
      </c>
      <c r="AR132" s="202">
        <f t="shared" ref="AR132" si="370">SUM(AR126:AR131)</f>
        <v>60000</v>
      </c>
      <c r="AS132" s="50">
        <f t="shared" si="368"/>
        <v>0</v>
      </c>
      <c r="AT132" s="59">
        <f t="shared" si="368"/>
        <v>0</v>
      </c>
      <c r="AU132" s="59">
        <f t="shared" si="368"/>
        <v>0</v>
      </c>
      <c r="AV132" s="59">
        <f t="shared" si="368"/>
        <v>0</v>
      </c>
      <c r="AW132" s="202">
        <f>SUM(AW126:AW131)</f>
        <v>0</v>
      </c>
      <c r="AX132" s="202">
        <f t="shared" ref="AX132" si="371">SUM(AX126:AX131)</f>
        <v>0</v>
      </c>
      <c r="AZ132" s="202">
        <f t="shared" si="354"/>
        <v>340000</v>
      </c>
    </row>
    <row r="133" spans="1:52" ht="13.5" thickBot="1" x14ac:dyDescent="0.25">
      <c r="A133" s="232"/>
      <c r="B133" s="99"/>
      <c r="C133" s="51"/>
      <c r="D133" s="28"/>
      <c r="E133" s="28"/>
      <c r="F133" s="28"/>
      <c r="G133" s="51"/>
      <c r="H133" s="51"/>
      <c r="I133" s="51"/>
      <c r="J133" s="28"/>
      <c r="K133" s="28"/>
      <c r="L133" s="28"/>
      <c r="M133" s="51"/>
      <c r="N133" s="51"/>
      <c r="O133" s="51"/>
      <c r="P133" s="28"/>
      <c r="Q133" s="28"/>
      <c r="R133" s="28"/>
      <c r="S133" s="51"/>
      <c r="T133" s="51"/>
      <c r="U133" s="51"/>
      <c r="V133" s="28"/>
      <c r="W133" s="28"/>
      <c r="X133" s="28"/>
      <c r="Y133" s="51"/>
      <c r="Z133" s="51"/>
      <c r="AA133" s="51"/>
      <c r="AB133" s="28"/>
      <c r="AC133" s="28"/>
      <c r="AD133" s="28"/>
      <c r="AE133" s="51"/>
      <c r="AF133" s="51"/>
      <c r="AG133" s="51"/>
      <c r="AH133" s="28"/>
      <c r="AI133" s="28"/>
      <c r="AJ133" s="28"/>
      <c r="AK133" s="51"/>
      <c r="AL133" s="51"/>
      <c r="AM133" s="51"/>
      <c r="AN133" s="28"/>
      <c r="AO133" s="28"/>
      <c r="AP133" s="28"/>
      <c r="AQ133" s="51"/>
      <c r="AR133" s="51"/>
      <c r="AS133" s="51"/>
      <c r="AT133" s="28"/>
      <c r="AU133" s="28"/>
      <c r="AV133" s="28"/>
      <c r="AW133" s="51"/>
      <c r="AX133" s="51"/>
      <c r="AZ133" s="51"/>
    </row>
    <row r="134" spans="1:52" ht="23.25" x14ac:dyDescent="0.2">
      <c r="A134" s="654" t="s">
        <v>469</v>
      </c>
      <c r="B134" s="230" t="s">
        <v>713</v>
      </c>
      <c r="C134" s="53"/>
      <c r="D134" s="30"/>
      <c r="E134" s="30"/>
      <c r="F134" s="30"/>
      <c r="G134" s="53"/>
      <c r="H134" s="53"/>
      <c r="I134" s="53"/>
      <c r="J134" s="30"/>
      <c r="K134" s="30"/>
      <c r="L134" s="30"/>
      <c r="M134" s="53"/>
      <c r="N134" s="53"/>
      <c r="O134" s="53"/>
      <c r="P134" s="30"/>
      <c r="Q134" s="30"/>
      <c r="R134" s="30"/>
      <c r="S134" s="53"/>
      <c r="T134" s="53"/>
      <c r="U134" s="53"/>
      <c r="V134" s="30"/>
      <c r="W134" s="30"/>
      <c r="X134" s="30"/>
      <c r="Y134" s="53"/>
      <c r="Z134" s="53"/>
      <c r="AA134" s="53"/>
      <c r="AB134" s="30"/>
      <c r="AC134" s="30"/>
      <c r="AD134" s="30"/>
      <c r="AE134" s="53"/>
      <c r="AF134" s="53"/>
      <c r="AG134" s="53"/>
      <c r="AH134" s="30"/>
      <c r="AI134" s="30"/>
      <c r="AJ134" s="30"/>
      <c r="AK134" s="53"/>
      <c r="AL134" s="53"/>
      <c r="AM134" s="53"/>
      <c r="AN134" s="30"/>
      <c r="AO134" s="30"/>
      <c r="AP134" s="30"/>
      <c r="AQ134" s="53"/>
      <c r="AR134" s="53"/>
      <c r="AS134" s="53"/>
      <c r="AT134" s="30"/>
      <c r="AU134" s="30"/>
      <c r="AV134" s="30"/>
      <c r="AW134" s="53"/>
      <c r="AX134" s="53"/>
      <c r="AZ134" s="53"/>
    </row>
    <row r="135" spans="1:52" outlineLevel="1" x14ac:dyDescent="0.2">
      <c r="A135" s="655"/>
      <c r="B135" s="184" t="s">
        <v>124</v>
      </c>
      <c r="C135" s="48"/>
      <c r="D135" s="32"/>
      <c r="E135" s="32"/>
      <c r="F135" s="32"/>
      <c r="G135" s="200">
        <f>C135+D135+E135/$C$16+F135/$F$16</f>
        <v>0</v>
      </c>
      <c r="H135" s="200">
        <f t="shared" ref="H135:H138" si="372">G135*$C$16</f>
        <v>0</v>
      </c>
      <c r="I135" s="48"/>
      <c r="J135" s="32"/>
      <c r="K135" s="32"/>
      <c r="L135" s="32"/>
      <c r="M135" s="200">
        <f>I135+J135+K135/$C$16+L135/$F$16</f>
        <v>0</v>
      </c>
      <c r="N135" s="200">
        <f t="shared" ref="N135:N138" si="373">M135*$C$16</f>
        <v>0</v>
      </c>
      <c r="O135" s="48"/>
      <c r="P135" s="32"/>
      <c r="Q135" s="32"/>
      <c r="R135" s="32"/>
      <c r="S135" s="200">
        <f>O135+P135+Q135/$C$16+R135/$F$16</f>
        <v>0</v>
      </c>
      <c r="T135" s="200">
        <f t="shared" ref="T135:T138" si="374">S135*$C$16</f>
        <v>0</v>
      </c>
      <c r="U135" s="48"/>
      <c r="V135" s="32"/>
      <c r="W135" s="32"/>
      <c r="X135" s="32"/>
      <c r="Y135" s="200">
        <f>U135+V135+W135/$C$16+X135/$F$16</f>
        <v>0</v>
      </c>
      <c r="Z135" s="200">
        <f t="shared" ref="Z135:Z138" si="375">Y135*$C$16</f>
        <v>0</v>
      </c>
      <c r="AA135" s="48"/>
      <c r="AB135" s="32"/>
      <c r="AC135" s="32"/>
      <c r="AD135" s="32"/>
      <c r="AE135" s="200">
        <f>AA135+AB135+AC135/$C$16+AD135/$F$16</f>
        <v>0</v>
      </c>
      <c r="AF135" s="200">
        <f t="shared" ref="AF135:AF138" si="376">AE135*$C$16</f>
        <v>0</v>
      </c>
      <c r="AG135" s="48"/>
      <c r="AH135" s="32"/>
      <c r="AI135" s="32"/>
      <c r="AJ135" s="32"/>
      <c r="AK135" s="200">
        <f>AG135+AH135+AI135/$C$16+AJ135/$F$16</f>
        <v>0</v>
      </c>
      <c r="AL135" s="200">
        <f t="shared" ref="AL135:AL138" si="377">AK135*$C$16</f>
        <v>0</v>
      </c>
      <c r="AM135" s="48"/>
      <c r="AN135" s="32"/>
      <c r="AO135" s="32"/>
      <c r="AP135" s="32"/>
      <c r="AQ135" s="200">
        <f>AM135+AN135+AO135/$C$16+AP135/$F$16</f>
        <v>0</v>
      </c>
      <c r="AR135" s="200">
        <f t="shared" ref="AR135:AR138" si="378">AQ135*$C$16</f>
        <v>0</v>
      </c>
      <c r="AS135" s="48"/>
      <c r="AT135" s="32"/>
      <c r="AU135" s="32"/>
      <c r="AV135" s="32"/>
      <c r="AW135" s="200">
        <f>AS135+AT135+AU135/$C$16+AV135/$F$16</f>
        <v>0</v>
      </c>
      <c r="AX135" s="200">
        <f t="shared" ref="AX135:AX138" si="379">AW135*$C$16</f>
        <v>0</v>
      </c>
      <c r="AZ135" s="200">
        <f t="shared" ref="AZ135:AZ141" si="380">SUM(G135,S135,Y135,AE135,AK135,AQ135,AW135,M135)</f>
        <v>0</v>
      </c>
    </row>
    <row r="136" spans="1:52" outlineLevel="1" x14ac:dyDescent="0.2">
      <c r="A136" s="655"/>
      <c r="B136" s="184" t="s">
        <v>125</v>
      </c>
      <c r="C136" s="48"/>
      <c r="D136" s="32"/>
      <c r="E136" s="32"/>
      <c r="F136" s="32"/>
      <c r="G136" s="200">
        <f t="shared" ref="G136:G138" si="381">C136+D136+E136/$C$16+F136/$F$16</f>
        <v>0</v>
      </c>
      <c r="H136" s="200">
        <f t="shared" si="372"/>
        <v>0</v>
      </c>
      <c r="I136" s="48"/>
      <c r="J136" s="32">
        <f>'Bank &amp; Lease SNA'!BO15</f>
        <v>26194.444</v>
      </c>
      <c r="K136" s="32"/>
      <c r="L136" s="32"/>
      <c r="M136" s="200">
        <f t="shared" ref="M136:M138" si="382">I136+J136+K136/$C$16+L136/$F$16</f>
        <v>26194.444</v>
      </c>
      <c r="N136" s="200">
        <f t="shared" si="373"/>
        <v>7858.3331999999991</v>
      </c>
      <c r="O136" s="48"/>
      <c r="P136" s="32">
        <f>'Bank &amp; Lease SNA'!CD5+'Bank &amp; Lease SNA'!CD6</f>
        <v>257716.66666666666</v>
      </c>
      <c r="Q136" s="32"/>
      <c r="R136" s="32"/>
      <c r="S136" s="200">
        <f t="shared" ref="S136:S138" si="383">O136+P136+Q136/$C$16+R136/$F$16</f>
        <v>257716.66666666666</v>
      </c>
      <c r="T136" s="200">
        <f t="shared" si="374"/>
        <v>77315</v>
      </c>
      <c r="U136" s="48"/>
      <c r="V136" s="32"/>
      <c r="W136" s="32"/>
      <c r="X136" s="32"/>
      <c r="Y136" s="200">
        <f t="shared" ref="Y136:Y138" si="384">U136+V136+W136/$C$16+X136/$F$16</f>
        <v>0</v>
      </c>
      <c r="Z136" s="200">
        <f t="shared" si="375"/>
        <v>0</v>
      </c>
      <c r="AA136" s="48"/>
      <c r="AB136" s="32"/>
      <c r="AC136" s="32"/>
      <c r="AD136" s="32"/>
      <c r="AE136" s="200">
        <f t="shared" ref="AE136:AE138" si="385">AA136+AB136+AC136/$C$16+AD136/$F$16</f>
        <v>0</v>
      </c>
      <c r="AF136" s="200">
        <f t="shared" si="376"/>
        <v>0</v>
      </c>
      <c r="AG136" s="48"/>
      <c r="AH136" s="32"/>
      <c r="AI136" s="32"/>
      <c r="AJ136" s="32"/>
      <c r="AK136" s="200">
        <f t="shared" ref="AK136:AK138" si="386">AG136+AH136+AI136/$C$16+AJ136/$F$16</f>
        <v>0</v>
      </c>
      <c r="AL136" s="200">
        <f t="shared" si="377"/>
        <v>0</v>
      </c>
      <c r="AM136" s="48"/>
      <c r="AN136" s="32"/>
      <c r="AO136" s="32"/>
      <c r="AP136" s="32"/>
      <c r="AQ136" s="200">
        <f t="shared" ref="AQ136:AQ138" si="387">AM136+AN136+AO136/$C$16+AP136/$F$16</f>
        <v>0</v>
      </c>
      <c r="AR136" s="200">
        <f t="shared" si="378"/>
        <v>0</v>
      </c>
      <c r="AS136" s="48"/>
      <c r="AT136" s="32"/>
      <c r="AU136" s="32"/>
      <c r="AV136" s="32"/>
      <c r="AW136" s="200">
        <f t="shared" ref="AW136:AW138" si="388">AS136+AT136+AU136/$C$16+AV136/$F$16</f>
        <v>0</v>
      </c>
      <c r="AX136" s="200">
        <f t="shared" si="379"/>
        <v>0</v>
      </c>
      <c r="AZ136" s="200">
        <f t="shared" si="380"/>
        <v>283911.11066666665</v>
      </c>
    </row>
    <row r="137" spans="1:52" outlineLevel="1" x14ac:dyDescent="0.2">
      <c r="A137" s="655"/>
      <c r="B137" s="184" t="s">
        <v>126</v>
      </c>
      <c r="C137" s="48"/>
      <c r="D137" s="32"/>
      <c r="E137" s="32"/>
      <c r="F137" s="32"/>
      <c r="G137" s="200">
        <f t="shared" si="381"/>
        <v>0</v>
      </c>
      <c r="H137" s="200">
        <f t="shared" si="372"/>
        <v>0</v>
      </c>
      <c r="I137" s="48"/>
      <c r="J137" s="32"/>
      <c r="K137" s="32"/>
      <c r="L137" s="32"/>
      <c r="M137" s="200">
        <f t="shared" si="382"/>
        <v>0</v>
      </c>
      <c r="N137" s="200">
        <f t="shared" si="373"/>
        <v>0</v>
      </c>
      <c r="O137" s="48"/>
      <c r="P137" s="32"/>
      <c r="Q137" s="32"/>
      <c r="R137" s="32"/>
      <c r="S137" s="200">
        <f t="shared" si="383"/>
        <v>0</v>
      </c>
      <c r="T137" s="200">
        <f t="shared" si="374"/>
        <v>0</v>
      </c>
      <c r="U137" s="48"/>
      <c r="V137" s="32"/>
      <c r="W137" s="32"/>
      <c r="X137" s="32"/>
      <c r="Y137" s="200">
        <f t="shared" si="384"/>
        <v>0</v>
      </c>
      <c r="Z137" s="200">
        <f t="shared" si="375"/>
        <v>0</v>
      </c>
      <c r="AA137" s="48"/>
      <c r="AB137" s="32"/>
      <c r="AC137" s="32"/>
      <c r="AD137" s="32"/>
      <c r="AE137" s="200">
        <f t="shared" si="385"/>
        <v>0</v>
      </c>
      <c r="AF137" s="200">
        <f t="shared" si="376"/>
        <v>0</v>
      </c>
      <c r="AG137" s="48"/>
      <c r="AH137" s="32"/>
      <c r="AI137" s="32"/>
      <c r="AJ137" s="32"/>
      <c r="AK137" s="200">
        <f t="shared" si="386"/>
        <v>0</v>
      </c>
      <c r="AL137" s="200">
        <f t="shared" si="377"/>
        <v>0</v>
      </c>
      <c r="AM137" s="48"/>
      <c r="AN137" s="32"/>
      <c r="AO137" s="32"/>
      <c r="AP137" s="32"/>
      <c r="AQ137" s="200">
        <f t="shared" si="387"/>
        <v>0</v>
      </c>
      <c r="AR137" s="200">
        <f t="shared" si="378"/>
        <v>0</v>
      </c>
      <c r="AS137" s="48">
        <v>35000</v>
      </c>
      <c r="AT137" s="32">
        <v>130000</v>
      </c>
      <c r="AU137" s="32"/>
      <c r="AV137" s="32"/>
      <c r="AW137" s="200">
        <f t="shared" si="388"/>
        <v>165000</v>
      </c>
      <c r="AX137" s="200">
        <f t="shared" si="379"/>
        <v>49500</v>
      </c>
      <c r="AZ137" s="200">
        <f t="shared" si="380"/>
        <v>165000</v>
      </c>
    </row>
    <row r="138" spans="1:52" outlineLevel="1" x14ac:dyDescent="0.2">
      <c r="A138" s="655"/>
      <c r="B138" s="184" t="s">
        <v>127</v>
      </c>
      <c r="C138" s="48"/>
      <c r="D138" s="32">
        <f>'Bank &amp; Lease SNA'!AQ9</f>
        <v>8283.7625500000013</v>
      </c>
      <c r="E138" s="32"/>
      <c r="F138" s="32"/>
      <c r="G138" s="200">
        <f t="shared" si="381"/>
        <v>8283.7625500000013</v>
      </c>
      <c r="H138" s="200">
        <f t="shared" si="372"/>
        <v>2485.1287650000004</v>
      </c>
      <c r="I138" s="48"/>
      <c r="J138" s="32">
        <f>'Bank &amp; Lease SNA'!P23+'Bank &amp; Lease SNA'!Y22+'Bank &amp; Lease SNA'!AI20</f>
        <v>6752.6324399999994</v>
      </c>
      <c r="K138" s="32"/>
      <c r="L138" s="32"/>
      <c r="M138" s="200">
        <f t="shared" si="382"/>
        <v>6752.6324399999994</v>
      </c>
      <c r="N138" s="200">
        <f t="shared" si="373"/>
        <v>2025.7897319999997</v>
      </c>
      <c r="O138" s="48"/>
      <c r="P138" s="32">
        <f>'Bank &amp; Lease SNA'!AY9</f>
        <v>2610.2110599999996</v>
      </c>
      <c r="Q138" s="32"/>
      <c r="R138" s="32"/>
      <c r="S138" s="200">
        <f t="shared" si="383"/>
        <v>2610.2110599999996</v>
      </c>
      <c r="T138" s="200">
        <f t="shared" si="374"/>
        <v>783.06331799999987</v>
      </c>
      <c r="U138" s="48">
        <f>'Bank &amp; Lease SND'!R17+'Bank &amp; Lease SND'!H17</f>
        <v>7689.4923699999999</v>
      </c>
      <c r="V138" s="32">
        <f>'Bank &amp; Lease SNA'!G28+'Bank &amp; Lease SNA'!BG7</f>
        <v>7980.1400200000007</v>
      </c>
      <c r="W138" s="32"/>
      <c r="X138" s="32"/>
      <c r="Y138" s="200">
        <f t="shared" si="384"/>
        <v>15669.632390000001</v>
      </c>
      <c r="Z138" s="200">
        <f t="shared" si="375"/>
        <v>4700.889717</v>
      </c>
      <c r="AA138" s="48"/>
      <c r="AB138" s="32">
        <f>'Bank &amp; Lease SNA'!AQ10</f>
        <v>8283.7625500000013</v>
      </c>
      <c r="AC138" s="32"/>
      <c r="AD138" s="32"/>
      <c r="AE138" s="200">
        <f t="shared" si="385"/>
        <v>8283.7625500000013</v>
      </c>
      <c r="AF138" s="200">
        <f t="shared" si="376"/>
        <v>2485.1287650000004</v>
      </c>
      <c r="AG138" s="48"/>
      <c r="AH138" s="32">
        <f>'Bank &amp; Lease SNA'!P24+'Bank &amp; Lease SNA'!Y23+'Bank &amp; Lease SNA'!AI21</f>
        <v>6752.6324399999994</v>
      </c>
      <c r="AI138" s="32"/>
      <c r="AJ138" s="32"/>
      <c r="AK138" s="200">
        <f t="shared" si="386"/>
        <v>6752.6324399999994</v>
      </c>
      <c r="AL138" s="200">
        <f t="shared" si="377"/>
        <v>2025.7897319999997</v>
      </c>
      <c r="AM138" s="48"/>
      <c r="AN138" s="32">
        <f>'Bank &amp; Lease SNA'!AY10</f>
        <v>2610.2110599999996</v>
      </c>
      <c r="AO138" s="32"/>
      <c r="AP138" s="32"/>
      <c r="AQ138" s="200">
        <f t="shared" si="387"/>
        <v>2610.2110599999996</v>
      </c>
      <c r="AR138" s="200">
        <f t="shared" si="378"/>
        <v>783.06331799999987</v>
      </c>
      <c r="AS138" s="48">
        <f>'Bank &amp; Lease SND'!H18+'Bank &amp; Lease SND'!R18</f>
        <v>7689.492369999999</v>
      </c>
      <c r="AT138" s="32">
        <f>'Bank &amp; Lease SNA'!BG8+'Bank &amp; Lease SNA'!G29</f>
        <v>7980.1400200000007</v>
      </c>
      <c r="AU138" s="32"/>
      <c r="AV138" s="32"/>
      <c r="AW138" s="200">
        <f t="shared" si="388"/>
        <v>15669.632389999999</v>
      </c>
      <c r="AX138" s="200">
        <f t="shared" si="379"/>
        <v>4700.8897169999991</v>
      </c>
      <c r="AZ138" s="200">
        <f t="shared" si="380"/>
        <v>66632.476880000002</v>
      </c>
    </row>
    <row r="139" spans="1:52" ht="24" thickBot="1" x14ac:dyDescent="0.25">
      <c r="A139" s="656"/>
      <c r="B139" s="231" t="s">
        <v>714</v>
      </c>
      <c r="C139" s="50">
        <f>SUM(C135:C138)</f>
        <v>0</v>
      </c>
      <c r="D139" s="59">
        <f>SUM(D135:D138)</f>
        <v>8283.7625500000013</v>
      </c>
      <c r="E139" s="59">
        <f>SUM(E135:E138)</f>
        <v>0</v>
      </c>
      <c r="F139" s="59">
        <f>SUM(F135:F138)</f>
        <v>0</v>
      </c>
      <c r="G139" s="202">
        <f t="shared" ref="G139:H139" si="389">SUM(G135:G138)</f>
        <v>8283.7625500000013</v>
      </c>
      <c r="H139" s="202">
        <f t="shared" si="389"/>
        <v>2485.1287650000004</v>
      </c>
      <c r="I139" s="50">
        <f>SUM(I135:I138)</f>
        <v>0</v>
      </c>
      <c r="J139" s="59">
        <f>SUM(J135:J138)</f>
        <v>32947.076439999997</v>
      </c>
      <c r="K139" s="59">
        <f>SUM(K135:K138)</f>
        <v>0</v>
      </c>
      <c r="L139" s="59">
        <f>SUM(L135:L138)</f>
        <v>0</v>
      </c>
      <c r="M139" s="202">
        <f t="shared" ref="M139" si="390">SUM(M135:M138)</f>
        <v>32947.076439999997</v>
      </c>
      <c r="N139" s="202">
        <f t="shared" ref="N139" si="391">SUM(N135:N138)</f>
        <v>9884.1229319999984</v>
      </c>
      <c r="O139" s="50">
        <f>SUM(O135:O138)</f>
        <v>0</v>
      </c>
      <c r="P139" s="59">
        <f>SUM(P135:P138)</f>
        <v>260326.87772666666</v>
      </c>
      <c r="Q139" s="59">
        <f>SUM(Q135:Q138)</f>
        <v>0</v>
      </c>
      <c r="R139" s="59">
        <f>SUM(R135:R138)</f>
        <v>0</v>
      </c>
      <c r="S139" s="202">
        <f t="shared" ref="S139:T139" si="392">SUM(S135:S138)</f>
        <v>260326.87772666666</v>
      </c>
      <c r="T139" s="202">
        <f t="shared" si="392"/>
        <v>78098.063318</v>
      </c>
      <c r="U139" s="50">
        <f>SUM(U135:U138)</f>
        <v>7689.4923699999999</v>
      </c>
      <c r="V139" s="59">
        <f>SUM(V135:V138)</f>
        <v>7980.1400200000007</v>
      </c>
      <c r="W139" s="59">
        <f>SUM(W135:W138)</f>
        <v>0</v>
      </c>
      <c r="X139" s="59">
        <f>SUM(X135:X138)</f>
        <v>0</v>
      </c>
      <c r="Y139" s="202">
        <f t="shared" ref="Y139:Z139" si="393">SUM(Y135:Y138)</f>
        <v>15669.632390000001</v>
      </c>
      <c r="Z139" s="202">
        <f t="shared" si="393"/>
        <v>4700.889717</v>
      </c>
      <c r="AA139" s="50">
        <f>SUM(AA135:AA138)</f>
        <v>0</v>
      </c>
      <c r="AB139" s="59"/>
      <c r="AC139" s="59"/>
      <c r="AD139" s="59"/>
      <c r="AE139" s="202">
        <f t="shared" ref="AE139:AF139" si="394">SUM(AE135:AE138)</f>
        <v>8283.7625500000013</v>
      </c>
      <c r="AF139" s="202">
        <f t="shared" si="394"/>
        <v>2485.1287650000004</v>
      </c>
      <c r="AG139" s="50">
        <f>SUM(AG135:AG138)</f>
        <v>0</v>
      </c>
      <c r="AH139" s="59">
        <f>SUM(AH135:AH138)</f>
        <v>6752.6324399999994</v>
      </c>
      <c r="AI139" s="59">
        <f>SUM(AI135:AI138)</f>
        <v>0</v>
      </c>
      <c r="AJ139" s="59">
        <f>SUM(AJ135:AJ138)</f>
        <v>0</v>
      </c>
      <c r="AK139" s="202">
        <f t="shared" ref="AK139:AL139" si="395">SUM(AK135:AK138)</f>
        <v>6752.6324399999994</v>
      </c>
      <c r="AL139" s="202">
        <f t="shared" si="395"/>
        <v>2025.7897319999997</v>
      </c>
      <c r="AM139" s="50">
        <f>SUM(AM135:AM138)</f>
        <v>0</v>
      </c>
      <c r="AN139" s="59">
        <f>SUM(AN135:AN138)</f>
        <v>2610.2110599999996</v>
      </c>
      <c r="AO139" s="59">
        <f>SUM(AO135:AO138)</f>
        <v>0</v>
      </c>
      <c r="AP139" s="59">
        <f>SUM(AP135:AP138)</f>
        <v>0</v>
      </c>
      <c r="AQ139" s="202">
        <f t="shared" ref="AQ139:AR139" si="396">SUM(AQ135:AQ138)</f>
        <v>2610.2110599999996</v>
      </c>
      <c r="AR139" s="202">
        <f t="shared" si="396"/>
        <v>783.06331799999987</v>
      </c>
      <c r="AS139" s="50">
        <f>SUM(AS135:AS138)</f>
        <v>42689.49237</v>
      </c>
      <c r="AT139" s="59">
        <f>SUM(AT135:AT138)</f>
        <v>137980.14001999999</v>
      </c>
      <c r="AU139" s="59">
        <f>SUM(AU135:AU138)</f>
        <v>0</v>
      </c>
      <c r="AV139" s="59">
        <f>SUM(AV135:AV138)</f>
        <v>0</v>
      </c>
      <c r="AW139" s="202">
        <f t="shared" ref="AW139:AX139" si="397">SUM(AW135:AW138)</f>
        <v>180669.63238999998</v>
      </c>
      <c r="AX139" s="202">
        <f t="shared" si="397"/>
        <v>54200.889716999998</v>
      </c>
      <c r="AZ139" s="202">
        <f t="shared" si="380"/>
        <v>515543.58754666662</v>
      </c>
    </row>
    <row r="140" spans="1:52" ht="13.5" thickBot="1" x14ac:dyDescent="0.25">
      <c r="A140" s="232"/>
      <c r="B140" s="99"/>
      <c r="C140" s="51"/>
      <c r="D140" s="28"/>
      <c r="E140" s="28"/>
      <c r="F140" s="28"/>
      <c r="G140" s="51"/>
      <c r="H140" s="51"/>
      <c r="I140" s="51"/>
      <c r="J140" s="28"/>
      <c r="K140" s="28"/>
      <c r="L140" s="28"/>
      <c r="M140" s="51"/>
      <c r="N140" s="51"/>
      <c r="O140" s="51"/>
      <c r="P140" s="28"/>
      <c r="Q140" s="28"/>
      <c r="R140" s="28"/>
      <c r="S140" s="51"/>
      <c r="T140" s="51"/>
      <c r="U140" s="51"/>
      <c r="V140" s="28"/>
      <c r="W140" s="28"/>
      <c r="X140" s="28"/>
      <c r="Y140" s="51"/>
      <c r="Z140" s="51"/>
      <c r="AA140" s="51"/>
      <c r="AB140" s="28"/>
      <c r="AC140" s="28"/>
      <c r="AD140" s="28"/>
      <c r="AE140" s="51"/>
      <c r="AF140" s="51"/>
      <c r="AG140" s="51"/>
      <c r="AH140" s="28"/>
      <c r="AI140" s="28"/>
      <c r="AJ140" s="28"/>
      <c r="AK140" s="51"/>
      <c r="AL140" s="51"/>
      <c r="AM140" s="51"/>
      <c r="AN140" s="28"/>
      <c r="AO140" s="28"/>
      <c r="AP140" s="28"/>
      <c r="AQ140" s="51"/>
      <c r="AR140" s="51"/>
      <c r="AS140" s="51"/>
      <c r="AT140" s="28"/>
      <c r="AU140" s="28"/>
      <c r="AV140" s="28"/>
      <c r="AW140" s="51"/>
      <c r="AX140" s="51"/>
      <c r="AZ140" s="51">
        <f t="shared" si="380"/>
        <v>0</v>
      </c>
    </row>
    <row r="141" spans="1:52" s="38" customFormat="1" ht="26.25" thickBot="1" x14ac:dyDescent="0.25">
      <c r="A141" s="232"/>
      <c r="B141" s="136" t="s">
        <v>238</v>
      </c>
      <c r="C141" s="137">
        <f>C123-C132-C139</f>
        <v>-600102.01700000023</v>
      </c>
      <c r="D141" s="138">
        <f t="shared" ref="D141:AD141" si="398">D123-D132-D139</f>
        <v>-159012.75755000013</v>
      </c>
      <c r="E141" s="138">
        <f t="shared" si="398"/>
        <v>-157415.67999999993</v>
      </c>
      <c r="F141" s="138">
        <f t="shared" si="398"/>
        <v>0</v>
      </c>
      <c r="G141" s="137">
        <f>G123-G132-G139</f>
        <v>-1283833.7078833333</v>
      </c>
      <c r="H141" s="137">
        <f t="shared" si="398"/>
        <v>-385150.11236500012</v>
      </c>
      <c r="I141" s="137">
        <f>I123-I132-I139</f>
        <v>-1155.6440000003204</v>
      </c>
      <c r="J141" s="138">
        <f>J123-J132-J139</f>
        <v>245369.97456000009</v>
      </c>
      <c r="K141" s="138">
        <f t="shared" si="398"/>
        <v>-166692.69</v>
      </c>
      <c r="L141" s="138">
        <f t="shared" si="398"/>
        <v>0</v>
      </c>
      <c r="M141" s="137">
        <f>M123-M132-M139</f>
        <v>-311427.9694400006</v>
      </c>
      <c r="N141" s="137">
        <f t="shared" ref="N141" si="399">N123-N132-N139</f>
        <v>-93428.390832000092</v>
      </c>
      <c r="O141" s="137">
        <f t="shared" si="398"/>
        <v>1406.8410000000731</v>
      </c>
      <c r="P141" s="138">
        <f t="shared" si="398"/>
        <v>-704897.90272666654</v>
      </c>
      <c r="Q141" s="138">
        <f t="shared" si="398"/>
        <v>-219275.8</v>
      </c>
      <c r="R141" s="138">
        <f t="shared" si="398"/>
        <v>0</v>
      </c>
      <c r="S141" s="137">
        <f>S123-S132-S139</f>
        <v>-1434410.39506</v>
      </c>
      <c r="T141" s="137">
        <f t="shared" ref="T141" si="400">T123-T132-T139</f>
        <v>-430323.11851800006</v>
      </c>
      <c r="U141" s="137">
        <f t="shared" si="398"/>
        <v>-486.39637000009679</v>
      </c>
      <c r="V141" s="138">
        <f t="shared" si="398"/>
        <v>-185202.23702000006</v>
      </c>
      <c r="W141" s="138">
        <f t="shared" si="398"/>
        <v>8341.6600000000035</v>
      </c>
      <c r="X141" s="138">
        <f t="shared" si="398"/>
        <v>0</v>
      </c>
      <c r="Y141" s="137">
        <f>Y123-Y132-Y139</f>
        <v>-157883.10005666674</v>
      </c>
      <c r="Z141" s="137">
        <f t="shared" ref="Z141" si="401">Z123-Z132-Z139</f>
        <v>-47364.93001700005</v>
      </c>
      <c r="AA141" s="137">
        <f t="shared" si="398"/>
        <v>1832.9639999999199</v>
      </c>
      <c r="AB141" s="138">
        <f t="shared" si="398"/>
        <v>638125.91600000008</v>
      </c>
      <c r="AC141" s="138">
        <f t="shared" si="398"/>
        <v>93309.330000000075</v>
      </c>
      <c r="AD141" s="138">
        <f t="shared" si="398"/>
        <v>0</v>
      </c>
      <c r="AE141" s="137">
        <f>AE123-AE132-AE139</f>
        <v>942706.21745</v>
      </c>
      <c r="AF141" s="137">
        <f t="shared" ref="AF141" si="402">AF123-AF132-AF139</f>
        <v>282811.86523500003</v>
      </c>
      <c r="AG141" s="137">
        <f t="shared" ref="AG141:AV141" si="403">AG123-AG132-AG139</f>
        <v>-2754.3680000000168</v>
      </c>
      <c r="AH141" s="138">
        <f t="shared" si="403"/>
        <v>-754900.1144399998</v>
      </c>
      <c r="AI141" s="138">
        <f t="shared" si="403"/>
        <v>328703.73</v>
      </c>
      <c r="AJ141" s="138">
        <f t="shared" si="403"/>
        <v>0</v>
      </c>
      <c r="AK141" s="137">
        <f>AK123-AK132-AK139</f>
        <v>338024.61756000022</v>
      </c>
      <c r="AL141" s="137">
        <f t="shared" ref="AL141" si="404">AL123-AL132-AL139</f>
        <v>101407.38526800004</v>
      </c>
      <c r="AM141" s="137">
        <f t="shared" si="403"/>
        <v>496.23599999991711</v>
      </c>
      <c r="AN141" s="138">
        <f t="shared" si="403"/>
        <v>451980.81494000007</v>
      </c>
      <c r="AO141" s="138">
        <f t="shared" si="403"/>
        <v>-150477.47999999998</v>
      </c>
      <c r="AP141" s="138">
        <f t="shared" si="403"/>
        <v>0</v>
      </c>
      <c r="AQ141" s="137">
        <f>AQ123-AQ132-AQ139</f>
        <v>-49114.54905999999</v>
      </c>
      <c r="AR141" s="137">
        <f t="shared" ref="AR141" si="405">AR123-AR132-AR139</f>
        <v>-14734.364717999881</v>
      </c>
      <c r="AS141" s="137">
        <f t="shared" si="403"/>
        <v>-790.18536999997013</v>
      </c>
      <c r="AT141" s="138">
        <f t="shared" si="403"/>
        <v>-416846.44101999997</v>
      </c>
      <c r="AU141" s="138">
        <f t="shared" si="403"/>
        <v>71190</v>
      </c>
      <c r="AV141" s="138">
        <f t="shared" si="403"/>
        <v>0</v>
      </c>
      <c r="AW141" s="137">
        <f>AW123-AW132-AW139</f>
        <v>-180336.62638999993</v>
      </c>
      <c r="AX141" s="137">
        <f t="shared" ref="AX141" si="406">AX123-AX132-AX139</f>
        <v>-54100.987917000006</v>
      </c>
      <c r="AZ141" s="137">
        <f t="shared" si="380"/>
        <v>-2136275.5128800008</v>
      </c>
    </row>
    <row r="142" spans="1:52" ht="13.5" thickBot="1" x14ac:dyDescent="0.25">
      <c r="A142" s="232"/>
      <c r="B142" s="99"/>
      <c r="C142" s="51"/>
      <c r="D142" s="28"/>
      <c r="E142" s="28"/>
      <c r="F142" s="28"/>
      <c r="G142" s="51"/>
      <c r="H142" s="51"/>
      <c r="I142" s="51"/>
      <c r="J142" s="28"/>
      <c r="K142" s="28"/>
      <c r="L142" s="28"/>
      <c r="M142" s="51"/>
      <c r="N142" s="51"/>
      <c r="O142" s="51"/>
      <c r="P142" s="28"/>
      <c r="Q142" s="28"/>
      <c r="R142" s="28"/>
      <c r="S142" s="51"/>
      <c r="T142" s="51"/>
      <c r="U142" s="51"/>
      <c r="V142" s="28"/>
      <c r="W142" s="28"/>
      <c r="X142" s="28"/>
      <c r="Y142" s="51"/>
      <c r="Z142" s="51"/>
      <c r="AA142" s="51"/>
      <c r="AB142" s="28"/>
      <c r="AC142" s="28"/>
      <c r="AD142" s="28"/>
      <c r="AE142" s="51"/>
      <c r="AF142" s="51"/>
      <c r="AG142" s="51"/>
      <c r="AH142" s="28"/>
      <c r="AI142" s="28"/>
      <c r="AJ142" s="28"/>
      <c r="AK142" s="51"/>
      <c r="AL142" s="51"/>
      <c r="AM142" s="51"/>
      <c r="AN142" s="28"/>
      <c r="AO142" s="28"/>
      <c r="AP142" s="28"/>
      <c r="AQ142" s="51"/>
      <c r="AR142" s="51"/>
      <c r="AS142" s="51"/>
      <c r="AT142" s="28"/>
      <c r="AU142" s="28"/>
      <c r="AV142" s="28"/>
      <c r="AW142" s="51"/>
      <c r="AX142" s="51"/>
    </row>
    <row r="143" spans="1:52" x14ac:dyDescent="0.2">
      <c r="A143" s="654" t="s">
        <v>464</v>
      </c>
      <c r="B143" s="193" t="s">
        <v>80</v>
      </c>
      <c r="C143" s="53"/>
      <c r="D143" s="30"/>
      <c r="E143" s="30"/>
      <c r="F143" s="30"/>
      <c r="G143" s="53"/>
      <c r="H143" s="53"/>
      <c r="I143" s="53"/>
      <c r="J143" s="30"/>
      <c r="K143" s="30"/>
      <c r="L143" s="30"/>
      <c r="M143" s="53"/>
      <c r="N143" s="53"/>
      <c r="O143" s="53"/>
      <c r="P143" s="30"/>
      <c r="Q143" s="30"/>
      <c r="R143" s="30"/>
      <c r="S143" s="53"/>
      <c r="T143" s="53"/>
      <c r="U143" s="53"/>
      <c r="V143" s="30"/>
      <c r="W143" s="30"/>
      <c r="X143" s="30"/>
      <c r="Y143" s="53"/>
      <c r="Z143" s="53"/>
      <c r="AA143" s="53"/>
      <c r="AB143" s="30"/>
      <c r="AC143" s="30"/>
      <c r="AD143" s="30"/>
      <c r="AE143" s="53"/>
      <c r="AF143" s="53"/>
      <c r="AG143" s="53"/>
      <c r="AH143" s="30"/>
      <c r="AI143" s="30"/>
      <c r="AJ143" s="30"/>
      <c r="AK143" s="53"/>
      <c r="AL143" s="53"/>
      <c r="AM143" s="53"/>
      <c r="AN143" s="30"/>
      <c r="AO143" s="30"/>
      <c r="AP143" s="30"/>
      <c r="AQ143" s="53"/>
      <c r="AR143" s="53"/>
      <c r="AS143" s="53"/>
      <c r="AT143" s="30"/>
      <c r="AU143" s="30"/>
      <c r="AV143" s="30"/>
      <c r="AW143" s="53"/>
      <c r="AX143" s="53"/>
    </row>
    <row r="144" spans="1:52" outlineLevel="1" x14ac:dyDescent="0.2">
      <c r="A144" s="655"/>
      <c r="B144" s="194" t="s">
        <v>470</v>
      </c>
      <c r="C144" s="54"/>
      <c r="D144" s="31"/>
      <c r="E144" s="31"/>
      <c r="F144" s="31"/>
      <c r="G144" s="54"/>
      <c r="H144" s="54"/>
      <c r="I144" s="54"/>
      <c r="J144" s="31"/>
      <c r="K144" s="31"/>
      <c r="L144" s="31"/>
      <c r="M144" s="54"/>
      <c r="N144" s="54"/>
      <c r="O144" s="54"/>
      <c r="P144" s="31"/>
      <c r="Q144" s="31"/>
      <c r="R144" s="31"/>
      <c r="S144" s="54"/>
      <c r="T144" s="54"/>
      <c r="U144" s="54"/>
      <c r="V144" s="31"/>
      <c r="W144" s="31"/>
      <c r="X144" s="31"/>
      <c r="Y144" s="54"/>
      <c r="Z144" s="54"/>
      <c r="AA144" s="54"/>
      <c r="AB144" s="31"/>
      <c r="AC144" s="31"/>
      <c r="AD144" s="31"/>
      <c r="AE144" s="54"/>
      <c r="AF144" s="54"/>
      <c r="AG144" s="54"/>
      <c r="AH144" s="31"/>
      <c r="AI144" s="31"/>
      <c r="AJ144" s="31"/>
      <c r="AK144" s="54"/>
      <c r="AL144" s="54"/>
      <c r="AM144" s="54"/>
      <c r="AN144" s="31"/>
      <c r="AO144" s="31"/>
      <c r="AP144" s="31"/>
      <c r="AQ144" s="54"/>
      <c r="AR144" s="54"/>
      <c r="AS144" s="54"/>
      <c r="AT144" s="31"/>
      <c r="AU144" s="31"/>
      <c r="AV144" s="31"/>
      <c r="AW144" s="54"/>
      <c r="AX144" s="54"/>
    </row>
    <row r="145" spans="1:53" outlineLevel="1" x14ac:dyDescent="0.2">
      <c r="A145" s="656"/>
      <c r="B145" s="194" t="s">
        <v>471</v>
      </c>
      <c r="C145" s="54">
        <v>-1000000</v>
      </c>
      <c r="D145" s="31">
        <v>-3000000</v>
      </c>
      <c r="E145" s="31"/>
      <c r="F145" s="31"/>
      <c r="G145" s="54">
        <f>C145+D145+E145/$C$16+F145/$F$16</f>
        <v>-4000000</v>
      </c>
      <c r="H145" s="54">
        <f t="shared" ref="H145" si="407">G145*$C$16</f>
        <v>-1200000</v>
      </c>
      <c r="I145" s="54">
        <v>-1000000</v>
      </c>
      <c r="J145" s="31">
        <v>-3000000</v>
      </c>
      <c r="K145" s="31"/>
      <c r="L145" s="31"/>
      <c r="M145" s="54">
        <f>I145+J145+K145/$C$16+L145/$F$16</f>
        <v>-4000000</v>
      </c>
      <c r="N145" s="54">
        <f t="shared" ref="N145:N148" si="408">M145*$C$16</f>
        <v>-1200000</v>
      </c>
      <c r="O145" s="54">
        <v>-1000000</v>
      </c>
      <c r="P145" s="31">
        <v>-3000000</v>
      </c>
      <c r="Q145" s="31"/>
      <c r="R145" s="31"/>
      <c r="S145" s="54">
        <f>O145+P145+Q145/$C$16+R145/$F$16</f>
        <v>-4000000</v>
      </c>
      <c r="T145" s="54">
        <f t="shared" ref="T145:T148" si="409">S145*$C$16</f>
        <v>-1200000</v>
      </c>
      <c r="U145" s="54">
        <v>-1000000</v>
      </c>
      <c r="V145" s="31">
        <v>-3000000</v>
      </c>
      <c r="W145" s="31"/>
      <c r="X145" s="31"/>
      <c r="Y145" s="54">
        <f>U145+V145+W145/$C$16+X145/$F$16</f>
        <v>-4000000</v>
      </c>
      <c r="Z145" s="54">
        <f t="shared" ref="Z145:Z148" si="410">Y145*$C$16</f>
        <v>-1200000</v>
      </c>
      <c r="AA145" s="54">
        <v>-1000000</v>
      </c>
      <c r="AB145" s="31">
        <v>-3000000</v>
      </c>
      <c r="AC145" s="31"/>
      <c r="AD145" s="31"/>
      <c r="AE145" s="54">
        <f>AA145+AB145+AC145/$C$16+AD145/$F$16</f>
        <v>-4000000</v>
      </c>
      <c r="AF145" s="54">
        <f t="shared" ref="AF145:AF148" si="411">AE145*$C$16</f>
        <v>-1200000</v>
      </c>
      <c r="AG145" s="54">
        <v>-1000000</v>
      </c>
      <c r="AH145" s="31">
        <v>-3000000</v>
      </c>
      <c r="AI145" s="31"/>
      <c r="AJ145" s="31"/>
      <c r="AK145" s="54">
        <f>AG145+AH145+AI145/$C$16+AJ145/$F$16</f>
        <v>-4000000</v>
      </c>
      <c r="AL145" s="54">
        <f t="shared" ref="AL145:AL148" si="412">AK145*$C$16</f>
        <v>-1200000</v>
      </c>
      <c r="AM145" s="54">
        <v>-1000000</v>
      </c>
      <c r="AN145" s="31">
        <v>-3000000</v>
      </c>
      <c r="AO145" s="31"/>
      <c r="AP145" s="31"/>
      <c r="AQ145" s="54">
        <f>AM145+AN145+AO145/$C$16+AP145/$F$16</f>
        <v>-4000000</v>
      </c>
      <c r="AR145" s="54">
        <f t="shared" ref="AR145:AR148" si="413">AQ145*$C$16</f>
        <v>-1200000</v>
      </c>
      <c r="AS145" s="54">
        <v>-1000000</v>
      </c>
      <c r="AT145" s="31">
        <v>-3000000</v>
      </c>
      <c r="AU145" s="31"/>
      <c r="AV145" s="31"/>
      <c r="AW145" s="54">
        <f>AS145+AT145+AU145/$C$16+AV145/$F$16</f>
        <v>-4000000</v>
      </c>
      <c r="AX145" s="54">
        <f t="shared" ref="AX145:AX148" si="414">AW145*$C$16</f>
        <v>-1200000</v>
      </c>
    </row>
    <row r="146" spans="1:53" s="70" customFormat="1" ht="22.5" outlineLevel="1" x14ac:dyDescent="0.2">
      <c r="A146" s="239"/>
      <c r="B146" s="240" t="s">
        <v>472</v>
      </c>
      <c r="C146" s="241">
        <f>C145-C33</f>
        <v>-391410.67299999995</v>
      </c>
      <c r="D146" s="242">
        <f>D145-D33</f>
        <v>346990.06799999997</v>
      </c>
      <c r="E146" s="242"/>
      <c r="F146" s="242"/>
      <c r="G146" s="243">
        <f>C146+D146+E146/$C$16+F146/$F$16</f>
        <v>-44420.604999999981</v>
      </c>
      <c r="H146" s="243">
        <f t="shared" ref="H146:H148" si="415">G146*$C$16</f>
        <v>-13326.181499999993</v>
      </c>
      <c r="I146" s="241">
        <f>I145-I33</f>
        <v>208691.34400000027</v>
      </c>
      <c r="J146" s="242">
        <f>J145-J33</f>
        <v>506002.82555000018</v>
      </c>
      <c r="K146" s="242"/>
      <c r="L146" s="242"/>
      <c r="M146" s="243">
        <f>I146+J146+K146/$C$16+L146/$F$16</f>
        <v>714694.16955000046</v>
      </c>
      <c r="N146" s="243">
        <f t="shared" si="408"/>
        <v>214408.25086500013</v>
      </c>
      <c r="O146" s="241">
        <f>O145-O33</f>
        <v>209846.98800000059</v>
      </c>
      <c r="P146" s="242">
        <f>P145-P33</f>
        <v>260632.85099000018</v>
      </c>
      <c r="Q146" s="242"/>
      <c r="R146" s="242"/>
      <c r="S146" s="243">
        <f>O146+P146+Q146/$C$16+R146/$F$16</f>
        <v>470479.83899000078</v>
      </c>
      <c r="T146" s="243">
        <f t="shared" si="409"/>
        <v>141143.95169700022</v>
      </c>
      <c r="U146" s="241">
        <f>U145-U33</f>
        <v>208440.14700000058</v>
      </c>
      <c r="V146" s="242">
        <f>V145-V33</f>
        <v>965530.75371666672</v>
      </c>
      <c r="W146" s="242"/>
      <c r="X146" s="242"/>
      <c r="Y146" s="243">
        <f>U146+V146+W146/$C$16+X146/$F$16</f>
        <v>1173970.9007166673</v>
      </c>
      <c r="Z146" s="243">
        <f t="shared" si="410"/>
        <v>352191.2702150002</v>
      </c>
      <c r="AA146" s="241">
        <f>AA145-AA33</f>
        <v>208926.54337000079</v>
      </c>
      <c r="AB146" s="242">
        <f>AB145-AB33</f>
        <v>1150732.9907366666</v>
      </c>
      <c r="AC146" s="242"/>
      <c r="AD146" s="242"/>
      <c r="AE146" s="243">
        <f>AA146+AB146+AC146/$C$16+AD146/$F$16</f>
        <v>1359659.5341066674</v>
      </c>
      <c r="AF146" s="243">
        <f t="shared" si="411"/>
        <v>407897.86023200018</v>
      </c>
      <c r="AG146" s="241">
        <f>AG145-AG33</f>
        <v>207093.57937000087</v>
      </c>
      <c r="AH146" s="242">
        <f>AH145-AH33</f>
        <v>512607.0747366664</v>
      </c>
      <c r="AI146" s="242"/>
      <c r="AJ146" s="242"/>
      <c r="AK146" s="243">
        <f>AG146+AH146+AI146/$C$16+AJ146/$F$16</f>
        <v>719700.65410666727</v>
      </c>
      <c r="AL146" s="243">
        <f t="shared" si="412"/>
        <v>215910.19623200016</v>
      </c>
      <c r="AM146" s="241">
        <f>AM145-AM33</f>
        <v>209847.94737000088</v>
      </c>
      <c r="AN146" s="242">
        <f>AN145-AN33</f>
        <v>1267507.1891766666</v>
      </c>
      <c r="AO146" s="242"/>
      <c r="AP146" s="242"/>
      <c r="AQ146" s="243">
        <f>AM146+AN146+AO146/$C$16+AP146/$F$16</f>
        <v>1477355.1365466674</v>
      </c>
      <c r="AR146" s="243">
        <f t="shared" si="413"/>
        <v>443206.54096400022</v>
      </c>
      <c r="AS146" s="241">
        <f>AS145-AS33</f>
        <v>209351.71137000108</v>
      </c>
      <c r="AT146" s="242">
        <f>AT145-AT33</f>
        <v>815526.3742366666</v>
      </c>
      <c r="AU146" s="242"/>
      <c r="AV146" s="242"/>
      <c r="AW146" s="243">
        <f>AS146+AT146+AU146/$C$16+AV146/$F$16</f>
        <v>1024878.0856066677</v>
      </c>
      <c r="AX146" s="243">
        <f t="shared" si="414"/>
        <v>307463.42568200029</v>
      </c>
      <c r="AZ146"/>
    </row>
    <row r="147" spans="1:53" s="70" customFormat="1" ht="22.5" outlineLevel="1" x14ac:dyDescent="0.2">
      <c r="A147" s="239"/>
      <c r="B147" s="240" t="s">
        <v>473</v>
      </c>
      <c r="C147" s="241">
        <f>C145-C33-C141</f>
        <v>208691.34400000027</v>
      </c>
      <c r="D147" s="242">
        <f>D145-D33-D141</f>
        <v>506002.82555000007</v>
      </c>
      <c r="E147" s="242"/>
      <c r="F147" s="242"/>
      <c r="G147" s="243">
        <f>C147+D147+E147/$C$16+F147/$F$16</f>
        <v>714694.16955000034</v>
      </c>
      <c r="H147" s="243">
        <f t="shared" si="415"/>
        <v>214408.2508650001</v>
      </c>
      <c r="I147" s="241">
        <f>I145-I33-I141</f>
        <v>209846.98800000059</v>
      </c>
      <c r="J147" s="242">
        <f>J145-J33-J141</f>
        <v>260632.85099000009</v>
      </c>
      <c r="K147" s="242"/>
      <c r="L147" s="242"/>
      <c r="M147" s="243">
        <f>I147+J147+K147/$C$16+L147/$F$16</f>
        <v>470479.83899000066</v>
      </c>
      <c r="N147" s="243">
        <f t="shared" si="408"/>
        <v>141143.95169700019</v>
      </c>
      <c r="O147" s="241">
        <f>O145-O33-O141</f>
        <v>208440.14700000052</v>
      </c>
      <c r="P147" s="242">
        <f>P145-P33-P141</f>
        <v>965530.75371666672</v>
      </c>
      <c r="Q147" s="242"/>
      <c r="R147" s="242"/>
      <c r="S147" s="243">
        <f>O147+P147+Q147/$C$16+R147/$F$16</f>
        <v>1173970.9007166673</v>
      </c>
      <c r="T147" s="243">
        <f t="shared" si="409"/>
        <v>352191.2702150002</v>
      </c>
      <c r="U147" s="241">
        <f>U145-U33-U141</f>
        <v>208926.54337000067</v>
      </c>
      <c r="V147" s="242">
        <f>V145-V33-V141</f>
        <v>1150732.9907366668</v>
      </c>
      <c r="W147" s="242"/>
      <c r="X147" s="242"/>
      <c r="Y147" s="243">
        <f>U147+V147+W147/$C$16+X147/$F$16</f>
        <v>1359659.5341066676</v>
      </c>
      <c r="Z147" s="243">
        <f t="shared" si="410"/>
        <v>407897.8602320003</v>
      </c>
      <c r="AA147" s="241">
        <f>AA145-AA33-AA141</f>
        <v>207093.57937000087</v>
      </c>
      <c r="AB147" s="242">
        <f>AB145-AB33-AB141</f>
        <v>512607.07473666652</v>
      </c>
      <c r="AC147" s="242"/>
      <c r="AD147" s="242"/>
      <c r="AE147" s="243">
        <f>AA147+AB147+AC147/$C$16+AD147/$F$16</f>
        <v>719700.65410666738</v>
      </c>
      <c r="AF147" s="243">
        <f t="shared" si="411"/>
        <v>215910.19623200022</v>
      </c>
      <c r="AG147" s="241">
        <f>AG145-AG33-AG141</f>
        <v>209847.94737000088</v>
      </c>
      <c r="AH147" s="242">
        <f>AH145-AH33-AH141</f>
        <v>1267507.1891766661</v>
      </c>
      <c r="AI147" s="242"/>
      <c r="AJ147" s="242"/>
      <c r="AK147" s="243">
        <f>AG147+AH147+AI147/$C$16+AJ147/$F$16</f>
        <v>1477355.136546667</v>
      </c>
      <c r="AL147" s="243">
        <f t="shared" si="412"/>
        <v>443206.5409640001</v>
      </c>
      <c r="AM147" s="241">
        <f>AM145-AM33-AM141</f>
        <v>209351.71137000096</v>
      </c>
      <c r="AN147" s="242">
        <f>AN145-AN33-AN141</f>
        <v>815526.37423666648</v>
      </c>
      <c r="AO147" s="242"/>
      <c r="AP147" s="242"/>
      <c r="AQ147" s="243">
        <f>AM147+AN147+AO147/$C$16+AP147/$F$16</f>
        <v>1024878.0856066674</v>
      </c>
      <c r="AR147" s="243">
        <f t="shared" si="413"/>
        <v>307463.42568200023</v>
      </c>
      <c r="AS147" s="241">
        <f>AS145-AS33-AS141</f>
        <v>210141.89674000104</v>
      </c>
      <c r="AT147" s="242">
        <f>AT145-AT33-AT141</f>
        <v>1232372.8152566666</v>
      </c>
      <c r="AU147" s="242"/>
      <c r="AV147" s="242"/>
      <c r="AW147" s="243">
        <f>AS147+AT147+AU147/$C$16+AV147/$F$16</f>
        <v>1442514.7119966676</v>
      </c>
      <c r="AX147" s="243">
        <f t="shared" si="414"/>
        <v>432754.41359900025</v>
      </c>
    </row>
    <row r="148" spans="1:53" s="3" customFormat="1" outlineLevel="1" x14ac:dyDescent="0.2">
      <c r="A148" s="5"/>
      <c r="B148" s="101" t="s">
        <v>474</v>
      </c>
      <c r="C148" s="57">
        <f>C33+C141</f>
        <v>-1208691.3440000003</v>
      </c>
      <c r="D148" s="244">
        <f>D33+D141</f>
        <v>-3506002.8255500002</v>
      </c>
      <c r="E148" s="56"/>
      <c r="F148" s="56"/>
      <c r="G148" s="201">
        <f>C148+D148+E148/$C$16+F148/$F$16</f>
        <v>-4714694.1695500007</v>
      </c>
      <c r="H148" s="201">
        <f t="shared" si="415"/>
        <v>-1414408.2508650001</v>
      </c>
      <c r="I148" s="57">
        <f>I33+I141</f>
        <v>-1209846.9880000006</v>
      </c>
      <c r="J148" s="244">
        <f>J33+J141</f>
        <v>-3260632.8509900002</v>
      </c>
      <c r="K148" s="56"/>
      <c r="L148" s="56"/>
      <c r="M148" s="201">
        <f>I148+J148+K148/$C$16+L148/$F$16</f>
        <v>-4470479.838990001</v>
      </c>
      <c r="N148" s="201">
        <f t="shared" si="408"/>
        <v>-1341143.9516970003</v>
      </c>
      <c r="O148" s="57">
        <f>O33+O141</f>
        <v>-1208440.1470000006</v>
      </c>
      <c r="P148" s="244">
        <f>P33+P141</f>
        <v>-3965530.7537166667</v>
      </c>
      <c r="Q148" s="56"/>
      <c r="R148" s="56"/>
      <c r="S148" s="201">
        <f>O148+P148+Q148/$C$16+R148/$F$16</f>
        <v>-5173970.9007166671</v>
      </c>
      <c r="T148" s="201">
        <f t="shared" si="409"/>
        <v>-1552191.270215</v>
      </c>
      <c r="U148" s="57">
        <f>U33+U141</f>
        <v>-1208926.5433700008</v>
      </c>
      <c r="V148" s="244">
        <f>V33+V141</f>
        <v>-4150732.9907366666</v>
      </c>
      <c r="W148" s="56"/>
      <c r="X148" s="56"/>
      <c r="Y148" s="201">
        <f>U148+V148+W148/$C$16+X148/$F$16</f>
        <v>-5359659.5341066672</v>
      </c>
      <c r="Z148" s="201">
        <f t="shared" si="410"/>
        <v>-1607897.860232</v>
      </c>
      <c r="AA148" s="57">
        <f>AA33+AA141</f>
        <v>-1207093.5793700009</v>
      </c>
      <c r="AB148" s="244">
        <f>AB33+AB141</f>
        <v>-3512607.0747366664</v>
      </c>
      <c r="AC148" s="56"/>
      <c r="AD148" s="56"/>
      <c r="AE148" s="201">
        <f>AA148+AB148+AC148/$C$16+AD148/$F$16</f>
        <v>-4719700.6541066673</v>
      </c>
      <c r="AF148" s="201">
        <f t="shared" si="411"/>
        <v>-1415910.1962320001</v>
      </c>
      <c r="AG148" s="57">
        <f>AG33+AG141</f>
        <v>-1209847.9473700009</v>
      </c>
      <c r="AH148" s="244">
        <f>AH33+AH141</f>
        <v>-4267507.1891766666</v>
      </c>
      <c r="AI148" s="56"/>
      <c r="AJ148" s="56"/>
      <c r="AK148" s="201">
        <f>AG148+AH148+AI148/$C$16+AJ148/$F$16</f>
        <v>-5477355.1365466677</v>
      </c>
      <c r="AL148" s="201">
        <f t="shared" si="412"/>
        <v>-1643206.5409640002</v>
      </c>
      <c r="AM148" s="57">
        <f>AM33+AM141</f>
        <v>-1209351.7113700011</v>
      </c>
      <c r="AN148" s="244">
        <f>AN33+AN141</f>
        <v>-3815526.3742366666</v>
      </c>
      <c r="AO148" s="56"/>
      <c r="AP148" s="56"/>
      <c r="AQ148" s="201">
        <f>AM148+AN148+AO148/$C$16+AP148/$F$16</f>
        <v>-5024878.0856066681</v>
      </c>
      <c r="AR148" s="201">
        <f t="shared" si="413"/>
        <v>-1507463.4256820004</v>
      </c>
      <c r="AS148" s="57">
        <f>AS33+AS141</f>
        <v>-1210141.8967400012</v>
      </c>
      <c r="AT148" s="244">
        <f>AT33+AT141</f>
        <v>-4232372.8152566664</v>
      </c>
      <c r="AU148" s="56"/>
      <c r="AV148" s="56"/>
      <c r="AW148" s="201">
        <f>AS148+AT148+AU148/$C$16+AV148/$F$16</f>
        <v>-5442514.7119966671</v>
      </c>
      <c r="AX148" s="201">
        <f t="shared" si="414"/>
        <v>-1632754.4135990001</v>
      </c>
      <c r="AZ148"/>
    </row>
    <row r="149" spans="1:53" s="204" customFormat="1" outlineLevel="1" x14ac:dyDescent="0.2">
      <c r="A149" s="234"/>
      <c r="B149" s="205"/>
      <c r="C149" s="206"/>
      <c r="D149" s="246"/>
      <c r="E149" s="207"/>
      <c r="F149" s="247"/>
      <c r="G149" s="206"/>
      <c r="H149" s="206"/>
      <c r="I149" s="206"/>
      <c r="J149" s="246"/>
      <c r="K149" s="207"/>
      <c r="L149" s="247"/>
      <c r="M149" s="206"/>
      <c r="N149" s="206"/>
      <c r="O149" s="206"/>
      <c r="P149" s="246"/>
      <c r="Q149" s="207"/>
      <c r="R149" s="247"/>
      <c r="S149" s="206"/>
      <c r="T149" s="206"/>
      <c r="U149" s="206"/>
      <c r="V149" s="246"/>
      <c r="W149" s="207"/>
      <c r="X149" s="247"/>
      <c r="Y149" s="206"/>
      <c r="Z149" s="206"/>
      <c r="AA149" s="206"/>
      <c r="AB149" s="246"/>
      <c r="AC149" s="207"/>
      <c r="AD149" s="247"/>
      <c r="AE149" s="206"/>
      <c r="AF149" s="206"/>
      <c r="AG149" s="206"/>
      <c r="AH149" s="246"/>
      <c r="AI149" s="207"/>
      <c r="AJ149" s="247"/>
      <c r="AK149" s="206"/>
      <c r="AL149" s="206"/>
      <c r="AM149" s="206"/>
      <c r="AN149" s="246"/>
      <c r="AO149" s="207"/>
      <c r="AP149" s="247"/>
      <c r="AQ149" s="206"/>
      <c r="AR149" s="206"/>
      <c r="AS149" s="206"/>
      <c r="AT149" s="246"/>
      <c r="AU149" s="207"/>
      <c r="AV149" s="247"/>
      <c r="AW149" s="206"/>
      <c r="AX149" s="206"/>
      <c r="AZ149"/>
    </row>
    <row r="150" spans="1:53" outlineLevel="1" x14ac:dyDescent="0.2">
      <c r="A150" s="232"/>
      <c r="B150" s="96" t="s">
        <v>81</v>
      </c>
      <c r="C150" s="48">
        <f>IF(C148&gt;C33,0,C148-C33)</f>
        <v>-600102.01700000023</v>
      </c>
      <c r="D150" s="248">
        <f>IF(D148&gt;D33,0,D148-D33)</f>
        <v>-159012.75755000021</v>
      </c>
      <c r="E150" s="249">
        <f t="shared" ref="E150:F150" si="416">IF(E147&lt;0,IF(E147&gt;E146,-E147,-E146),0)</f>
        <v>0</v>
      </c>
      <c r="F150" s="250">
        <f t="shared" si="416"/>
        <v>0</v>
      </c>
      <c r="G150" s="200">
        <f>C150+D150+E150/$C$16+F150/$F$16</f>
        <v>-759114.77455000044</v>
      </c>
      <c r="H150" s="200">
        <f t="shared" ref="H150:H151" si="417">G150*$C$16</f>
        <v>-227734.43236500013</v>
      </c>
      <c r="I150" s="48">
        <f>IF(I148&gt;I33,0,I148-I33)</f>
        <v>-1155.6440000003204</v>
      </c>
      <c r="J150" s="248">
        <f>IF(J148&gt;J33,0,J148-J33)</f>
        <v>0</v>
      </c>
      <c r="K150" s="249">
        <f t="shared" ref="K150:L150" si="418">IF(K147&lt;0,IF(K147&gt;K146,-K147,-K146),0)</f>
        <v>0</v>
      </c>
      <c r="L150" s="250">
        <f t="shared" si="418"/>
        <v>0</v>
      </c>
      <c r="M150" s="200">
        <f>I150+J150+K150/$C$16+L150/$F$16</f>
        <v>-1155.6440000003204</v>
      </c>
      <c r="N150" s="200">
        <f t="shared" ref="N150:N151" si="419">M150*$C$16</f>
        <v>-346.69320000009611</v>
      </c>
      <c r="O150" s="48">
        <f>IF(O148&gt;O33,0,O148-O33)</f>
        <v>0</v>
      </c>
      <c r="P150" s="248">
        <f>IF(P148&gt;P33,0,P148-P33)</f>
        <v>-704897.90272666654</v>
      </c>
      <c r="Q150" s="249">
        <f t="shared" ref="Q150:R150" si="420">IF(Q147&lt;0,IF(Q147&gt;Q146,-Q147,-Q146),0)</f>
        <v>0</v>
      </c>
      <c r="R150" s="250">
        <f t="shared" si="420"/>
        <v>0</v>
      </c>
      <c r="S150" s="200">
        <f>O150+P150+Q150/$C$16+R150/$F$16</f>
        <v>-704897.90272666654</v>
      </c>
      <c r="T150" s="200">
        <f t="shared" ref="T150:T151" si="421">S150*$C$16</f>
        <v>-211469.37081799997</v>
      </c>
      <c r="U150" s="48">
        <f>IF(U148&gt;U33,0,U148-U33)</f>
        <v>-486.39637000020593</v>
      </c>
      <c r="V150" s="248">
        <f>IF(V148&gt;V33,0,V148-V33)</f>
        <v>-185202.23701999988</v>
      </c>
      <c r="W150" s="249">
        <f t="shared" ref="W150:X150" si="422">IF(W147&lt;0,IF(W147&gt;W146,-W147,-W146),0)</f>
        <v>0</v>
      </c>
      <c r="X150" s="250">
        <f t="shared" si="422"/>
        <v>0</v>
      </c>
      <c r="Y150" s="200">
        <f>U150+V150+W150/$C$16+X150/$F$16</f>
        <v>-185688.63339000009</v>
      </c>
      <c r="Z150" s="200">
        <f t="shared" ref="Z150:Z151" si="423">Y150*$C$16</f>
        <v>-55706.590017000024</v>
      </c>
      <c r="AA150" s="48">
        <f>IF(AA148&gt;AA33,0,AA148-AA33)</f>
        <v>0</v>
      </c>
      <c r="AB150" s="248">
        <f>IF(AB148&gt;AB33,0,AB148-AB33)</f>
        <v>0</v>
      </c>
      <c r="AC150" s="249">
        <f t="shared" ref="AC150:AD150" si="424">IF(AC147&lt;0,IF(AC147&gt;AC146,-AC147,-AC146),0)</f>
        <v>0</v>
      </c>
      <c r="AD150" s="250">
        <f t="shared" si="424"/>
        <v>0</v>
      </c>
      <c r="AE150" s="200">
        <f>AA150+AB150+AC150/$C$16+AD150/$F$16</f>
        <v>0</v>
      </c>
      <c r="AF150" s="200">
        <f t="shared" ref="AF150:AF151" si="425">AE150*$C$16</f>
        <v>0</v>
      </c>
      <c r="AG150" s="48">
        <f>IF(AG148&gt;AG33,0,AG148-AG33)</f>
        <v>-2754.3680000000168</v>
      </c>
      <c r="AH150" s="248">
        <f>IF(AH148&gt;AH33,0,AH148-AH33)</f>
        <v>-754900.11444000015</v>
      </c>
      <c r="AI150" s="249">
        <f t="shared" ref="AI150:AJ150" si="426">IF(AI147&lt;0,IF(AI147&gt;AI146,-AI147,-AI146),0)</f>
        <v>0</v>
      </c>
      <c r="AJ150" s="250">
        <f t="shared" si="426"/>
        <v>0</v>
      </c>
      <c r="AK150" s="200">
        <f>AG150+AH150+AI150/$C$16+AJ150/$F$16</f>
        <v>-757654.48244000017</v>
      </c>
      <c r="AL150" s="200">
        <f t="shared" ref="AL150:AL151" si="427">AK150*$C$16</f>
        <v>-227296.34473200006</v>
      </c>
      <c r="AM150" s="48">
        <f>IF(AM148&gt;AM33,0,AM148-AM33)</f>
        <v>0</v>
      </c>
      <c r="AN150" s="248">
        <f>IF(AN148&gt;AN33,0,AN148-AN33)</f>
        <v>0</v>
      </c>
      <c r="AO150" s="249">
        <f t="shared" ref="AO150:AP150" si="428">IF(AO147&lt;0,IF(AO147&gt;AO146,-AO147,-AO146),0)</f>
        <v>0</v>
      </c>
      <c r="AP150" s="250">
        <f t="shared" si="428"/>
        <v>0</v>
      </c>
      <c r="AQ150" s="200">
        <f>AM150+AN150+AO150/$C$16+AP150/$F$16</f>
        <v>0</v>
      </c>
      <c r="AR150" s="200">
        <f t="shared" ref="AR150:AR151" si="429">AQ150*$C$16</f>
        <v>0</v>
      </c>
      <c r="AS150" s="48">
        <f>IF(AS148&gt;AS33,0,AS148-AS33)</f>
        <v>-790.18537000007927</v>
      </c>
      <c r="AT150" s="248">
        <f>IF(AT148&gt;AT33,0,AT148-AT33)</f>
        <v>-416846.44101999979</v>
      </c>
      <c r="AU150" s="249">
        <f t="shared" ref="AU150:AV150" si="430">IF(AU147&lt;0,IF(AU147&gt;AU146,-AU147,-AU146),0)</f>
        <v>0</v>
      </c>
      <c r="AV150" s="250">
        <f t="shared" si="430"/>
        <v>0</v>
      </c>
      <c r="AW150" s="200">
        <f>AS150+AT150+AU150/$C$16+AV150/$F$16</f>
        <v>-417636.62638999987</v>
      </c>
      <c r="AX150" s="200">
        <f t="shared" ref="AX150:AX151" si="431">AW150*$C$16</f>
        <v>-125290.98791699996</v>
      </c>
    </row>
    <row r="151" spans="1:53" outlineLevel="1" x14ac:dyDescent="0.2">
      <c r="A151" s="232"/>
      <c r="B151" s="102" t="s">
        <v>82</v>
      </c>
      <c r="C151" s="55">
        <f>IF(C148&lt;C33,0,C148-C33)</f>
        <v>0</v>
      </c>
      <c r="D151" s="35">
        <f>IF(D148&lt;D33,0,D148-D33)</f>
        <v>0</v>
      </c>
      <c r="E151" s="36">
        <f>IF(E147&gt;0,IF(E147+E33&gt;0,E33,-E147),0)</f>
        <v>0</v>
      </c>
      <c r="F151" s="251">
        <f>IF(F147&gt;0,IF(F147+F33&gt;0,F33,-F147),0)</f>
        <v>0</v>
      </c>
      <c r="G151" s="203">
        <f>C151+D151+E151/$C$16+F151/$F$16</f>
        <v>0</v>
      </c>
      <c r="H151" s="203">
        <f t="shared" si="417"/>
        <v>0</v>
      </c>
      <c r="I151" s="55">
        <f>IF(I148&lt;I33,0,I148-I33)</f>
        <v>0</v>
      </c>
      <c r="J151" s="35">
        <f>IF(J148&lt;J33,0,J148-J33)</f>
        <v>245369.97456</v>
      </c>
      <c r="K151" s="36">
        <f>IF(K147&gt;0,IF(K147+K33&gt;0,K33,-K147),0)</f>
        <v>0</v>
      </c>
      <c r="L151" s="251">
        <f>IF(L147&gt;0,IF(L147+L33&gt;0,L33,-L147),0)</f>
        <v>0</v>
      </c>
      <c r="M151" s="203">
        <f>I151+J151+K151/$C$16+L151/$F$16</f>
        <v>245369.97456</v>
      </c>
      <c r="N151" s="203">
        <f t="shared" si="419"/>
        <v>73610.992367999992</v>
      </c>
      <c r="O151" s="55">
        <f>IF(O148&lt;O33,0,O148-O33)</f>
        <v>1406.8410000000149</v>
      </c>
      <c r="P151" s="35">
        <f>IF(P148&lt;P33,0,P148-P33)</f>
        <v>0</v>
      </c>
      <c r="Q151" s="36">
        <f>IF(Q147&gt;0,IF(Q147+Q33&gt;0,Q33,-Q147),0)</f>
        <v>0</v>
      </c>
      <c r="R151" s="251">
        <f>IF(R147&gt;0,IF(R147+R33&gt;0,R33,-R147),0)</f>
        <v>0</v>
      </c>
      <c r="S151" s="203">
        <f>O151+P151+Q151/$C$16+R151/$F$16</f>
        <v>1406.8410000000149</v>
      </c>
      <c r="T151" s="203">
        <f t="shared" si="421"/>
        <v>422.05230000000444</v>
      </c>
      <c r="U151" s="55">
        <f>IF(U148&lt;U33,0,U148-U33)</f>
        <v>0</v>
      </c>
      <c r="V151" s="35">
        <f>IF(V148&lt;V33,0,V148-V33)</f>
        <v>0</v>
      </c>
      <c r="W151" s="36">
        <f>IF(W147&gt;0,IF(W147+W33&gt;0,W33,-W147),0)</f>
        <v>0</v>
      </c>
      <c r="X151" s="251">
        <f>IF(X147&gt;0,IF(X147+X33&gt;0,X33,-X147),0)</f>
        <v>0</v>
      </c>
      <c r="Y151" s="203">
        <f>U151+V151+W151/$C$16+X151/$F$16</f>
        <v>0</v>
      </c>
      <c r="Z151" s="203">
        <f t="shared" si="423"/>
        <v>0</v>
      </c>
      <c r="AA151" s="55">
        <f>IF(AA148&lt;AA33,0,AA148-AA33)</f>
        <v>1832.9639999999199</v>
      </c>
      <c r="AB151" s="35">
        <f>IF(AB148&lt;AB33,0,AB148-AB33)</f>
        <v>638125.9160000002</v>
      </c>
      <c r="AC151" s="36">
        <f>IF(AC147&gt;0,IF(AC147+AC33&gt;0,AC33,-AC147),0)</f>
        <v>0</v>
      </c>
      <c r="AD151" s="251">
        <f>IF(AD147&gt;0,IF(AD147+AD33&gt;0,AD33,-AD147),0)</f>
        <v>0</v>
      </c>
      <c r="AE151" s="203">
        <f>AA151+AB151+AC151/$C$16+AD151/$F$16</f>
        <v>639958.88000000012</v>
      </c>
      <c r="AF151" s="203">
        <f t="shared" si="425"/>
        <v>191987.66400000002</v>
      </c>
      <c r="AG151" s="55">
        <f>IF(AG148&lt;AG33,0,AG148-AG33)</f>
        <v>0</v>
      </c>
      <c r="AH151" s="35">
        <f>IF(AH148&lt;AH33,0,AH148-AH33)</f>
        <v>0</v>
      </c>
      <c r="AI151" s="36">
        <f>IF(AI147&gt;0,IF(AI147+AI33&gt;0,AI33,-AI147),0)</f>
        <v>0</v>
      </c>
      <c r="AJ151" s="251">
        <f>IF(AJ147&gt;0,IF(AJ147+AJ33&gt;0,AJ33,-AJ147),0)</f>
        <v>0</v>
      </c>
      <c r="AK151" s="203">
        <f>AG151+AH151+AI151/$C$16+AJ151/$F$16</f>
        <v>0</v>
      </c>
      <c r="AL151" s="203">
        <f t="shared" si="427"/>
        <v>0</v>
      </c>
      <c r="AM151" s="55">
        <f>IF(AM148&lt;AM33,0,AM148-AM33)</f>
        <v>496.2359999998007</v>
      </c>
      <c r="AN151" s="35">
        <f>IF(AN148&lt;AN33,0,AN148-AN33)</f>
        <v>451980.81493999995</v>
      </c>
      <c r="AO151" s="36">
        <f>IF(AO147&gt;0,IF(AO147+AO33&gt;0,AO33,-AO147),0)</f>
        <v>0</v>
      </c>
      <c r="AP151" s="251">
        <f>IF(AP147&gt;0,IF(AP147+AP33&gt;0,AP33,-AP147),0)</f>
        <v>0</v>
      </c>
      <c r="AQ151" s="203">
        <f>AM151+AN151+AO151/$C$16+AP151/$F$16</f>
        <v>452477.05093999975</v>
      </c>
      <c r="AR151" s="203">
        <f t="shared" si="429"/>
        <v>135743.11528199993</v>
      </c>
      <c r="AS151" s="55">
        <f>IF(AS148&lt;AS33,0,AS148-AS33)</f>
        <v>0</v>
      </c>
      <c r="AT151" s="35">
        <f>IF(AT148&lt;AT33,0,AT148-AT33)</f>
        <v>0</v>
      </c>
      <c r="AU151" s="36">
        <f>IF(AU147&gt;0,IF(AU147+AU33&gt;0,AU33,-AU147),0)</f>
        <v>0</v>
      </c>
      <c r="AV151" s="251">
        <f>IF(AV147&gt;0,IF(AV147+AV33&gt;0,AV33,-AV147),0)</f>
        <v>0</v>
      </c>
      <c r="AW151" s="203">
        <f>AS151+AT151+AU151/$C$16+AV151/$F$16</f>
        <v>0</v>
      </c>
      <c r="AX151" s="203">
        <f t="shared" si="431"/>
        <v>0</v>
      </c>
    </row>
    <row r="152" spans="1:53" s="204" customFormat="1" ht="13.5" outlineLevel="1" thickBot="1" x14ac:dyDescent="0.25">
      <c r="A152" s="234"/>
      <c r="B152" s="208"/>
      <c r="C152" s="209"/>
      <c r="D152" s="210"/>
      <c r="E152" s="210"/>
      <c r="F152" s="210"/>
      <c r="G152" s="209"/>
      <c r="H152" s="209"/>
      <c r="I152" s="209"/>
      <c r="J152" s="210"/>
      <c r="K152" s="210"/>
      <c r="L152" s="210"/>
      <c r="M152" s="209"/>
      <c r="N152" s="209"/>
      <c r="O152" s="209"/>
      <c r="P152" s="210"/>
      <c r="Q152" s="210"/>
      <c r="R152" s="210"/>
      <c r="S152" s="209"/>
      <c r="T152" s="209"/>
      <c r="U152" s="209"/>
      <c r="V152" s="210"/>
      <c r="W152" s="210"/>
      <c r="X152" s="210"/>
      <c r="Y152" s="209"/>
      <c r="Z152" s="209"/>
      <c r="AA152" s="209"/>
      <c r="AB152" s="210"/>
      <c r="AC152" s="210"/>
      <c r="AD152" s="210"/>
      <c r="AE152" s="209"/>
      <c r="AF152" s="209"/>
      <c r="AG152" s="209"/>
      <c r="AH152" s="210"/>
      <c r="AI152" s="210"/>
      <c r="AJ152" s="210"/>
      <c r="AK152" s="209"/>
      <c r="AL152" s="209"/>
      <c r="AM152" s="209"/>
      <c r="AN152" s="210"/>
      <c r="AO152" s="210"/>
      <c r="AP152" s="210"/>
      <c r="AQ152" s="209"/>
      <c r="AR152" s="209"/>
      <c r="AS152" s="209"/>
      <c r="AT152" s="210"/>
      <c r="AU152" s="210"/>
      <c r="AV152" s="210"/>
      <c r="AW152" s="209"/>
      <c r="AX152" s="209"/>
      <c r="AZ152"/>
    </row>
    <row r="153" spans="1:53" s="70" customFormat="1" ht="30.75" thickBot="1" x14ac:dyDescent="0.25">
      <c r="A153" s="239"/>
      <c r="B153" s="309" t="s">
        <v>715</v>
      </c>
      <c r="C153" s="122">
        <f t="shared" ref="C153:AD153" si="432">C17+C141</f>
        <v>2621.4259999997448</v>
      </c>
      <c r="D153" s="124">
        <f t="shared" si="432"/>
        <v>-456592.92154999997</v>
      </c>
      <c r="E153" s="123">
        <f t="shared" si="432"/>
        <v>555031.04000000004</v>
      </c>
      <c r="F153" s="310">
        <f t="shared" si="432"/>
        <v>889.75</v>
      </c>
      <c r="G153" s="122">
        <f t="shared" si="432"/>
        <v>1398828.1832378786</v>
      </c>
      <c r="H153" s="122">
        <f t="shared" si="432"/>
        <v>419648.45497136348</v>
      </c>
      <c r="I153" s="122">
        <f t="shared" si="432"/>
        <v>1465.7819999994244</v>
      </c>
      <c r="J153" s="124">
        <f t="shared" si="432"/>
        <v>-211222.94698999988</v>
      </c>
      <c r="K153" s="123">
        <f t="shared" si="432"/>
        <v>407322.12000000005</v>
      </c>
      <c r="L153" s="310">
        <f t="shared" si="432"/>
        <v>889.75</v>
      </c>
      <c r="M153" s="122">
        <f t="shared" si="432"/>
        <v>1150679.4471312116</v>
      </c>
      <c r="N153" s="122">
        <f t="shared" si="432"/>
        <v>345203.83413936361</v>
      </c>
      <c r="O153" s="122">
        <f t="shared" si="432"/>
        <v>2872.6229999994976</v>
      </c>
      <c r="P153" s="124">
        <f t="shared" si="432"/>
        <v>-916120.84971666639</v>
      </c>
      <c r="Q153" s="123">
        <f t="shared" si="432"/>
        <v>210867.52000000008</v>
      </c>
      <c r="R153" s="310">
        <f t="shared" si="432"/>
        <v>889.75</v>
      </c>
      <c r="S153" s="122">
        <f t="shared" si="432"/>
        <v>-207660.2812621214</v>
      </c>
      <c r="T153" s="122">
        <f t="shared" si="432"/>
        <v>-62298.0843786365</v>
      </c>
      <c r="U153" s="122">
        <f t="shared" si="432"/>
        <v>2386.2266299994008</v>
      </c>
      <c r="V153" s="124">
        <f t="shared" si="432"/>
        <v>-1101323.0867366665</v>
      </c>
      <c r="W153" s="123">
        <f t="shared" si="432"/>
        <v>282628.82000000007</v>
      </c>
      <c r="X153" s="310">
        <f t="shared" si="432"/>
        <v>889.75</v>
      </c>
      <c r="Y153" s="122">
        <f t="shared" si="432"/>
        <v>-154144.58131878788</v>
      </c>
      <c r="Z153" s="122">
        <f t="shared" si="432"/>
        <v>-46243.374395636398</v>
      </c>
      <c r="AA153" s="122">
        <f t="shared" si="432"/>
        <v>4219.1906299993207</v>
      </c>
      <c r="AB153" s="124">
        <f t="shared" si="432"/>
        <v>-463197.17073666642</v>
      </c>
      <c r="AC153" s="123">
        <f t="shared" si="432"/>
        <v>375938.15000000014</v>
      </c>
      <c r="AD153" s="310">
        <f t="shared" si="432"/>
        <v>889.75</v>
      </c>
      <c r="AE153" s="122">
        <f t="shared" ref="AE153:AX153" si="433">AE17+AE141</f>
        <v>788561.636131212</v>
      </c>
      <c r="AF153" s="122">
        <f t="shared" si="433"/>
        <v>236568.49083936363</v>
      </c>
      <c r="AG153" s="122">
        <f t="shared" si="433"/>
        <v>1464.8226299993039</v>
      </c>
      <c r="AH153" s="124">
        <f t="shared" si="433"/>
        <v>-1218097.2851766662</v>
      </c>
      <c r="AI153" s="123">
        <f t="shared" si="433"/>
        <v>704641.88000000012</v>
      </c>
      <c r="AJ153" s="310">
        <f t="shared" si="433"/>
        <v>889.75</v>
      </c>
      <c r="AK153" s="122">
        <f t="shared" si="433"/>
        <v>1134870.0162412124</v>
      </c>
      <c r="AL153" s="122">
        <f t="shared" si="433"/>
        <v>340461.0048723637</v>
      </c>
      <c r="AM153" s="122">
        <f t="shared" si="433"/>
        <v>1961.058629999221</v>
      </c>
      <c r="AN153" s="124">
        <f t="shared" si="433"/>
        <v>-766116.47023666615</v>
      </c>
      <c r="AO153" s="123">
        <f t="shared" si="433"/>
        <v>554164.40000000014</v>
      </c>
      <c r="AP153" s="310">
        <f t="shared" si="433"/>
        <v>889.75</v>
      </c>
      <c r="AQ153" s="122">
        <f t="shared" si="433"/>
        <v>1085755.4671812123</v>
      </c>
      <c r="AR153" s="122">
        <f t="shared" si="433"/>
        <v>325726.64015436382</v>
      </c>
      <c r="AS153" s="122">
        <f t="shared" si="433"/>
        <v>1170.8732599992509</v>
      </c>
      <c r="AT153" s="124">
        <f t="shared" si="433"/>
        <v>-1182962.9112566661</v>
      </c>
      <c r="AU153" s="123">
        <f t="shared" si="433"/>
        <v>625354.40000000014</v>
      </c>
      <c r="AV153" s="310">
        <f t="shared" si="433"/>
        <v>889.75</v>
      </c>
      <c r="AW153" s="122">
        <f t="shared" si="433"/>
        <v>905418.84079121263</v>
      </c>
      <c r="AX153" s="122">
        <f t="shared" si="433"/>
        <v>271625.65223736374</v>
      </c>
      <c r="AY153" s="315">
        <f>+AS153+AT153</f>
        <v>-1181792.0379966667</v>
      </c>
      <c r="AZ153" s="314">
        <f>+AS154+AT154</f>
        <v>-4000000</v>
      </c>
      <c r="BA153" s="316">
        <f>+AY153+AZ153</f>
        <v>-5181792.0379966665</v>
      </c>
    </row>
    <row r="154" spans="1:53" ht="14.25" x14ac:dyDescent="0.2">
      <c r="B154" s="173" t="s">
        <v>434</v>
      </c>
      <c r="C154" s="174">
        <v>-1000000</v>
      </c>
      <c r="D154" s="175">
        <v>-3000000</v>
      </c>
      <c r="E154" s="25"/>
      <c r="F154" s="25"/>
      <c r="G154" s="43"/>
      <c r="H154" s="43"/>
      <c r="I154" s="174">
        <v>-1000000</v>
      </c>
      <c r="J154" s="175">
        <v>-3000000</v>
      </c>
      <c r="K154" s="65"/>
      <c r="L154" s="65"/>
      <c r="M154" s="43"/>
      <c r="N154" s="43"/>
      <c r="O154" s="174">
        <v>-1000000</v>
      </c>
      <c r="P154" s="175">
        <v>-3000000</v>
      </c>
      <c r="Q154" s="65"/>
      <c r="R154" s="65"/>
      <c r="S154" s="43"/>
      <c r="T154" s="43"/>
      <c r="U154" s="174">
        <v>-1000000</v>
      </c>
      <c r="V154" s="175">
        <v>-3000000</v>
      </c>
      <c r="W154" s="65"/>
      <c r="X154" s="65"/>
      <c r="Y154" s="43"/>
      <c r="Z154" s="43"/>
      <c r="AA154" s="174">
        <v>-1000000</v>
      </c>
      <c r="AB154" s="175">
        <v>-3000000</v>
      </c>
      <c r="AC154" s="65"/>
      <c r="AD154" s="65"/>
      <c r="AE154" s="43"/>
      <c r="AF154" s="43"/>
      <c r="AG154" s="174">
        <v>-1000000</v>
      </c>
      <c r="AH154" s="175">
        <v>-3000000</v>
      </c>
      <c r="AI154" s="65"/>
      <c r="AJ154" s="65"/>
      <c r="AK154" s="43"/>
      <c r="AL154" s="43"/>
      <c r="AM154" s="174">
        <v>-1000000</v>
      </c>
      <c r="AN154" s="175">
        <v>-3000000</v>
      </c>
      <c r="AO154" s="65"/>
      <c r="AP154" s="65"/>
      <c r="AQ154" s="43"/>
      <c r="AR154" s="43"/>
      <c r="AS154" s="174">
        <v>-1000000</v>
      </c>
      <c r="AT154" s="175">
        <v>-3000000</v>
      </c>
      <c r="AU154" s="65"/>
      <c r="AV154" s="65"/>
      <c r="AW154" s="43"/>
      <c r="AX154" s="43"/>
    </row>
    <row r="155" spans="1:53" ht="14.25" x14ac:dyDescent="0.2">
      <c r="B155" s="173"/>
      <c r="C155" s="174"/>
      <c r="D155" s="175"/>
      <c r="E155" s="25"/>
      <c r="F155" s="25"/>
      <c r="G155" s="43"/>
      <c r="H155" s="43"/>
      <c r="I155" s="174"/>
      <c r="J155" s="175"/>
      <c r="K155" s="65"/>
      <c r="L155" s="65"/>
      <c r="M155" s="43"/>
      <c r="N155" s="43"/>
      <c r="O155" s="174"/>
      <c r="P155" s="175"/>
      <c r="Q155" s="65"/>
      <c r="R155" s="65"/>
      <c r="S155" s="43"/>
      <c r="T155" s="43"/>
      <c r="U155" s="174"/>
      <c r="V155" s="175"/>
      <c r="W155" s="65"/>
      <c r="X155" s="65"/>
      <c r="Y155" s="43"/>
      <c r="Z155" s="43"/>
      <c r="AA155" s="174"/>
      <c r="AB155" s="175"/>
      <c r="AC155" s="65"/>
      <c r="AD155" s="65"/>
      <c r="AE155" s="43"/>
      <c r="AF155" s="43"/>
      <c r="AG155" s="174"/>
      <c r="AH155" s="175"/>
      <c r="AI155" s="65"/>
      <c r="AJ155" s="65"/>
      <c r="AK155" s="43"/>
      <c r="AL155" s="43"/>
      <c r="AM155" s="174"/>
      <c r="AN155" s="175"/>
      <c r="AO155" s="65"/>
      <c r="AP155" s="65"/>
      <c r="AQ155" s="43"/>
      <c r="AR155" s="43"/>
      <c r="AS155" s="174"/>
      <c r="AT155" s="175"/>
      <c r="AU155" s="65"/>
      <c r="AV155" s="65"/>
      <c r="AW155" s="43"/>
      <c r="AX155" s="43"/>
      <c r="AZ155" s="21">
        <f>+AW153+AZ153</f>
        <v>-3094581.1592087876</v>
      </c>
      <c r="BA155" s="317">
        <f>+AZ155*AT16</f>
        <v>-928374.34776263626</v>
      </c>
    </row>
    <row r="156" spans="1:53" ht="13.5" thickBot="1" x14ac:dyDescent="0.25">
      <c r="A156" s="232"/>
      <c r="B156" s="245" t="s">
        <v>475</v>
      </c>
      <c r="C156" s="245"/>
      <c r="D156" s="245"/>
      <c r="E156" s="245"/>
      <c r="F156" s="245"/>
      <c r="G156" s="51"/>
      <c r="H156" s="51"/>
      <c r="I156" s="51"/>
      <c r="J156" s="28"/>
      <c r="K156" s="28"/>
      <c r="L156" s="28"/>
      <c r="M156" s="51"/>
      <c r="N156" s="51"/>
      <c r="O156" s="51"/>
      <c r="P156" s="28"/>
      <c r="Q156" s="28"/>
      <c r="R156" s="28"/>
      <c r="S156" s="51"/>
      <c r="T156" s="51"/>
      <c r="U156" s="51"/>
      <c r="V156" s="28"/>
      <c r="W156" s="28"/>
      <c r="X156" s="28"/>
      <c r="Y156" s="51"/>
      <c r="Z156" s="51"/>
      <c r="AA156" s="51"/>
      <c r="AB156" s="28"/>
      <c r="AC156" s="28"/>
      <c r="AD156" s="28"/>
      <c r="AE156" s="51"/>
      <c r="AF156" s="51"/>
      <c r="AG156" s="51"/>
      <c r="AH156" s="28"/>
      <c r="AI156" s="28"/>
      <c r="AJ156" s="28"/>
      <c r="AK156" s="51"/>
      <c r="AL156" s="51"/>
      <c r="AM156" s="51"/>
      <c r="AN156" s="28"/>
      <c r="AO156" s="28"/>
      <c r="AP156" s="28"/>
      <c r="AQ156" s="51"/>
      <c r="AR156" s="51"/>
      <c r="AS156" s="51"/>
      <c r="AT156" s="28"/>
      <c r="AU156" s="28"/>
      <c r="AV156" s="28"/>
      <c r="AW156" s="51"/>
      <c r="AX156" s="51"/>
    </row>
    <row r="157" spans="1:53" x14ac:dyDescent="0.2">
      <c r="A157" s="654" t="s">
        <v>467</v>
      </c>
      <c r="B157" s="224" t="s">
        <v>84</v>
      </c>
      <c r="C157" s="211">
        <f>SUM(C158:C161)</f>
        <v>0</v>
      </c>
      <c r="D157" s="212">
        <f>SUM(D158:D161)</f>
        <v>0</v>
      </c>
      <c r="E157" s="221">
        <f>SUM(E158:E161)</f>
        <v>0</v>
      </c>
      <c r="F157" s="213">
        <f>SUM(F158:F161)</f>
        <v>0</v>
      </c>
      <c r="G157" s="211">
        <f>C157+D157+E157/$C$16+F157/$F$16</f>
        <v>0</v>
      </c>
      <c r="H157" s="211">
        <f t="shared" ref="H157:H161" si="434">G157*$C$16</f>
        <v>0</v>
      </c>
      <c r="I157" s="211">
        <f>SUM(I158:I161)</f>
        <v>0</v>
      </c>
      <c r="J157" s="212">
        <f>SUM(J158:J161)</f>
        <v>0</v>
      </c>
      <c r="K157" s="221">
        <f>SUM(K158:K161)</f>
        <v>0</v>
      </c>
      <c r="L157" s="213">
        <f>SUM(L158:L161)</f>
        <v>0</v>
      </c>
      <c r="M157" s="211">
        <f>I157+J157+K157/$C$16+L157/$F$16</f>
        <v>0</v>
      </c>
      <c r="N157" s="211">
        <f t="shared" ref="N157:N161" si="435">M157*$C$16</f>
        <v>0</v>
      </c>
      <c r="O157" s="211">
        <f>SUM(O158:O161)</f>
        <v>0</v>
      </c>
      <c r="P157" s="212">
        <f>SUM(P158:P161)</f>
        <v>0</v>
      </c>
      <c r="Q157" s="221">
        <f>SUM(Q158:Q161)</f>
        <v>0</v>
      </c>
      <c r="R157" s="213">
        <f>SUM(R158:R161)</f>
        <v>0</v>
      </c>
      <c r="S157" s="211">
        <f>O157+P157+Q157/$C$16+R157/$F$16</f>
        <v>0</v>
      </c>
      <c r="T157" s="211">
        <f t="shared" ref="T157:T161" si="436">S157*$C$16</f>
        <v>0</v>
      </c>
      <c r="U157" s="211">
        <f>SUM(U158:U161)</f>
        <v>0</v>
      </c>
      <c r="V157" s="212">
        <f>SUM(V158:V161)</f>
        <v>0</v>
      </c>
      <c r="W157" s="221">
        <f>SUM(W158:W161)</f>
        <v>0</v>
      </c>
      <c r="X157" s="213">
        <f>SUM(X158:X161)</f>
        <v>0</v>
      </c>
      <c r="Y157" s="211">
        <f>U157+V157+W157/$C$16+X157/$F$16</f>
        <v>0</v>
      </c>
      <c r="Z157" s="211">
        <f t="shared" ref="Z157:Z161" si="437">Y157*$C$16</f>
        <v>0</v>
      </c>
      <c r="AA157" s="211">
        <f>SUM(AA158:AA161)</f>
        <v>0</v>
      </c>
      <c r="AB157" s="212">
        <f>SUM(AB158:AB161)</f>
        <v>0</v>
      </c>
      <c r="AC157" s="221">
        <f>SUM(AC158:AC161)</f>
        <v>0</v>
      </c>
      <c r="AD157" s="213">
        <f>SUM(AD158:AD161)</f>
        <v>0</v>
      </c>
      <c r="AE157" s="211">
        <f>AA157+AB157+AC157/$C$16+AD157/$F$16</f>
        <v>0</v>
      </c>
      <c r="AF157" s="211">
        <f t="shared" ref="AF157:AF161" si="438">AE157*$C$16</f>
        <v>0</v>
      </c>
      <c r="AG157" s="211">
        <f>SUM(AG158:AG161)</f>
        <v>0</v>
      </c>
      <c r="AH157" s="212">
        <f>SUM(AH158:AH161)</f>
        <v>0</v>
      </c>
      <c r="AI157" s="221">
        <f>SUM(AI158:AI161)</f>
        <v>0</v>
      </c>
      <c r="AJ157" s="213">
        <f>SUM(AJ158:AJ161)</f>
        <v>0</v>
      </c>
      <c r="AK157" s="211">
        <f>AG157+AH157+AI157/$C$16+AJ157/$F$16</f>
        <v>0</v>
      </c>
      <c r="AL157" s="211">
        <f t="shared" ref="AL157:AL161" si="439">AK157*$C$16</f>
        <v>0</v>
      </c>
      <c r="AM157" s="211">
        <f>SUM(AM158:AM161)</f>
        <v>0</v>
      </c>
      <c r="AN157" s="212">
        <f>SUM(AN158:AN161)</f>
        <v>0</v>
      </c>
      <c r="AO157" s="221">
        <f>SUM(AO158:AO161)</f>
        <v>0</v>
      </c>
      <c r="AP157" s="213">
        <f>SUM(AP158:AP161)</f>
        <v>0</v>
      </c>
      <c r="AQ157" s="211">
        <f>AM157+AN157+AO157/$C$16+AP157/$F$16</f>
        <v>0</v>
      </c>
      <c r="AR157" s="211">
        <f t="shared" ref="AR157:AR161" si="440">AQ157*$C$16</f>
        <v>0</v>
      </c>
      <c r="AS157" s="211">
        <f>SUM(AS158:AS161)</f>
        <v>0</v>
      </c>
      <c r="AT157" s="212">
        <f>SUM(AT158:AT161)</f>
        <v>0</v>
      </c>
      <c r="AU157" s="221">
        <f>SUM(AU158:AU161)</f>
        <v>0</v>
      </c>
      <c r="AV157" s="213">
        <f>SUM(AV158:AV161)</f>
        <v>0</v>
      </c>
      <c r="AW157" s="211">
        <f>AS157+AT157+AU157/$C$16+AV157/$F$16</f>
        <v>0</v>
      </c>
      <c r="AX157" s="211">
        <f t="shared" ref="AX157:AX161" si="441">AW157*$C$16</f>
        <v>0</v>
      </c>
      <c r="AZ157" s="211">
        <f t="shared" ref="AZ157:AZ170" si="442">SUM(G157,S157,Y157,AE157,AK157,AQ157,AW157,M157)</f>
        <v>0</v>
      </c>
    </row>
    <row r="158" spans="1:53" x14ac:dyDescent="0.2">
      <c r="A158" s="655"/>
      <c r="B158" s="225" t="s">
        <v>239</v>
      </c>
      <c r="C158" s="216">
        <v>0</v>
      </c>
      <c r="D158" s="217"/>
      <c r="E158" s="217"/>
      <c r="F158" s="217"/>
      <c r="G158" s="200">
        <f>C158+D158+E158/$C$16+F158/$F$16</f>
        <v>0</v>
      </c>
      <c r="H158" s="200">
        <f t="shared" si="434"/>
        <v>0</v>
      </c>
      <c r="I158" s="216">
        <v>0</v>
      </c>
      <c r="J158" s="217"/>
      <c r="K158" s="217"/>
      <c r="L158" s="217"/>
      <c r="M158" s="200">
        <f>I158+J158+K158/$C$16+L158/$F$16</f>
        <v>0</v>
      </c>
      <c r="N158" s="200">
        <f t="shared" si="435"/>
        <v>0</v>
      </c>
      <c r="O158" s="216">
        <v>0</v>
      </c>
      <c r="P158" s="217"/>
      <c r="Q158" s="217"/>
      <c r="R158" s="217"/>
      <c r="S158" s="200">
        <f>O158+P158+Q158/$C$16+R158/$F$16</f>
        <v>0</v>
      </c>
      <c r="T158" s="200">
        <f t="shared" si="436"/>
        <v>0</v>
      </c>
      <c r="U158" s="216">
        <v>0</v>
      </c>
      <c r="V158" s="217"/>
      <c r="W158" s="217"/>
      <c r="X158" s="217"/>
      <c r="Y158" s="200">
        <f>U158+V158+W158/$C$16+X158/$F$16</f>
        <v>0</v>
      </c>
      <c r="Z158" s="200">
        <f t="shared" si="437"/>
        <v>0</v>
      </c>
      <c r="AA158" s="216">
        <v>0</v>
      </c>
      <c r="AB158" s="217"/>
      <c r="AC158" s="217"/>
      <c r="AD158" s="217"/>
      <c r="AE158" s="200">
        <f>AA158+AB158+AC158/$C$16+AD158/$F$16</f>
        <v>0</v>
      </c>
      <c r="AF158" s="200">
        <f t="shared" si="438"/>
        <v>0</v>
      </c>
      <c r="AG158" s="216">
        <v>0</v>
      </c>
      <c r="AH158" s="217"/>
      <c r="AI158" s="217"/>
      <c r="AJ158" s="217"/>
      <c r="AK158" s="200">
        <f>AG158+AH158+AI158/$C$16+AJ158/$F$16</f>
        <v>0</v>
      </c>
      <c r="AL158" s="200">
        <f t="shared" si="439"/>
        <v>0</v>
      </c>
      <c r="AM158" s="216">
        <v>0</v>
      </c>
      <c r="AN158" s="217"/>
      <c r="AO158" s="217"/>
      <c r="AP158" s="217"/>
      <c r="AQ158" s="200">
        <f>AM158+AN158+AO158/$C$16+AP158/$F$16</f>
        <v>0</v>
      </c>
      <c r="AR158" s="200">
        <f t="shared" si="440"/>
        <v>0</v>
      </c>
      <c r="AS158" s="216">
        <v>0</v>
      </c>
      <c r="AT158" s="217"/>
      <c r="AU158" s="217"/>
      <c r="AV158" s="217"/>
      <c r="AW158" s="200">
        <f>AS158+AT158+AU158/$C$16+AV158/$F$16</f>
        <v>0</v>
      </c>
      <c r="AX158" s="200">
        <f t="shared" si="441"/>
        <v>0</v>
      </c>
      <c r="AZ158" s="200">
        <f t="shared" si="442"/>
        <v>0</v>
      </c>
    </row>
    <row r="159" spans="1:53" x14ac:dyDescent="0.2">
      <c r="A159" s="655"/>
      <c r="B159" s="225" t="s">
        <v>85</v>
      </c>
      <c r="C159" s="216"/>
      <c r="D159" s="217"/>
      <c r="E159" s="217"/>
      <c r="F159" s="217"/>
      <c r="G159" s="200">
        <f t="shared" ref="G159:G161" si="443">C159+D159+E159/$C$16+F159/$F$16</f>
        <v>0</v>
      </c>
      <c r="H159" s="200">
        <f t="shared" si="434"/>
        <v>0</v>
      </c>
      <c r="I159" s="216"/>
      <c r="J159" s="217"/>
      <c r="K159" s="217"/>
      <c r="L159" s="217"/>
      <c r="M159" s="200">
        <f t="shared" ref="M159:M161" si="444">I159+J159+K159/$C$16+L159/$F$16</f>
        <v>0</v>
      </c>
      <c r="N159" s="200">
        <f t="shared" si="435"/>
        <v>0</v>
      </c>
      <c r="O159" s="216"/>
      <c r="P159" s="217"/>
      <c r="Q159" s="217"/>
      <c r="R159" s="217"/>
      <c r="S159" s="200">
        <f t="shared" ref="S159:S161" si="445">O159+P159+Q159/$C$16+R159/$F$16</f>
        <v>0</v>
      </c>
      <c r="T159" s="200">
        <f t="shared" si="436"/>
        <v>0</v>
      </c>
      <c r="U159" s="216"/>
      <c r="V159" s="217"/>
      <c r="W159" s="217"/>
      <c r="X159" s="217"/>
      <c r="Y159" s="200">
        <f t="shared" ref="Y159:Y161" si="446">U159+V159+W159/$C$16+X159/$F$16</f>
        <v>0</v>
      </c>
      <c r="Z159" s="200">
        <f t="shared" si="437"/>
        <v>0</v>
      </c>
      <c r="AA159" s="216"/>
      <c r="AB159" s="217"/>
      <c r="AC159" s="217"/>
      <c r="AD159" s="217"/>
      <c r="AE159" s="200">
        <f t="shared" ref="AE159:AE161" si="447">AA159+AB159+AC159/$C$16+AD159/$F$16</f>
        <v>0</v>
      </c>
      <c r="AF159" s="200">
        <f t="shared" si="438"/>
        <v>0</v>
      </c>
      <c r="AG159" s="216"/>
      <c r="AH159" s="217"/>
      <c r="AI159" s="217"/>
      <c r="AJ159" s="217"/>
      <c r="AK159" s="200">
        <f t="shared" ref="AK159:AK161" si="448">AG159+AH159+AI159/$C$16+AJ159/$F$16</f>
        <v>0</v>
      </c>
      <c r="AL159" s="200">
        <f t="shared" si="439"/>
        <v>0</v>
      </c>
      <c r="AM159" s="216"/>
      <c r="AN159" s="217"/>
      <c r="AO159" s="217"/>
      <c r="AP159" s="217"/>
      <c r="AQ159" s="200">
        <f t="shared" ref="AQ159:AQ161" si="449">AM159+AN159+AO159/$C$16+AP159/$F$16</f>
        <v>0</v>
      </c>
      <c r="AR159" s="200">
        <f t="shared" si="440"/>
        <v>0</v>
      </c>
      <c r="AS159" s="216"/>
      <c r="AT159" s="217"/>
      <c r="AU159" s="217"/>
      <c r="AV159" s="217"/>
      <c r="AW159" s="200">
        <f t="shared" ref="AW159:AW161" si="450">AS159+AT159+AU159/$C$16+AV159/$F$16</f>
        <v>0</v>
      </c>
      <c r="AX159" s="200">
        <f t="shared" si="441"/>
        <v>0</v>
      </c>
      <c r="AZ159" s="200">
        <f t="shared" si="442"/>
        <v>0</v>
      </c>
    </row>
    <row r="160" spans="1:53" x14ac:dyDescent="0.2">
      <c r="A160" s="655"/>
      <c r="B160" s="225" t="s">
        <v>85</v>
      </c>
      <c r="C160" s="216"/>
      <c r="D160" s="217"/>
      <c r="E160" s="217"/>
      <c r="F160" s="217"/>
      <c r="G160" s="200">
        <f t="shared" si="443"/>
        <v>0</v>
      </c>
      <c r="H160" s="200">
        <f t="shared" si="434"/>
        <v>0</v>
      </c>
      <c r="I160" s="216"/>
      <c r="J160" s="217"/>
      <c r="K160" s="217"/>
      <c r="L160" s="217"/>
      <c r="M160" s="200">
        <f t="shared" si="444"/>
        <v>0</v>
      </c>
      <c r="N160" s="200">
        <f t="shared" si="435"/>
        <v>0</v>
      </c>
      <c r="O160" s="216"/>
      <c r="P160" s="217"/>
      <c r="Q160" s="217"/>
      <c r="R160" s="217"/>
      <c r="S160" s="200">
        <f t="shared" si="445"/>
        <v>0</v>
      </c>
      <c r="T160" s="200">
        <f t="shared" si="436"/>
        <v>0</v>
      </c>
      <c r="U160" s="216"/>
      <c r="V160" s="217"/>
      <c r="W160" s="217"/>
      <c r="X160" s="217"/>
      <c r="Y160" s="200">
        <f t="shared" si="446"/>
        <v>0</v>
      </c>
      <c r="Z160" s="200">
        <f t="shared" si="437"/>
        <v>0</v>
      </c>
      <c r="AA160" s="216"/>
      <c r="AB160" s="217"/>
      <c r="AC160" s="217"/>
      <c r="AD160" s="217"/>
      <c r="AE160" s="200">
        <f t="shared" si="447"/>
        <v>0</v>
      </c>
      <c r="AF160" s="200">
        <f t="shared" si="438"/>
        <v>0</v>
      </c>
      <c r="AG160" s="216"/>
      <c r="AH160" s="217"/>
      <c r="AI160" s="217"/>
      <c r="AJ160" s="217"/>
      <c r="AK160" s="200">
        <f t="shared" si="448"/>
        <v>0</v>
      </c>
      <c r="AL160" s="200">
        <f t="shared" si="439"/>
        <v>0</v>
      </c>
      <c r="AM160" s="216"/>
      <c r="AN160" s="217"/>
      <c r="AO160" s="217"/>
      <c r="AP160" s="217"/>
      <c r="AQ160" s="200">
        <f t="shared" si="449"/>
        <v>0</v>
      </c>
      <c r="AR160" s="200">
        <f t="shared" si="440"/>
        <v>0</v>
      </c>
      <c r="AS160" s="216"/>
      <c r="AT160" s="217"/>
      <c r="AU160" s="217"/>
      <c r="AV160" s="217"/>
      <c r="AW160" s="200">
        <f t="shared" si="450"/>
        <v>0</v>
      </c>
      <c r="AX160" s="200">
        <f t="shared" si="441"/>
        <v>0</v>
      </c>
      <c r="AZ160" s="200">
        <f t="shared" si="442"/>
        <v>0</v>
      </c>
    </row>
    <row r="161" spans="1:52" x14ac:dyDescent="0.2">
      <c r="A161" s="655"/>
      <c r="B161" s="225" t="s">
        <v>85</v>
      </c>
      <c r="C161" s="216"/>
      <c r="D161" s="217"/>
      <c r="E161" s="217"/>
      <c r="F161" s="217"/>
      <c r="G161" s="200">
        <f t="shared" si="443"/>
        <v>0</v>
      </c>
      <c r="H161" s="200">
        <f t="shared" si="434"/>
        <v>0</v>
      </c>
      <c r="I161" s="216"/>
      <c r="J161" s="217"/>
      <c r="K161" s="217"/>
      <c r="L161" s="217"/>
      <c r="M161" s="200">
        <f t="shared" si="444"/>
        <v>0</v>
      </c>
      <c r="N161" s="200">
        <f t="shared" si="435"/>
        <v>0</v>
      </c>
      <c r="O161" s="216"/>
      <c r="P161" s="217"/>
      <c r="Q161" s="217"/>
      <c r="R161" s="217"/>
      <c r="S161" s="200">
        <f t="shared" si="445"/>
        <v>0</v>
      </c>
      <c r="T161" s="200">
        <f t="shared" si="436"/>
        <v>0</v>
      </c>
      <c r="U161" s="216"/>
      <c r="V161" s="217"/>
      <c r="W161" s="217"/>
      <c r="X161" s="217"/>
      <c r="Y161" s="200">
        <f t="shared" si="446"/>
        <v>0</v>
      </c>
      <c r="Z161" s="200">
        <f t="shared" si="437"/>
        <v>0</v>
      </c>
      <c r="AA161" s="216"/>
      <c r="AB161" s="217"/>
      <c r="AC161" s="217"/>
      <c r="AD161" s="217"/>
      <c r="AE161" s="200">
        <f t="shared" si="447"/>
        <v>0</v>
      </c>
      <c r="AF161" s="200">
        <f t="shared" si="438"/>
        <v>0</v>
      </c>
      <c r="AG161" s="216"/>
      <c r="AH161" s="217"/>
      <c r="AI161" s="217"/>
      <c r="AJ161" s="217"/>
      <c r="AK161" s="200">
        <f t="shared" si="448"/>
        <v>0</v>
      </c>
      <c r="AL161" s="200">
        <f t="shared" si="439"/>
        <v>0</v>
      </c>
      <c r="AM161" s="216"/>
      <c r="AN161" s="217"/>
      <c r="AO161" s="217"/>
      <c r="AP161" s="217"/>
      <c r="AQ161" s="200">
        <f t="shared" si="449"/>
        <v>0</v>
      </c>
      <c r="AR161" s="200">
        <f t="shared" si="440"/>
        <v>0</v>
      </c>
      <c r="AS161" s="216"/>
      <c r="AT161" s="217"/>
      <c r="AU161" s="217"/>
      <c r="AV161" s="217"/>
      <c r="AW161" s="200">
        <f t="shared" si="450"/>
        <v>0</v>
      </c>
      <c r="AX161" s="200">
        <f t="shared" si="441"/>
        <v>0</v>
      </c>
      <c r="AZ161" s="200">
        <f t="shared" si="442"/>
        <v>0</v>
      </c>
    </row>
    <row r="162" spans="1:52" s="204" customFormat="1" ht="13.5" thickBot="1" x14ac:dyDescent="0.25">
      <c r="A162" s="655"/>
      <c r="B162" s="226"/>
      <c r="C162" s="222"/>
      <c r="D162" s="223"/>
      <c r="E162" s="223"/>
      <c r="F162" s="223"/>
      <c r="G162" s="222"/>
      <c r="H162" s="222"/>
      <c r="I162" s="222"/>
      <c r="J162" s="223"/>
      <c r="K162" s="223"/>
      <c r="L162" s="223"/>
      <c r="M162" s="222"/>
      <c r="N162" s="222"/>
      <c r="O162" s="222"/>
      <c r="P162" s="223"/>
      <c r="Q162" s="223"/>
      <c r="R162" s="223"/>
      <c r="S162" s="222"/>
      <c r="T162" s="222"/>
      <c r="U162" s="222"/>
      <c r="V162" s="223"/>
      <c r="W162" s="223"/>
      <c r="X162" s="223"/>
      <c r="Y162" s="222"/>
      <c r="Z162" s="222"/>
      <c r="AA162" s="222"/>
      <c r="AB162" s="223"/>
      <c r="AC162" s="223"/>
      <c r="AD162" s="223"/>
      <c r="AE162" s="222"/>
      <c r="AF162" s="222"/>
      <c r="AG162" s="222"/>
      <c r="AH162" s="223"/>
      <c r="AI162" s="223"/>
      <c r="AJ162" s="223"/>
      <c r="AK162" s="222"/>
      <c r="AL162" s="222"/>
      <c r="AM162" s="222"/>
      <c r="AN162" s="223"/>
      <c r="AO162" s="223"/>
      <c r="AP162" s="223"/>
      <c r="AQ162" s="222"/>
      <c r="AR162" s="222"/>
      <c r="AS162" s="222"/>
      <c r="AT162" s="223"/>
      <c r="AU162" s="223"/>
      <c r="AV162" s="223"/>
      <c r="AW162" s="222"/>
      <c r="AX162" s="222"/>
      <c r="AZ162" s="222">
        <f t="shared" si="442"/>
        <v>0</v>
      </c>
    </row>
    <row r="163" spans="1:52" x14ac:dyDescent="0.2">
      <c r="A163" s="655"/>
      <c r="B163" s="227" t="s">
        <v>86</v>
      </c>
      <c r="C163" s="209">
        <f>SUM(C164:C168)</f>
        <v>0</v>
      </c>
      <c r="D163" s="214">
        <f>SUM(D164:D168)</f>
        <v>0</v>
      </c>
      <c r="E163" s="210">
        <f>SUM(E164:E168)</f>
        <v>18983.77</v>
      </c>
      <c r="F163" s="215">
        <f>SUM(F164:F168)</f>
        <v>0</v>
      </c>
      <c r="G163" s="209">
        <f>C163+D163+E163/$C$16+F163/$F$16</f>
        <v>63279.233333333337</v>
      </c>
      <c r="H163" s="209">
        <f t="shared" ref="H163:H168" si="451">G163*$C$16</f>
        <v>18983.77</v>
      </c>
      <c r="I163" s="209">
        <f>SUM(I164:I168)</f>
        <v>0</v>
      </c>
      <c r="J163" s="214">
        <f>SUM(J164:J168)</f>
        <v>0</v>
      </c>
      <c r="K163" s="210">
        <f>SUM(K164:K168)</f>
        <v>22821.199999999997</v>
      </c>
      <c r="L163" s="215">
        <f>SUM(L164:L168)</f>
        <v>0</v>
      </c>
      <c r="M163" s="209">
        <f>I163+J163+K163/$C$16+L163/$F$16</f>
        <v>76070.666666666657</v>
      </c>
      <c r="N163" s="209">
        <f t="shared" ref="N163:N168" si="452">M163*$C$16</f>
        <v>22821.199999999997</v>
      </c>
      <c r="O163" s="209">
        <f>SUM(O164:O168)</f>
        <v>0</v>
      </c>
      <c r="P163" s="214">
        <f>SUM(P164:P168)</f>
        <v>0</v>
      </c>
      <c r="Q163" s="210">
        <f>SUM(Q164:Q168)</f>
        <v>63419.64</v>
      </c>
      <c r="R163" s="215">
        <f>SUM(R164:R168)</f>
        <v>0</v>
      </c>
      <c r="S163" s="209">
        <f>O163+P163+Q163/$C$16+R163/$F$16</f>
        <v>211398.80000000002</v>
      </c>
      <c r="T163" s="209">
        <f t="shared" ref="T163:T168" si="453">S163*$C$16</f>
        <v>63419.64</v>
      </c>
      <c r="U163" s="209">
        <f>SUM(U164:U168)</f>
        <v>0</v>
      </c>
      <c r="V163" s="214">
        <f>SUM(V164:V168)</f>
        <v>0</v>
      </c>
      <c r="W163" s="210">
        <f>SUM(W164:W168)</f>
        <v>0</v>
      </c>
      <c r="X163" s="215">
        <f>SUM(X164:X168)</f>
        <v>0</v>
      </c>
      <c r="Y163" s="209">
        <f>U163+V163+W163/$C$16+X163/$F$16</f>
        <v>0</v>
      </c>
      <c r="Z163" s="209">
        <f t="shared" ref="Z163:Z168" si="454">Y163*$C$16</f>
        <v>0</v>
      </c>
      <c r="AA163" s="209">
        <f>SUM(AA164:AA168)</f>
        <v>0</v>
      </c>
      <c r="AB163" s="214">
        <f>SUM(AB164:AB168)</f>
        <v>0</v>
      </c>
      <c r="AC163" s="210">
        <f>SUM(AC164:AC168)</f>
        <v>0</v>
      </c>
      <c r="AD163" s="215">
        <f>SUM(AD164:AD168)</f>
        <v>0</v>
      </c>
      <c r="AE163" s="209">
        <f>AA163+AB163+AC163/$C$16+AD163/$F$16</f>
        <v>0</v>
      </c>
      <c r="AF163" s="209">
        <f t="shared" ref="AF163:AF168" si="455">AE163*$C$16</f>
        <v>0</v>
      </c>
      <c r="AG163" s="209">
        <f>SUM(AG164:AG168)</f>
        <v>0</v>
      </c>
      <c r="AH163" s="214">
        <f>SUM(AH164:AH168)</f>
        <v>0</v>
      </c>
      <c r="AI163" s="210">
        <f>SUM(AI164:AI168)</f>
        <v>0</v>
      </c>
      <c r="AJ163" s="215">
        <f>SUM(AJ164:AJ168)</f>
        <v>0</v>
      </c>
      <c r="AK163" s="209">
        <f>AG163+AH163+AI163/$C$16+AJ163/$F$16</f>
        <v>0</v>
      </c>
      <c r="AL163" s="209">
        <f t="shared" ref="AL163:AL168" si="456">AK163*$C$16</f>
        <v>0</v>
      </c>
      <c r="AM163" s="209">
        <f>SUM(AM164:AM168)</f>
        <v>0</v>
      </c>
      <c r="AN163" s="214">
        <f>SUM(AN164:AN168)</f>
        <v>0</v>
      </c>
      <c r="AO163" s="210">
        <f>SUM(AO164:AO168)</f>
        <v>0</v>
      </c>
      <c r="AP163" s="215">
        <f>SUM(AP164:AP168)</f>
        <v>0</v>
      </c>
      <c r="AQ163" s="209">
        <f>AM163+AN163+AO163/$C$16+AP163/$F$16</f>
        <v>0</v>
      </c>
      <c r="AR163" s="209">
        <f t="shared" ref="AR163:AR168" si="457">AQ163*$C$16</f>
        <v>0</v>
      </c>
      <c r="AS163" s="209">
        <f>SUM(AS164:AS168)</f>
        <v>0</v>
      </c>
      <c r="AT163" s="214">
        <f>SUM(AT164:AT168)</f>
        <v>0</v>
      </c>
      <c r="AU163" s="210">
        <f>SUM(AU164:AU168)</f>
        <v>0</v>
      </c>
      <c r="AV163" s="215">
        <f>SUM(AV164:AV168)</f>
        <v>0</v>
      </c>
      <c r="AW163" s="209">
        <f>AS163+AT163+AU163/$C$16+AV163/$F$16</f>
        <v>0</v>
      </c>
      <c r="AX163" s="209">
        <f t="shared" ref="AX163:AX168" si="458">AW163*$C$16</f>
        <v>0</v>
      </c>
      <c r="AZ163" s="209">
        <f t="shared" si="442"/>
        <v>350748.69999999995</v>
      </c>
    </row>
    <row r="164" spans="1:52" x14ac:dyDescent="0.2">
      <c r="A164" s="655"/>
      <c r="B164" s="225" t="s">
        <v>465</v>
      </c>
      <c r="C164" s="216">
        <v>0</v>
      </c>
      <c r="D164" s="217"/>
      <c r="E164" s="217">
        <f>+'Sourcing &amp; MRP payments'!G26+'Sourcing &amp; MRP payments'!G27</f>
        <v>18983.77</v>
      </c>
      <c r="F164" s="217"/>
      <c r="G164" s="200">
        <f>C164+D164+E164/$C$16+F164/$F$16</f>
        <v>63279.233333333337</v>
      </c>
      <c r="H164" s="200">
        <f t="shared" si="451"/>
        <v>18983.77</v>
      </c>
      <c r="I164" s="216">
        <v>0</v>
      </c>
      <c r="J164" s="217"/>
      <c r="K164" s="217">
        <f>+'Sourcing &amp; MRP payments'!G28+'Sourcing &amp; MRP payments'!G29</f>
        <v>22821.199999999997</v>
      </c>
      <c r="L164" s="217"/>
      <c r="M164" s="200">
        <f>I164+J164+K164/$C$16+L164/$F$16</f>
        <v>76070.666666666657</v>
      </c>
      <c r="N164" s="200">
        <f t="shared" si="452"/>
        <v>22821.199999999997</v>
      </c>
      <c r="O164" s="216">
        <v>0</v>
      </c>
      <c r="P164" s="217"/>
      <c r="Q164" s="217">
        <f>+'Sourcing &amp; MRP payments'!G30+'Sourcing &amp; MRP payments'!G31+'Sourcing &amp; MRP payments'!G38+'Sourcing &amp; MRP payments'!G39+'Sourcing &amp; MRP payments'!G40</f>
        <v>63419.64</v>
      </c>
      <c r="R164" s="217"/>
      <c r="S164" s="200">
        <f>O164+P164+Q164/$C$16+R164/$F$16</f>
        <v>211398.80000000002</v>
      </c>
      <c r="T164" s="200">
        <f t="shared" si="453"/>
        <v>63419.64</v>
      </c>
      <c r="U164" s="216">
        <v>0</v>
      </c>
      <c r="V164" s="217"/>
      <c r="W164" s="217"/>
      <c r="X164" s="217"/>
      <c r="Y164" s="200">
        <f>U164+V164+W164/$C$16+X164/$F$16</f>
        <v>0</v>
      </c>
      <c r="Z164" s="200">
        <f t="shared" si="454"/>
        <v>0</v>
      </c>
      <c r="AA164" s="216">
        <v>0</v>
      </c>
      <c r="AB164" s="217"/>
      <c r="AC164" s="217"/>
      <c r="AD164" s="217"/>
      <c r="AE164" s="200">
        <f>AA164+AB164+AC164/$C$16+AD164/$F$16</f>
        <v>0</v>
      </c>
      <c r="AF164" s="200">
        <f t="shared" si="455"/>
        <v>0</v>
      </c>
      <c r="AG164" s="216">
        <v>0</v>
      </c>
      <c r="AH164" s="217"/>
      <c r="AI164" s="217"/>
      <c r="AJ164" s="217"/>
      <c r="AK164" s="200">
        <f>AG164+AH164+AI164/$C$16+AJ164/$F$16</f>
        <v>0</v>
      </c>
      <c r="AL164" s="200">
        <f t="shared" si="456"/>
        <v>0</v>
      </c>
      <c r="AM164" s="216">
        <v>0</v>
      </c>
      <c r="AN164" s="217"/>
      <c r="AO164" s="217"/>
      <c r="AP164" s="217"/>
      <c r="AQ164" s="200">
        <f>AM164+AN164+AO164/$C$16+AP164/$F$16</f>
        <v>0</v>
      </c>
      <c r="AR164" s="200">
        <f t="shared" si="457"/>
        <v>0</v>
      </c>
      <c r="AS164" s="216">
        <v>0</v>
      </c>
      <c r="AT164" s="217"/>
      <c r="AU164" s="217"/>
      <c r="AV164" s="217"/>
      <c r="AW164" s="200">
        <f>AS164+AT164+AU164/$C$16+AV164/$F$16</f>
        <v>0</v>
      </c>
      <c r="AX164" s="200">
        <f t="shared" si="458"/>
        <v>0</v>
      </c>
      <c r="AZ164" s="200">
        <f t="shared" si="442"/>
        <v>350748.69999999995</v>
      </c>
    </row>
    <row r="165" spans="1:52" x14ac:dyDescent="0.2">
      <c r="A165" s="655"/>
      <c r="B165" s="225" t="s">
        <v>871</v>
      </c>
      <c r="C165" s="216">
        <v>0</v>
      </c>
      <c r="D165" s="217"/>
      <c r="E165" s="217"/>
      <c r="F165" s="217"/>
      <c r="G165" s="200">
        <f t="shared" ref="G165:G168" si="459">C165+D165+E165/$C$16+F165/$F$16</f>
        <v>0</v>
      </c>
      <c r="H165" s="200">
        <f t="shared" ref="H165" si="460">G165*$C$16</f>
        <v>0</v>
      </c>
      <c r="I165" s="216">
        <v>0</v>
      </c>
      <c r="J165" s="217"/>
      <c r="K165" s="217"/>
      <c r="L165" s="217"/>
      <c r="M165" s="200">
        <f t="shared" ref="M165:M168" si="461">I165+J165+K165/$C$16+L165/$F$16</f>
        <v>0</v>
      </c>
      <c r="N165" s="200">
        <f t="shared" ref="N165" si="462">M165*$C$16</f>
        <v>0</v>
      </c>
      <c r="O165" s="216">
        <v>0</v>
      </c>
      <c r="P165" s="217"/>
      <c r="Q165" s="217"/>
      <c r="R165" s="217"/>
      <c r="S165" s="200">
        <f t="shared" ref="S165:S168" si="463">O165+P165+Q165/$C$16+R165/$F$16</f>
        <v>0</v>
      </c>
      <c r="T165" s="200">
        <f t="shared" ref="T165" si="464">S165*$C$16</f>
        <v>0</v>
      </c>
      <c r="U165" s="216">
        <v>0</v>
      </c>
      <c r="V165" s="217"/>
      <c r="W165" s="217"/>
      <c r="X165" s="217"/>
      <c r="Y165" s="200">
        <f t="shared" ref="Y165:Y168" si="465">U165+V165+W165/$C$16+X165/$F$16</f>
        <v>0</v>
      </c>
      <c r="Z165" s="200">
        <f t="shared" ref="Z165" si="466">Y165*$C$16</f>
        <v>0</v>
      </c>
      <c r="AA165" s="216">
        <v>0</v>
      </c>
      <c r="AB165" s="217"/>
      <c r="AC165" s="217"/>
      <c r="AD165" s="217"/>
      <c r="AE165" s="200">
        <f t="shared" ref="AE165:AE168" si="467">AA165+AB165+AC165/$C$16+AD165/$F$16</f>
        <v>0</v>
      </c>
      <c r="AF165" s="200">
        <f t="shared" ref="AF165" si="468">AE165*$C$16</f>
        <v>0</v>
      </c>
      <c r="AG165" s="216">
        <v>0</v>
      </c>
      <c r="AH165" s="217"/>
      <c r="AI165" s="217"/>
      <c r="AJ165" s="217"/>
      <c r="AK165" s="200">
        <f t="shared" ref="AK165:AK168" si="469">AG165+AH165+AI165/$C$16+AJ165/$F$16</f>
        <v>0</v>
      </c>
      <c r="AL165" s="200">
        <f t="shared" ref="AL165" si="470">AK165*$C$16</f>
        <v>0</v>
      </c>
      <c r="AM165" s="216">
        <v>0</v>
      </c>
      <c r="AN165" s="217"/>
      <c r="AO165" s="217"/>
      <c r="AP165" s="217"/>
      <c r="AQ165" s="200">
        <f t="shared" ref="AQ165:AQ168" si="471">AM165+AN165+AO165/$C$16+AP165/$F$16</f>
        <v>0</v>
      </c>
      <c r="AR165" s="200">
        <f t="shared" ref="AR165" si="472">AQ165*$C$16</f>
        <v>0</v>
      </c>
      <c r="AS165" s="216">
        <v>0</v>
      </c>
      <c r="AT165" s="217"/>
      <c r="AU165" s="217"/>
      <c r="AV165" s="217"/>
      <c r="AW165" s="200">
        <f t="shared" ref="AW165:AW168" si="473">AS165+AT165+AU165/$C$16+AV165/$F$16</f>
        <v>0</v>
      </c>
      <c r="AX165" s="200">
        <f t="shared" ref="AX165" si="474">AW165*$C$16</f>
        <v>0</v>
      </c>
      <c r="AZ165" s="200">
        <f t="shared" si="442"/>
        <v>0</v>
      </c>
    </row>
    <row r="166" spans="1:52" x14ac:dyDescent="0.2">
      <c r="A166" s="655"/>
      <c r="B166" s="228" t="s">
        <v>466</v>
      </c>
      <c r="C166" s="216">
        <v>0</v>
      </c>
      <c r="D166" s="217"/>
      <c r="E166" s="217"/>
      <c r="F166" s="217"/>
      <c r="G166" s="200">
        <f t="shared" si="459"/>
        <v>0</v>
      </c>
      <c r="H166" s="200">
        <f t="shared" si="451"/>
        <v>0</v>
      </c>
      <c r="I166" s="216">
        <v>0</v>
      </c>
      <c r="J166" s="217"/>
      <c r="K166" s="217"/>
      <c r="L166" s="217"/>
      <c r="M166" s="200">
        <f t="shared" si="461"/>
        <v>0</v>
      </c>
      <c r="N166" s="200">
        <f t="shared" si="452"/>
        <v>0</v>
      </c>
      <c r="O166" s="216">
        <v>0</v>
      </c>
      <c r="P166" s="217"/>
      <c r="Q166" s="217"/>
      <c r="R166" s="217"/>
      <c r="S166" s="200">
        <f t="shared" si="463"/>
        <v>0</v>
      </c>
      <c r="T166" s="200">
        <f t="shared" si="453"/>
        <v>0</v>
      </c>
      <c r="U166" s="216">
        <v>0</v>
      </c>
      <c r="V166" s="217"/>
      <c r="W166" s="217"/>
      <c r="X166" s="217"/>
      <c r="Y166" s="200">
        <f t="shared" si="465"/>
        <v>0</v>
      </c>
      <c r="Z166" s="200">
        <f t="shared" si="454"/>
        <v>0</v>
      </c>
      <c r="AA166" s="216">
        <v>0</v>
      </c>
      <c r="AB166" s="217"/>
      <c r="AC166" s="217"/>
      <c r="AD166" s="217"/>
      <c r="AE166" s="200">
        <f t="shared" si="467"/>
        <v>0</v>
      </c>
      <c r="AF166" s="200">
        <f t="shared" si="455"/>
        <v>0</v>
      </c>
      <c r="AG166" s="216">
        <v>0</v>
      </c>
      <c r="AH166" s="217"/>
      <c r="AI166" s="217"/>
      <c r="AJ166" s="217"/>
      <c r="AK166" s="200">
        <f t="shared" si="469"/>
        <v>0</v>
      </c>
      <c r="AL166" s="200">
        <f t="shared" si="456"/>
        <v>0</v>
      </c>
      <c r="AM166" s="216">
        <v>0</v>
      </c>
      <c r="AN166" s="217"/>
      <c r="AO166" s="217"/>
      <c r="AP166" s="217"/>
      <c r="AQ166" s="200">
        <f t="shared" si="471"/>
        <v>0</v>
      </c>
      <c r="AR166" s="200">
        <f t="shared" si="457"/>
        <v>0</v>
      </c>
      <c r="AS166" s="216">
        <v>0</v>
      </c>
      <c r="AT166" s="217"/>
      <c r="AU166" s="217"/>
      <c r="AV166" s="217"/>
      <c r="AW166" s="200">
        <f t="shared" si="473"/>
        <v>0</v>
      </c>
      <c r="AX166" s="200">
        <f t="shared" si="458"/>
        <v>0</v>
      </c>
      <c r="AZ166" s="200">
        <f t="shared" si="442"/>
        <v>0</v>
      </c>
    </row>
    <row r="167" spans="1:52" x14ac:dyDescent="0.2">
      <c r="A167" s="655"/>
      <c r="B167" s="225" t="s">
        <v>688</v>
      </c>
      <c r="C167" s="216"/>
      <c r="D167" s="217"/>
      <c r="E167" s="217"/>
      <c r="F167" s="217"/>
      <c r="G167" s="200">
        <f t="shared" si="459"/>
        <v>0</v>
      </c>
      <c r="H167" s="200">
        <f t="shared" si="451"/>
        <v>0</v>
      </c>
      <c r="I167" s="216"/>
      <c r="J167" s="217"/>
      <c r="K167" s="217"/>
      <c r="L167" s="217"/>
      <c r="M167" s="200">
        <f t="shared" si="461"/>
        <v>0</v>
      </c>
      <c r="N167" s="200">
        <f t="shared" si="452"/>
        <v>0</v>
      </c>
      <c r="O167" s="216"/>
      <c r="P167" s="217"/>
      <c r="Q167" s="217"/>
      <c r="R167" s="217"/>
      <c r="S167" s="200">
        <f t="shared" si="463"/>
        <v>0</v>
      </c>
      <c r="T167" s="200">
        <f t="shared" si="453"/>
        <v>0</v>
      </c>
      <c r="U167" s="216"/>
      <c r="V167" s="217"/>
      <c r="W167" s="217"/>
      <c r="X167" s="217"/>
      <c r="Y167" s="200">
        <f t="shared" si="465"/>
        <v>0</v>
      </c>
      <c r="Z167" s="200">
        <f t="shared" si="454"/>
        <v>0</v>
      </c>
      <c r="AA167" s="216"/>
      <c r="AB167" s="217"/>
      <c r="AC167" s="217"/>
      <c r="AD167" s="217"/>
      <c r="AE167" s="200">
        <f t="shared" si="467"/>
        <v>0</v>
      </c>
      <c r="AF167" s="200">
        <f t="shared" si="455"/>
        <v>0</v>
      </c>
      <c r="AG167" s="216"/>
      <c r="AH167" s="217"/>
      <c r="AI167" s="217"/>
      <c r="AJ167" s="217"/>
      <c r="AK167" s="200">
        <f t="shared" si="469"/>
        <v>0</v>
      </c>
      <c r="AL167" s="200">
        <f t="shared" si="456"/>
        <v>0</v>
      </c>
      <c r="AM167" s="216"/>
      <c r="AN167" s="217"/>
      <c r="AO167" s="217"/>
      <c r="AP167" s="217"/>
      <c r="AQ167" s="200">
        <f t="shared" si="471"/>
        <v>0</v>
      </c>
      <c r="AR167" s="200">
        <f t="shared" si="457"/>
        <v>0</v>
      </c>
      <c r="AS167" s="216"/>
      <c r="AT167" s="217"/>
      <c r="AU167" s="217"/>
      <c r="AV167" s="217"/>
      <c r="AW167" s="200">
        <f t="shared" si="473"/>
        <v>0</v>
      </c>
      <c r="AX167" s="200">
        <f t="shared" si="458"/>
        <v>0</v>
      </c>
      <c r="AZ167" s="200">
        <f t="shared" si="442"/>
        <v>0</v>
      </c>
    </row>
    <row r="168" spans="1:52" x14ac:dyDescent="0.2">
      <c r="A168" s="655"/>
      <c r="B168" s="225" t="s">
        <v>689</v>
      </c>
      <c r="C168" s="216"/>
      <c r="D168" s="217"/>
      <c r="E168" s="217"/>
      <c r="F168" s="217"/>
      <c r="G168" s="200">
        <f t="shared" si="459"/>
        <v>0</v>
      </c>
      <c r="H168" s="200">
        <f t="shared" si="451"/>
        <v>0</v>
      </c>
      <c r="I168" s="216"/>
      <c r="J168" s="217"/>
      <c r="K168" s="217"/>
      <c r="L168" s="217"/>
      <c r="M168" s="200">
        <f t="shared" si="461"/>
        <v>0</v>
      </c>
      <c r="N168" s="200">
        <f t="shared" si="452"/>
        <v>0</v>
      </c>
      <c r="O168" s="216"/>
      <c r="P168" s="217"/>
      <c r="Q168" s="217"/>
      <c r="R168" s="217"/>
      <c r="S168" s="200">
        <f t="shared" si="463"/>
        <v>0</v>
      </c>
      <c r="T168" s="200">
        <f t="shared" si="453"/>
        <v>0</v>
      </c>
      <c r="U168" s="216"/>
      <c r="V168" s="217"/>
      <c r="W168" s="217"/>
      <c r="X168" s="217"/>
      <c r="Y168" s="200">
        <f t="shared" si="465"/>
        <v>0</v>
      </c>
      <c r="Z168" s="200">
        <f t="shared" si="454"/>
        <v>0</v>
      </c>
      <c r="AA168" s="216"/>
      <c r="AB168" s="217"/>
      <c r="AC168" s="217"/>
      <c r="AD168" s="217"/>
      <c r="AE168" s="200">
        <f t="shared" si="467"/>
        <v>0</v>
      </c>
      <c r="AF168" s="200">
        <f t="shared" si="455"/>
        <v>0</v>
      </c>
      <c r="AG168" s="216"/>
      <c r="AH168" s="217"/>
      <c r="AI168" s="217"/>
      <c r="AJ168" s="217"/>
      <c r="AK168" s="200">
        <f t="shared" si="469"/>
        <v>0</v>
      </c>
      <c r="AL168" s="200">
        <f t="shared" si="456"/>
        <v>0</v>
      </c>
      <c r="AM168" s="216"/>
      <c r="AN168" s="217"/>
      <c r="AO168" s="217"/>
      <c r="AP168" s="217"/>
      <c r="AQ168" s="200">
        <f t="shared" si="471"/>
        <v>0</v>
      </c>
      <c r="AR168" s="200">
        <f t="shared" si="457"/>
        <v>0</v>
      </c>
      <c r="AS168" s="216"/>
      <c r="AT168" s="217"/>
      <c r="AU168" s="217"/>
      <c r="AV168" s="217"/>
      <c r="AW168" s="200">
        <f t="shared" si="473"/>
        <v>0</v>
      </c>
      <c r="AX168" s="200">
        <f t="shared" si="458"/>
        <v>0</v>
      </c>
      <c r="AZ168" s="200">
        <f t="shared" si="442"/>
        <v>0</v>
      </c>
    </row>
    <row r="169" spans="1:52" s="204" customFormat="1" ht="13.5" thickBot="1" x14ac:dyDescent="0.25">
      <c r="A169" s="656"/>
      <c r="B169" s="229"/>
      <c r="C169" s="222"/>
      <c r="D169" s="223"/>
      <c r="E169" s="223"/>
      <c r="F169" s="223"/>
      <c r="G169" s="222"/>
      <c r="H169" s="222"/>
      <c r="I169" s="222"/>
      <c r="J169" s="223"/>
      <c r="K169" s="223"/>
      <c r="L169" s="223"/>
      <c r="M169" s="222"/>
      <c r="N169" s="222"/>
      <c r="O169" s="222"/>
      <c r="P169" s="223"/>
      <c r="Q169" s="223"/>
      <c r="R169" s="223"/>
      <c r="S169" s="222"/>
      <c r="T169" s="222"/>
      <c r="U169" s="222"/>
      <c r="V169" s="223"/>
      <c r="W169" s="223"/>
      <c r="X169" s="223"/>
      <c r="Y169" s="222"/>
      <c r="Z169" s="222"/>
      <c r="AA169" s="222"/>
      <c r="AB169" s="223"/>
      <c r="AC169" s="223"/>
      <c r="AD169" s="223"/>
      <c r="AE169" s="222"/>
      <c r="AF169" s="222"/>
      <c r="AG169" s="222"/>
      <c r="AH169" s="223"/>
      <c r="AI169" s="223"/>
      <c r="AJ169" s="223"/>
      <c r="AK169" s="222"/>
      <c r="AL169" s="222"/>
      <c r="AM169" s="222"/>
      <c r="AN169" s="223"/>
      <c r="AO169" s="223"/>
      <c r="AP169" s="223"/>
      <c r="AQ169" s="222"/>
      <c r="AR169" s="222"/>
      <c r="AS169" s="222"/>
      <c r="AT169" s="223"/>
      <c r="AU169" s="223"/>
      <c r="AV169" s="223"/>
      <c r="AW169" s="222"/>
      <c r="AX169" s="222"/>
      <c r="AZ169" s="222">
        <f t="shared" si="442"/>
        <v>0</v>
      </c>
    </row>
    <row r="170" spans="1:52" x14ac:dyDescent="0.2">
      <c r="B170" s="103" t="s">
        <v>87</v>
      </c>
      <c r="C170" s="63">
        <f>C157+C163</f>
        <v>0</v>
      </c>
      <c r="D170" s="21">
        <f>D157+D163</f>
        <v>0</v>
      </c>
      <c r="E170" s="21">
        <f>E157+E163</f>
        <v>18983.77</v>
      </c>
      <c r="F170" s="21">
        <f>F157+F163</f>
        <v>0</v>
      </c>
      <c r="G170" s="209">
        <f>C170+D170+E170/$C$16+F170/$F$16</f>
        <v>63279.233333333337</v>
      </c>
      <c r="H170" s="209">
        <f t="shared" ref="H170" si="475">G170*$C$16</f>
        <v>18983.77</v>
      </c>
      <c r="I170" s="63">
        <f>I157+I163</f>
        <v>0</v>
      </c>
      <c r="J170" s="21">
        <f>J157+J163</f>
        <v>0</v>
      </c>
      <c r="K170" s="21">
        <f>K157+K163</f>
        <v>22821.199999999997</v>
      </c>
      <c r="L170" s="21">
        <f>L157+L163</f>
        <v>0</v>
      </c>
      <c r="M170" s="209">
        <f>I170+J170+K170/$C$16+L170/$F$16</f>
        <v>76070.666666666657</v>
      </c>
      <c r="N170" s="209">
        <f t="shared" ref="N170" si="476">M170*$C$16</f>
        <v>22821.199999999997</v>
      </c>
      <c r="O170" s="63">
        <f>O157+O163</f>
        <v>0</v>
      </c>
      <c r="P170" s="21">
        <f>P157+P163</f>
        <v>0</v>
      </c>
      <c r="Q170" s="21">
        <f>Q157+Q163</f>
        <v>63419.64</v>
      </c>
      <c r="R170" s="21">
        <f>R157+R163</f>
        <v>0</v>
      </c>
      <c r="S170" s="209">
        <f>O170+P170+Q170/$C$16+R170/$F$16</f>
        <v>211398.80000000002</v>
      </c>
      <c r="T170" s="209">
        <f t="shared" ref="T170" si="477">S170*$C$16</f>
        <v>63419.64</v>
      </c>
      <c r="U170" s="63">
        <f>U157+U163</f>
        <v>0</v>
      </c>
      <c r="V170" s="21">
        <f>V157+V163</f>
        <v>0</v>
      </c>
      <c r="W170" s="21">
        <f>W157+W163</f>
        <v>0</v>
      </c>
      <c r="X170" s="21">
        <f>X157+X163</f>
        <v>0</v>
      </c>
      <c r="Y170" s="209">
        <f>U170+V170+W170/$C$16+X170/$F$16</f>
        <v>0</v>
      </c>
      <c r="Z170" s="209">
        <f t="shared" ref="Z170" si="478">Y170*$C$16</f>
        <v>0</v>
      </c>
      <c r="AA170" s="63">
        <f>AA157+AA163</f>
        <v>0</v>
      </c>
      <c r="AB170" s="21">
        <f>AB157+AB163</f>
        <v>0</v>
      </c>
      <c r="AC170" s="21">
        <f>AC157+AC163</f>
        <v>0</v>
      </c>
      <c r="AD170" s="21">
        <f>AD157+AD163</f>
        <v>0</v>
      </c>
      <c r="AE170" s="209">
        <f>AA170+AB170+AC170/$C$16+AD170/$F$16</f>
        <v>0</v>
      </c>
      <c r="AF170" s="209">
        <f t="shared" ref="AF170" si="479">AE170*$C$16</f>
        <v>0</v>
      </c>
      <c r="AG170" s="63">
        <f>AG157+AG163</f>
        <v>0</v>
      </c>
      <c r="AH170" s="21">
        <f>AH157+AH163</f>
        <v>0</v>
      </c>
      <c r="AI170" s="21">
        <f>AI157+AI163</f>
        <v>0</v>
      </c>
      <c r="AJ170" s="21">
        <f>AJ157+AJ163</f>
        <v>0</v>
      </c>
      <c r="AK170" s="209">
        <f>AG170+AH170+AI170/$C$16+AJ170/$F$16</f>
        <v>0</v>
      </c>
      <c r="AL170" s="209">
        <f t="shared" ref="AL170" si="480">AK170*$C$16</f>
        <v>0</v>
      </c>
      <c r="AM170" s="63">
        <f>AM157+AM163</f>
        <v>0</v>
      </c>
      <c r="AN170" s="21">
        <f>AN157+AN163</f>
        <v>0</v>
      </c>
      <c r="AO170" s="21">
        <f>AO157+AO163</f>
        <v>0</v>
      </c>
      <c r="AP170" s="21">
        <f>AP157+AP163</f>
        <v>0</v>
      </c>
      <c r="AQ170" s="209">
        <f>AM170+AN170+AO170/$C$16+AP170/$F$16</f>
        <v>0</v>
      </c>
      <c r="AR170" s="209">
        <f t="shared" ref="AR170" si="481">AQ170*$C$16</f>
        <v>0</v>
      </c>
      <c r="AS170" s="63">
        <f>AS157+AS163</f>
        <v>0</v>
      </c>
      <c r="AT170" s="21">
        <f>AT157+AT163</f>
        <v>0</v>
      </c>
      <c r="AU170" s="21">
        <f>AU157+AU163</f>
        <v>0</v>
      </c>
      <c r="AV170" s="21">
        <f>AV157+AV163</f>
        <v>0</v>
      </c>
      <c r="AW170" s="209">
        <f>AS170+AT170+AU170/$C$16+AV170/$F$16</f>
        <v>0</v>
      </c>
      <c r="AX170" s="209">
        <f t="shared" ref="AX170" si="482">AW170*$C$16</f>
        <v>0</v>
      </c>
      <c r="AZ170" s="209">
        <f t="shared" si="442"/>
        <v>350748.69999999995</v>
      </c>
    </row>
    <row r="171" spans="1:52" ht="13.5" thickBot="1" x14ac:dyDescent="0.25">
      <c r="B171" s="218"/>
      <c r="C171" s="219"/>
      <c r="D171" s="220"/>
      <c r="E171" s="220"/>
      <c r="F171" s="220"/>
      <c r="G171" s="219"/>
      <c r="H171" s="219"/>
      <c r="I171" s="219"/>
      <c r="J171" s="220"/>
      <c r="K171" s="220"/>
      <c r="L171" s="220"/>
      <c r="M171" s="219"/>
      <c r="N171" s="219"/>
      <c r="O171" s="219"/>
      <c r="P171" s="220"/>
      <c r="Q171" s="220"/>
      <c r="R171" s="220"/>
      <c r="S171" s="219"/>
      <c r="T171" s="219"/>
      <c r="U171" s="219"/>
      <c r="V171" s="220"/>
      <c r="W171" s="220"/>
      <c r="X171" s="220"/>
      <c r="Y171" s="219"/>
      <c r="Z171" s="219"/>
      <c r="AA171" s="219"/>
      <c r="AB171" s="220"/>
      <c r="AC171" s="220"/>
      <c r="AD171" s="220"/>
      <c r="AE171" s="219"/>
      <c r="AF171" s="219"/>
      <c r="AG171" s="219"/>
      <c r="AH171" s="220"/>
      <c r="AI171" s="220"/>
      <c r="AJ171" s="220"/>
      <c r="AK171" s="219"/>
      <c r="AL171" s="219"/>
      <c r="AM171" s="219"/>
      <c r="AN171" s="220"/>
      <c r="AO171" s="220"/>
      <c r="AP171" s="220"/>
      <c r="AQ171" s="219"/>
      <c r="AR171" s="219"/>
      <c r="AS171" s="219"/>
      <c r="AT171" s="220"/>
      <c r="AU171" s="220"/>
      <c r="AV171" s="220"/>
      <c r="AW171" s="219"/>
      <c r="AX171" s="219"/>
    </row>
    <row r="172" spans="1:52" s="70" customFormat="1" ht="15.75" thickBot="1" x14ac:dyDescent="0.25">
      <c r="B172" s="121" t="s">
        <v>687</v>
      </c>
      <c r="C172" s="122">
        <f t="shared" ref="C172:AD172" si="483">C153+C170</f>
        <v>2621.4259999997448</v>
      </c>
      <c r="D172" s="336">
        <f t="shared" si="483"/>
        <v>-456592.92154999997</v>
      </c>
      <c r="E172" s="124">
        <f>E153+E170</f>
        <v>574014.81000000006</v>
      </c>
      <c r="F172" s="124">
        <f t="shared" si="483"/>
        <v>889.75</v>
      </c>
      <c r="G172" s="122">
        <f>G153+G170</f>
        <v>1462107.416571212</v>
      </c>
      <c r="H172" s="122">
        <f>H153+H170</f>
        <v>438632.2249713635</v>
      </c>
      <c r="I172" s="122">
        <f t="shared" si="483"/>
        <v>1465.7819999994244</v>
      </c>
      <c r="J172" s="123">
        <f t="shared" si="483"/>
        <v>-211222.94698999988</v>
      </c>
      <c r="K172" s="124">
        <f t="shared" si="483"/>
        <v>430143.32000000007</v>
      </c>
      <c r="L172" s="124">
        <f t="shared" si="483"/>
        <v>889.75</v>
      </c>
      <c r="M172" s="122">
        <f>M153+M170</f>
        <v>1226750.1137978784</v>
      </c>
      <c r="N172" s="122">
        <f>N153+N170</f>
        <v>368025.03413936362</v>
      </c>
      <c r="O172" s="122">
        <f t="shared" si="483"/>
        <v>2872.6229999994976</v>
      </c>
      <c r="P172" s="123">
        <f t="shared" si="483"/>
        <v>-916120.84971666639</v>
      </c>
      <c r="Q172" s="124">
        <f t="shared" si="483"/>
        <v>274287.16000000009</v>
      </c>
      <c r="R172" s="124">
        <f t="shared" si="483"/>
        <v>889.75</v>
      </c>
      <c r="S172" s="122">
        <f>S153+S170</f>
        <v>3738.5187378786213</v>
      </c>
      <c r="T172" s="122">
        <f>T153+T170</f>
        <v>1121.5556213634991</v>
      </c>
      <c r="U172" s="122">
        <f t="shared" si="483"/>
        <v>2386.2266299994008</v>
      </c>
      <c r="V172" s="123">
        <f t="shared" si="483"/>
        <v>-1101323.0867366665</v>
      </c>
      <c r="W172" s="124">
        <f t="shared" si="483"/>
        <v>282628.82000000007</v>
      </c>
      <c r="X172" s="124">
        <f t="shared" si="483"/>
        <v>889.75</v>
      </c>
      <c r="Y172" s="122">
        <f>Y153+Y170</f>
        <v>-154144.58131878788</v>
      </c>
      <c r="Z172" s="122">
        <f>Z153+Z170</f>
        <v>-46243.374395636398</v>
      </c>
      <c r="AA172" s="122">
        <f t="shared" si="483"/>
        <v>4219.1906299993207</v>
      </c>
      <c r="AB172" s="123">
        <f t="shared" si="483"/>
        <v>-463197.17073666642</v>
      </c>
      <c r="AC172" s="124">
        <f t="shared" si="483"/>
        <v>375938.15000000014</v>
      </c>
      <c r="AD172" s="124">
        <f t="shared" si="483"/>
        <v>889.75</v>
      </c>
      <c r="AE172" s="122">
        <f>AE153+AE170</f>
        <v>788561.636131212</v>
      </c>
      <c r="AF172" s="122">
        <f>AF153+AF170</f>
        <v>236568.49083936363</v>
      </c>
      <c r="AG172" s="122">
        <f t="shared" ref="AG172:AV172" si="484">AG153+AG170</f>
        <v>1464.8226299993039</v>
      </c>
      <c r="AH172" s="123">
        <f t="shared" si="484"/>
        <v>-1218097.2851766662</v>
      </c>
      <c r="AI172" s="124">
        <f t="shared" si="484"/>
        <v>704641.88000000012</v>
      </c>
      <c r="AJ172" s="124">
        <f t="shared" si="484"/>
        <v>889.75</v>
      </c>
      <c r="AK172" s="122">
        <f>AK153+AK170</f>
        <v>1134870.0162412124</v>
      </c>
      <c r="AL172" s="122">
        <f>AL153+AL170</f>
        <v>340461.0048723637</v>
      </c>
      <c r="AM172" s="122">
        <f t="shared" si="484"/>
        <v>1961.058629999221</v>
      </c>
      <c r="AN172" s="138">
        <f t="shared" si="484"/>
        <v>-766116.47023666615</v>
      </c>
      <c r="AO172" s="124">
        <f t="shared" si="484"/>
        <v>554164.40000000014</v>
      </c>
      <c r="AP172" s="124">
        <f t="shared" si="484"/>
        <v>889.75</v>
      </c>
      <c r="AQ172" s="122">
        <f>AQ153+AQ170</f>
        <v>1085755.4671812123</v>
      </c>
      <c r="AR172" s="122">
        <f>AR153+AR170</f>
        <v>325726.64015436382</v>
      </c>
      <c r="AS172" s="122">
        <f t="shared" si="484"/>
        <v>1170.8732599992509</v>
      </c>
      <c r="AT172" s="138">
        <f t="shared" si="484"/>
        <v>-1182962.9112566661</v>
      </c>
      <c r="AU172" s="124">
        <f t="shared" si="484"/>
        <v>625354.40000000014</v>
      </c>
      <c r="AV172" s="124">
        <f t="shared" si="484"/>
        <v>889.75</v>
      </c>
      <c r="AW172" s="122">
        <f>AW153+AW170</f>
        <v>905418.84079121263</v>
      </c>
      <c r="AX172" s="122">
        <f>AX153+AX170</f>
        <v>271625.65223736374</v>
      </c>
      <c r="AZ172"/>
    </row>
    <row r="173" spans="1:52" s="323" customFormat="1" x14ac:dyDescent="0.2">
      <c r="B173" s="322"/>
      <c r="C173" s="337"/>
      <c r="D173" s="337"/>
      <c r="E173" s="337"/>
      <c r="F173" s="337"/>
      <c r="G173" s="337"/>
      <c r="H173" s="337"/>
      <c r="I173" s="337"/>
      <c r="J173" s="337"/>
      <c r="K173" s="337"/>
      <c r="L173" s="337"/>
      <c r="M173" s="337"/>
      <c r="N173" s="337"/>
      <c r="O173" s="337"/>
      <c r="P173" s="337"/>
      <c r="Q173" s="337"/>
      <c r="R173" s="337"/>
      <c r="S173" s="337"/>
      <c r="T173" s="337"/>
      <c r="U173" s="337"/>
      <c r="V173" s="337"/>
      <c r="W173" s="337"/>
      <c r="X173" s="337"/>
      <c r="Y173" s="337"/>
      <c r="Z173" s="337"/>
      <c r="AA173" s="337"/>
      <c r="AB173" s="337"/>
      <c r="AC173" s="337"/>
      <c r="AD173" s="337"/>
      <c r="AE173" s="337"/>
      <c r="AF173" s="337"/>
      <c r="AG173" s="337"/>
      <c r="AH173" s="337"/>
      <c r="AI173" s="337"/>
      <c r="AJ173" s="337"/>
      <c r="AK173" s="337"/>
      <c r="AL173" s="337"/>
      <c r="AM173" s="337"/>
      <c r="AN173" s="337"/>
      <c r="AO173" s="337"/>
      <c r="AP173" s="337"/>
      <c r="AQ173" s="337"/>
      <c r="AR173" s="337"/>
      <c r="AS173" s="337"/>
      <c r="AT173" s="337"/>
      <c r="AU173" s="337"/>
      <c r="AV173" s="337"/>
      <c r="AW173" s="337"/>
      <c r="AX173" s="337"/>
    </row>
    <row r="174" spans="1:52" s="415" customFormat="1" ht="12.75" customHeight="1" x14ac:dyDescent="0.2">
      <c r="B174" s="416"/>
      <c r="C174" s="417"/>
      <c r="D174" s="418"/>
      <c r="E174" s="417"/>
      <c r="F174" s="417"/>
      <c r="G174" s="419">
        <f>+G172</f>
        <v>1462107.416571212</v>
      </c>
      <c r="H174" s="419">
        <f>+G174/3.2</f>
        <v>456908.56767850375</v>
      </c>
      <c r="I174" s="417"/>
      <c r="J174" s="418"/>
      <c r="K174" s="417"/>
      <c r="L174" s="417"/>
      <c r="M174" s="419">
        <f>+M172</f>
        <v>1226750.1137978784</v>
      </c>
      <c r="N174" s="419">
        <f>+M174/3.2</f>
        <v>383359.41056183696</v>
      </c>
      <c r="O174" s="417"/>
      <c r="P174" s="418"/>
      <c r="Q174" s="417"/>
      <c r="R174" s="417"/>
      <c r="S174" s="419">
        <f>+S172</f>
        <v>3738.5187378786213</v>
      </c>
      <c r="T174" s="419">
        <f>+S174/3.2</f>
        <v>1168.2871055870692</v>
      </c>
      <c r="U174" s="417"/>
      <c r="V174" s="418"/>
      <c r="W174" s="417"/>
      <c r="X174" s="417"/>
      <c r="Y174" s="419">
        <f>+Y172</f>
        <v>-154144.58131878788</v>
      </c>
      <c r="Z174" s="419">
        <f>+Y174/3.2</f>
        <v>-48170.181662121213</v>
      </c>
      <c r="AA174" s="417"/>
      <c r="AB174" s="418"/>
      <c r="AC174" s="417"/>
      <c r="AD174" s="417"/>
      <c r="AE174" s="419">
        <f>+AE172</f>
        <v>788561.636131212</v>
      </c>
      <c r="AF174" s="419">
        <f>+AE174/3.2</f>
        <v>246425.51129100373</v>
      </c>
      <c r="AG174" s="417"/>
      <c r="AH174" s="418"/>
      <c r="AI174" s="417"/>
      <c r="AJ174" s="417"/>
      <c r="AK174" s="419">
        <f>+AK172</f>
        <v>1134870.0162412124</v>
      </c>
      <c r="AL174" s="419">
        <f>+AK174/3.2</f>
        <v>354646.88007537887</v>
      </c>
      <c r="AM174" s="417"/>
      <c r="AN174" s="418"/>
      <c r="AO174" s="417"/>
      <c r="AP174" s="417"/>
      <c r="AQ174" s="419">
        <f>+AQ172</f>
        <v>1085755.4671812123</v>
      </c>
      <c r="AR174" s="419">
        <f>+AQ174/3.2</f>
        <v>339298.58349412883</v>
      </c>
      <c r="AS174" s="417"/>
      <c r="AT174" s="418"/>
      <c r="AU174" s="417"/>
      <c r="AV174" s="417"/>
      <c r="AW174" s="419">
        <f>+AW172</f>
        <v>905418.84079121263</v>
      </c>
      <c r="AX174" s="419">
        <f>+AW174/3.2</f>
        <v>282943.38774725393</v>
      </c>
    </row>
    <row r="175" spans="1:52" s="415" customFormat="1" ht="14.25" x14ac:dyDescent="0.2">
      <c r="B175" s="416"/>
      <c r="C175" s="420"/>
      <c r="D175" s="420"/>
      <c r="E175" s="420"/>
      <c r="F175" s="420"/>
      <c r="G175" s="421">
        <f>IF(D172&lt;0,G174+D172,G174)</f>
        <v>1005514.495021212</v>
      </c>
      <c r="H175" s="422">
        <f>+G175/3.2</f>
        <v>314223.27969412872</v>
      </c>
      <c r="I175" s="420"/>
      <c r="J175" s="420"/>
      <c r="K175" s="420"/>
      <c r="L175" s="420"/>
      <c r="M175" s="421">
        <f>IF(J172&lt;0,M174+J172,M174)</f>
        <v>1015527.1668078785</v>
      </c>
      <c r="N175" s="422">
        <f>+M175/3.2</f>
        <v>317352.239627462</v>
      </c>
      <c r="O175" s="420"/>
      <c r="P175" s="420"/>
      <c r="Q175" s="420"/>
      <c r="R175" s="420"/>
      <c r="S175" s="421">
        <f>IF(P172&lt;0,S174+P172,S174)</f>
        <v>-912382.33097878774</v>
      </c>
      <c r="T175" s="422">
        <f>+S175/3.2</f>
        <v>-285119.47843087115</v>
      </c>
      <c r="U175" s="420"/>
      <c r="V175" s="420"/>
      <c r="W175" s="420"/>
      <c r="X175" s="420"/>
      <c r="Y175" s="421">
        <f>IF(V172&lt;0,Y174+V172,Y174)</f>
        <v>-1255467.6680554543</v>
      </c>
      <c r="Z175" s="422">
        <f>+Y175/3.2</f>
        <v>-392333.64626732946</v>
      </c>
      <c r="AA175" s="420"/>
      <c r="AB175" s="420"/>
      <c r="AC175" s="420"/>
      <c r="AD175" s="420"/>
      <c r="AE175" s="421">
        <f>IF(AB172&lt;0,AE174+AB172,AE174)</f>
        <v>325364.46539454558</v>
      </c>
      <c r="AF175" s="422">
        <f>+AE175/3.2</f>
        <v>101676.39543579549</v>
      </c>
      <c r="AG175" s="420"/>
      <c r="AH175" s="420"/>
      <c r="AI175" s="420"/>
      <c r="AJ175" s="420"/>
      <c r="AK175" s="421">
        <f>IF(AH172&lt;0,AK174+AH172,AK174)</f>
        <v>-83227.268935453845</v>
      </c>
      <c r="AL175" s="422">
        <f>+AK175/3.2</f>
        <v>-26008.521542329327</v>
      </c>
      <c r="AM175" s="420"/>
      <c r="AN175" s="420"/>
      <c r="AO175" s="420"/>
      <c r="AP175" s="420"/>
      <c r="AQ175" s="421">
        <f>IF(AN172&lt;0,AQ174+AN172,AQ174)</f>
        <v>319638.99694454612</v>
      </c>
      <c r="AR175" s="422">
        <f>+AQ175/3.2</f>
        <v>99887.186545170654</v>
      </c>
      <c r="AS175" s="420"/>
      <c r="AT175" s="420"/>
      <c r="AU175" s="420"/>
      <c r="AV175" s="420"/>
      <c r="AW175" s="421">
        <f>IF(AT172&lt;0,AW174+AT172,AW174)</f>
        <v>-277544.07046545343</v>
      </c>
      <c r="AX175" s="422">
        <f>+AW175/3.2</f>
        <v>-86732.522020454198</v>
      </c>
    </row>
    <row r="176" spans="1:52" x14ac:dyDescent="0.2">
      <c r="E176" s="317"/>
      <c r="H176" s="317"/>
      <c r="N176" s="317"/>
      <c r="P176" s="21"/>
      <c r="T176" s="317"/>
      <c r="V176" s="21"/>
      <c r="W176" s="317"/>
      <c r="Z176" s="317"/>
      <c r="AF176" s="317"/>
      <c r="AL176" s="317"/>
      <c r="AR176" s="317"/>
      <c r="AX176" s="317"/>
    </row>
    <row r="177" spans="4:48" x14ac:dyDescent="0.2">
      <c r="E177" s="317"/>
      <c r="M177" s="21"/>
    </row>
    <row r="178" spans="4:48" x14ac:dyDescent="0.2">
      <c r="D178" s="21"/>
      <c r="G178" s="21"/>
      <c r="M178" s="21"/>
      <c r="W178" s="317"/>
      <c r="AS178" s="4"/>
      <c r="AT178" s="4"/>
      <c r="AU178" s="4"/>
      <c r="AV178" s="4"/>
    </row>
    <row r="179" spans="4:48" x14ac:dyDescent="0.2">
      <c r="W179" s="317"/>
      <c r="X179" s="317"/>
    </row>
    <row r="180" spans="4:48" x14ac:dyDescent="0.2">
      <c r="D180" s="397"/>
    </row>
    <row r="181" spans="4:48" x14ac:dyDescent="0.2">
      <c r="D181" s="397"/>
    </row>
    <row r="182" spans="4:48" x14ac:dyDescent="0.2">
      <c r="D182" s="397"/>
    </row>
  </sheetData>
  <mergeCells count="55">
    <mergeCell ref="AH22:AH25"/>
    <mergeCell ref="AN22:AN25"/>
    <mergeCell ref="AT22:AT25"/>
    <mergeCell ref="A38:A75"/>
    <mergeCell ref="A80:A92"/>
    <mergeCell ref="J22:J25"/>
    <mergeCell ref="P22:P25"/>
    <mergeCell ref="V22:V25"/>
    <mergeCell ref="AB22:AB25"/>
    <mergeCell ref="A157:A169"/>
    <mergeCell ref="A19:A33"/>
    <mergeCell ref="A94:A120"/>
    <mergeCell ref="A125:A132"/>
    <mergeCell ref="A134:A139"/>
    <mergeCell ref="A143:A145"/>
    <mergeCell ref="AS9:AX9"/>
    <mergeCell ref="AS10:AX10"/>
    <mergeCell ref="AS11:AX11"/>
    <mergeCell ref="AS12:AX12"/>
    <mergeCell ref="AS13:AX13"/>
    <mergeCell ref="AM9:AR9"/>
    <mergeCell ref="AM10:AR10"/>
    <mergeCell ref="AM11:AR11"/>
    <mergeCell ref="AM12:AR12"/>
    <mergeCell ref="AM13:AR13"/>
    <mergeCell ref="AG9:AL9"/>
    <mergeCell ref="AG10:AL10"/>
    <mergeCell ref="AG11:AL11"/>
    <mergeCell ref="AG12:AL12"/>
    <mergeCell ref="AG13:AL13"/>
    <mergeCell ref="AA9:AF9"/>
    <mergeCell ref="AA10:AF10"/>
    <mergeCell ref="AA11:AF11"/>
    <mergeCell ref="AA12:AF12"/>
    <mergeCell ref="AA13:AF13"/>
    <mergeCell ref="U9:Z9"/>
    <mergeCell ref="U10:Z10"/>
    <mergeCell ref="U11:Z11"/>
    <mergeCell ref="U12:Z12"/>
    <mergeCell ref="U13:Z13"/>
    <mergeCell ref="C11:H11"/>
    <mergeCell ref="C9:H9"/>
    <mergeCell ref="C10:H10"/>
    <mergeCell ref="C12:H12"/>
    <mergeCell ref="C13:H13"/>
    <mergeCell ref="I9:N9"/>
    <mergeCell ref="I10:N10"/>
    <mergeCell ref="I11:N11"/>
    <mergeCell ref="I12:N12"/>
    <mergeCell ref="I13:N13"/>
    <mergeCell ref="O9:T9"/>
    <mergeCell ref="O10:T10"/>
    <mergeCell ref="O11:T11"/>
    <mergeCell ref="O12:T12"/>
    <mergeCell ref="O13:T13"/>
  </mergeCells>
  <phoneticPr fontId="38" type="noConversion"/>
  <conditionalFormatting sqref="C11">
    <cfRule type="cellIs" dxfId="1" priority="13" operator="lessThan">
      <formula>0</formula>
    </cfRule>
  </conditionalFormatting>
  <conditionalFormatting sqref="I11 O11 U11 AA11 AG11 AM11 AS11">
    <cfRule type="cellIs" dxfId="0" priority="4" operator="lessThan">
      <formula>0</formula>
    </cfRule>
  </conditionalFormatting>
  <pageMargins left="0.8" right="0.82677165354330717" top="0.84" bottom="0.98425196850393704" header="0.51181102362204722" footer="0.51181102362204722"/>
  <pageSetup paperSize="9" scale="15" fitToWidth="8" orientation="portrait" r:id="rId1"/>
  <headerFooter alignWithMargins="0"/>
  <ignoredErrors>
    <ignoredError sqref="AG122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F361888-A6A6-4C49-B9A5-66AAC8DBE1B1}">
          <x14:formula1>
            <xm:f>Mapping!$E$30:$E$40</xm:f>
          </x14:formula1>
          <xm:sqref>B117</xm:sqref>
        </x14:dataValidation>
        <x14:dataValidation type="list" allowBlank="1" showInputMessage="1" showErrorMessage="1" xr:uid="{607AB36B-7093-4BFD-BCCD-3171E072014E}">
          <x14:formula1>
            <xm:f>Mapping!$C$30:$C$38</xm:f>
          </x14:formula1>
          <xm:sqref>B83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8864F-DCFE-C141-A65C-6CD1A3E67C39}">
  <sheetPr>
    <tabColor rgb="FFFFFF00"/>
  </sheetPr>
  <dimension ref="A1:W1422"/>
  <sheetViews>
    <sheetView zoomScale="80" zoomScaleNormal="80" zoomScaleSheetLayoutView="100" workbookViewId="0">
      <pane xSplit="1" ySplit="1" topLeftCell="C1387" activePane="bottomRight" state="frozen"/>
      <selection pane="topRight" activeCell="B1" sqref="B1"/>
      <selection pane="bottomLeft" activeCell="A2" sqref="A2"/>
      <selection pane="bottomRight" activeCell="Q1409" sqref="Q1409"/>
    </sheetView>
  </sheetViews>
  <sheetFormatPr baseColWidth="10" defaultColWidth="23.85546875" defaultRowHeight="12.75" x14ac:dyDescent="0.2"/>
  <cols>
    <col min="1" max="1" width="9.42578125" style="33" bestFit="1" customWidth="1"/>
    <col min="2" max="2" width="35.42578125" style="33" bestFit="1" customWidth="1"/>
    <col min="3" max="3" width="22.7109375" style="408" bestFit="1" customWidth="1"/>
    <col min="4" max="4" width="23.140625" style="408" bestFit="1" customWidth="1"/>
    <col min="5" max="5" width="18" style="33" bestFit="1" customWidth="1"/>
    <col min="6" max="6" width="44.5703125" style="33" bestFit="1" customWidth="1"/>
    <col min="7" max="7" width="19.140625" style="33" bestFit="1" customWidth="1"/>
    <col min="8" max="8" width="24.140625" style="33" bestFit="1" customWidth="1"/>
    <col min="9" max="9" width="27.7109375" style="33" bestFit="1" customWidth="1"/>
    <col min="10" max="10" width="13.140625" style="33" bestFit="1" customWidth="1"/>
    <col min="11" max="11" width="20.28515625" style="400" bestFit="1" customWidth="1"/>
    <col min="12" max="12" width="12.28515625" style="318" bestFit="1" customWidth="1"/>
    <col min="13" max="13" width="17.7109375" style="255" bestFit="1" customWidth="1"/>
    <col min="14" max="14" width="12" style="33" bestFit="1" customWidth="1"/>
    <col min="15" max="15" width="13" style="408" bestFit="1" customWidth="1"/>
    <col min="16" max="16" width="19.42578125" style="33" bestFit="1" customWidth="1"/>
    <col min="17" max="17" width="12.7109375" style="408" bestFit="1" customWidth="1"/>
    <col min="18" max="18" width="22.85546875" style="255" bestFit="1" customWidth="1"/>
    <col min="19" max="19" width="13.85546875" style="33" bestFit="1" customWidth="1"/>
    <col min="20" max="20" width="18.5703125" style="33" bestFit="1" customWidth="1"/>
    <col min="21" max="21" width="23.85546875" style="33"/>
    <col min="22" max="22" width="7.140625" style="33" bestFit="1" customWidth="1"/>
    <col min="23" max="23" width="10.85546875" style="33" bestFit="1" customWidth="1"/>
    <col min="24" max="16384" width="23.85546875" style="33"/>
  </cols>
  <sheetData>
    <row r="1" spans="1:23" x14ac:dyDescent="0.2">
      <c r="A1" s="348" t="s">
        <v>110</v>
      </c>
      <c r="B1" s="348" t="s">
        <v>93</v>
      </c>
      <c r="C1" s="348" t="s">
        <v>272</v>
      </c>
      <c r="D1" s="348" t="s">
        <v>99</v>
      </c>
      <c r="E1" s="348" t="s">
        <v>98</v>
      </c>
      <c r="F1" s="348" t="s">
        <v>118</v>
      </c>
      <c r="G1" s="348" t="s">
        <v>123</v>
      </c>
      <c r="H1" s="348" t="s">
        <v>255</v>
      </c>
      <c r="I1" s="348" t="s">
        <v>256</v>
      </c>
      <c r="J1" s="348" t="s">
        <v>28</v>
      </c>
      <c r="K1" s="399" t="s">
        <v>248</v>
      </c>
      <c r="L1" s="321" t="s">
        <v>249</v>
      </c>
      <c r="M1" s="311" t="s">
        <v>250</v>
      </c>
      <c r="N1" s="348" t="s">
        <v>27</v>
      </c>
      <c r="O1" s="348" t="s">
        <v>94</v>
      </c>
      <c r="P1" s="311" t="s">
        <v>236</v>
      </c>
      <c r="Q1" s="348" t="s">
        <v>95</v>
      </c>
      <c r="R1" s="311" t="s">
        <v>121</v>
      </c>
      <c r="S1" s="348" t="s">
        <v>97</v>
      </c>
      <c r="T1" s="348" t="s">
        <v>96</v>
      </c>
      <c r="V1" s="587" t="s">
        <v>122</v>
      </c>
      <c r="W1" s="375">
        <f ca="1">TODAY()</f>
        <v>45441</v>
      </c>
    </row>
    <row r="2" spans="1:23" s="589" customFormat="1" x14ac:dyDescent="0.2">
      <c r="A2" s="589" t="s">
        <v>56</v>
      </c>
      <c r="B2" s="589" t="s">
        <v>555</v>
      </c>
      <c r="C2" s="590" t="s">
        <v>1360</v>
      </c>
      <c r="D2" s="589" t="s">
        <v>100</v>
      </c>
      <c r="E2" s="589" t="s">
        <v>104</v>
      </c>
      <c r="F2" s="589" t="s">
        <v>111</v>
      </c>
      <c r="G2" s="589" t="s">
        <v>47</v>
      </c>
      <c r="H2" s="589" t="s">
        <v>242</v>
      </c>
      <c r="I2" s="589" t="s">
        <v>967</v>
      </c>
      <c r="J2" s="589" t="s">
        <v>35</v>
      </c>
      <c r="K2" s="591">
        <v>898.59500000000003</v>
      </c>
      <c r="L2" s="592">
        <f>IF(J2="TND",1,IF(J2="EUR",Vertical_Cash_flow!$C$16,IF(J2="USD",Vertical_Cash_flow!$F$16,0)))</f>
        <v>1</v>
      </c>
      <c r="M2" s="593">
        <f t="shared" ref="M2:M20" si="0">K2/L2</f>
        <v>898.59500000000003</v>
      </c>
      <c r="N2" s="589" t="s">
        <v>251</v>
      </c>
      <c r="O2" s="594">
        <v>45345</v>
      </c>
      <c r="P2" s="593">
        <f t="shared" ref="P2:P20" si="1">O2-Q2</f>
        <v>-89</v>
      </c>
      <c r="Q2" s="594">
        <v>45434</v>
      </c>
      <c r="R2" s="593">
        <f t="shared" ref="R2:R20" ca="1" si="2">$W$1-Q2</f>
        <v>7</v>
      </c>
      <c r="S2" s="589" t="str">
        <f>VLOOKUP(Q2,Mapping!L:M,2,0)</f>
        <v>W21_2024</v>
      </c>
      <c r="T2" s="589" t="str">
        <f t="shared" ref="T2:T20" ca="1" si="3">IF(R2="","",IF(R2&lt;0,"Not Due",IF(AND(R2&gt;=0,R2&lt;=30),"up to 30 days",IF(AND(R2&gt;30,R2&lt;=60),"30-60 days",IF(AND(R2&gt;60,R2&lt;=90),"60-90 days",IF(AND(R2&gt;90,R2&lt;=120),"90-120 days",IF(AND(R2&gt;120,R2&lt;=180),"120-180 days",IF(AND(R2&gt;180,R2&lt;=360),"180-360 days",IF(R2&gt;360,"more than 360 days","ok")))))))))</f>
        <v>up to 30 days</v>
      </c>
      <c r="W2" s="591"/>
    </row>
    <row r="3" spans="1:23" s="589" customFormat="1" x14ac:dyDescent="0.2">
      <c r="A3" s="589" t="s">
        <v>56</v>
      </c>
      <c r="B3" s="589" t="s">
        <v>405</v>
      </c>
      <c r="C3" s="590" t="s">
        <v>2644</v>
      </c>
      <c r="D3" s="589" t="s">
        <v>100</v>
      </c>
      <c r="E3" s="589" t="s">
        <v>104</v>
      </c>
      <c r="F3" s="589" t="s">
        <v>111</v>
      </c>
      <c r="G3" s="589" t="s">
        <v>47</v>
      </c>
      <c r="H3" s="589" t="s">
        <v>242</v>
      </c>
      <c r="I3" s="589" t="s">
        <v>2954</v>
      </c>
      <c r="J3" s="589" t="s">
        <v>35</v>
      </c>
      <c r="K3" s="591">
        <v>1031</v>
      </c>
      <c r="L3" s="592">
        <f>IF(J3="TND",1,IF(J3="EUR",Vertical_Cash_flow!$C$16,IF(J3="USD",Vertical_Cash_flow!$F$16,0)))</f>
        <v>1</v>
      </c>
      <c r="M3" s="593">
        <f t="shared" si="0"/>
        <v>1031</v>
      </c>
      <c r="N3" s="589" t="s">
        <v>251</v>
      </c>
      <c r="O3" s="594">
        <v>45397</v>
      </c>
      <c r="P3" s="593">
        <f t="shared" si="1"/>
        <v>-35</v>
      </c>
      <c r="Q3" s="594">
        <v>45432</v>
      </c>
      <c r="R3" s="593">
        <f t="shared" ca="1" si="2"/>
        <v>9</v>
      </c>
      <c r="S3" s="589" t="str">
        <f>VLOOKUP(Q3,Mapping!L:M,2,0)</f>
        <v>W21_2024</v>
      </c>
      <c r="T3" s="589" t="str">
        <f t="shared" ca="1" si="3"/>
        <v>up to 30 days</v>
      </c>
      <c r="W3" s="591"/>
    </row>
    <row r="4" spans="1:23" s="589" customFormat="1" x14ac:dyDescent="0.2">
      <c r="A4" s="589" t="s">
        <v>56</v>
      </c>
      <c r="B4" s="589" t="s">
        <v>979</v>
      </c>
      <c r="C4" s="590" t="s">
        <v>992</v>
      </c>
      <c r="D4" s="589" t="s">
        <v>100</v>
      </c>
      <c r="E4" s="589" t="s">
        <v>104</v>
      </c>
      <c r="F4" s="589" t="s">
        <v>111</v>
      </c>
      <c r="G4" s="589" t="s">
        <v>47</v>
      </c>
      <c r="H4" s="589" t="s">
        <v>242</v>
      </c>
      <c r="I4" s="589" t="s">
        <v>1002</v>
      </c>
      <c r="J4" s="589" t="s">
        <v>35</v>
      </c>
      <c r="K4" s="591">
        <v>1400</v>
      </c>
      <c r="L4" s="592">
        <f>IF(J4="TND",1,IF(J4="EUR",Vertical_Cash_flow!$C$16,IF(J4="USD",Vertical_Cash_flow!$F$16,0)))</f>
        <v>1</v>
      </c>
      <c r="M4" s="593">
        <f t="shared" si="0"/>
        <v>1400</v>
      </c>
      <c r="N4" s="589" t="s">
        <v>251</v>
      </c>
      <c r="O4" s="594">
        <v>45282</v>
      </c>
      <c r="P4" s="593">
        <f t="shared" si="1"/>
        <v>-150</v>
      </c>
      <c r="Q4" s="594">
        <v>45432</v>
      </c>
      <c r="R4" s="593">
        <f t="shared" ca="1" si="2"/>
        <v>9</v>
      </c>
      <c r="S4" s="589" t="str">
        <f>VLOOKUP(Q4,Mapping!L:M,2,0)</f>
        <v>W21_2024</v>
      </c>
      <c r="T4" s="589" t="str">
        <f t="shared" ca="1" si="3"/>
        <v>up to 30 days</v>
      </c>
      <c r="W4" s="591"/>
    </row>
    <row r="5" spans="1:23" s="589" customFormat="1" x14ac:dyDescent="0.2">
      <c r="A5" s="589" t="s">
        <v>56</v>
      </c>
      <c r="B5" s="589" t="s">
        <v>285</v>
      </c>
      <c r="C5" s="590" t="s">
        <v>1359</v>
      </c>
      <c r="D5" s="589" t="s">
        <v>100</v>
      </c>
      <c r="E5" s="589" t="s">
        <v>104</v>
      </c>
      <c r="F5" s="589" t="s">
        <v>111</v>
      </c>
      <c r="G5" s="589" t="s">
        <v>47</v>
      </c>
      <c r="H5" s="589" t="s">
        <v>242</v>
      </c>
      <c r="I5" s="589" t="s">
        <v>1454</v>
      </c>
      <c r="J5" s="589" t="s">
        <v>35</v>
      </c>
      <c r="K5" s="591">
        <v>1505.904</v>
      </c>
      <c r="L5" s="592">
        <f>IF(J5="TND",1,IF(J5="EUR",Vertical_Cash_flow!$C$16,IF(J5="USD",Vertical_Cash_flow!$F$16,0)))</f>
        <v>1</v>
      </c>
      <c r="M5" s="593">
        <f t="shared" si="0"/>
        <v>1505.904</v>
      </c>
      <c r="N5" s="589" t="s">
        <v>251</v>
      </c>
      <c r="O5" s="594">
        <v>45329</v>
      </c>
      <c r="P5" s="593">
        <f t="shared" si="1"/>
        <v>-103</v>
      </c>
      <c r="Q5" s="594">
        <v>45432</v>
      </c>
      <c r="R5" s="593">
        <f t="shared" ca="1" si="2"/>
        <v>9</v>
      </c>
      <c r="S5" s="589" t="str">
        <f>VLOOKUP(Q5,Mapping!L:M,2,0)</f>
        <v>W21_2024</v>
      </c>
      <c r="T5" s="589" t="str">
        <f t="shared" ca="1" si="3"/>
        <v>up to 30 days</v>
      </c>
      <c r="W5" s="591"/>
    </row>
    <row r="6" spans="1:23" s="589" customFormat="1" x14ac:dyDescent="0.2">
      <c r="A6" s="589" t="s">
        <v>56</v>
      </c>
      <c r="B6" s="589" t="s">
        <v>1488</v>
      </c>
      <c r="C6" s="590" t="s">
        <v>1909</v>
      </c>
      <c r="D6" s="589" t="s">
        <v>100</v>
      </c>
      <c r="E6" s="589" t="s">
        <v>104</v>
      </c>
      <c r="F6" s="589" t="s">
        <v>111</v>
      </c>
      <c r="G6" s="589" t="s">
        <v>47</v>
      </c>
      <c r="H6" s="589" t="s">
        <v>242</v>
      </c>
      <c r="I6" s="589" t="s">
        <v>2261</v>
      </c>
      <c r="J6" s="589" t="s">
        <v>35</v>
      </c>
      <c r="K6" s="591">
        <v>1600</v>
      </c>
      <c r="L6" s="592">
        <f>IF(J6="TND",1,IF(J6="EUR",Vertical_Cash_flow!$C$16,IF(J6="USD",Vertical_Cash_flow!$F$16,0)))</f>
        <v>1</v>
      </c>
      <c r="M6" s="593">
        <f t="shared" si="0"/>
        <v>1600</v>
      </c>
      <c r="N6" s="589" t="s">
        <v>251</v>
      </c>
      <c r="O6" s="594">
        <v>45348</v>
      </c>
      <c r="P6" s="593">
        <f t="shared" si="1"/>
        <v>-84</v>
      </c>
      <c r="Q6" s="594">
        <v>45432</v>
      </c>
      <c r="R6" s="593">
        <f t="shared" ca="1" si="2"/>
        <v>9</v>
      </c>
      <c r="S6" s="589" t="str">
        <f>VLOOKUP(Q6,Mapping!L:M,2,0)</f>
        <v>W21_2024</v>
      </c>
      <c r="T6" s="589" t="str">
        <f t="shared" ca="1" si="3"/>
        <v>up to 30 days</v>
      </c>
      <c r="W6" s="591"/>
    </row>
    <row r="7" spans="1:23" s="589" customFormat="1" x14ac:dyDescent="0.2">
      <c r="A7" s="589" t="s">
        <v>56</v>
      </c>
      <c r="B7" s="589" t="s">
        <v>298</v>
      </c>
      <c r="C7" s="590" t="s">
        <v>1040</v>
      </c>
      <c r="D7" s="589" t="s">
        <v>100</v>
      </c>
      <c r="E7" s="589" t="s">
        <v>104</v>
      </c>
      <c r="F7" s="589" t="s">
        <v>111</v>
      </c>
      <c r="G7" s="589" t="s">
        <v>47</v>
      </c>
      <c r="H7" s="589" t="s">
        <v>242</v>
      </c>
      <c r="I7" s="589" t="s">
        <v>1045</v>
      </c>
      <c r="J7" s="589" t="s">
        <v>35</v>
      </c>
      <c r="K7" s="591">
        <v>2063.3359999999998</v>
      </c>
      <c r="L7" s="592">
        <f>IF(J7="TND",1,IF(J7="EUR",Vertical_Cash_flow!$C$16,IF(J7="USD",Vertical_Cash_flow!$F$16,0)))</f>
        <v>1</v>
      </c>
      <c r="M7" s="593">
        <f t="shared" si="0"/>
        <v>2063.3359999999998</v>
      </c>
      <c r="N7" s="589" t="s">
        <v>251</v>
      </c>
      <c r="O7" s="594">
        <v>45301</v>
      </c>
      <c r="P7" s="593">
        <f t="shared" si="1"/>
        <v>-131</v>
      </c>
      <c r="Q7" s="594">
        <v>45432</v>
      </c>
      <c r="R7" s="593">
        <f t="shared" ca="1" si="2"/>
        <v>9</v>
      </c>
      <c r="S7" s="589" t="str">
        <f>VLOOKUP(Q7,Mapping!L:M,2,0)</f>
        <v>W21_2024</v>
      </c>
      <c r="T7" s="589" t="str">
        <f t="shared" ca="1" si="3"/>
        <v>up to 30 days</v>
      </c>
      <c r="W7" s="591"/>
    </row>
    <row r="8" spans="1:23" s="589" customFormat="1" x14ac:dyDescent="0.2">
      <c r="A8" s="589" t="s">
        <v>56</v>
      </c>
      <c r="B8" s="589" t="s">
        <v>479</v>
      </c>
      <c r="C8" s="590" t="s">
        <v>1362</v>
      </c>
      <c r="D8" s="589" t="s">
        <v>100</v>
      </c>
      <c r="E8" s="589" t="s">
        <v>104</v>
      </c>
      <c r="F8" s="589" t="s">
        <v>111</v>
      </c>
      <c r="G8" s="589" t="s">
        <v>47</v>
      </c>
      <c r="H8" s="589" t="s">
        <v>242</v>
      </c>
      <c r="I8" s="589" t="s">
        <v>770</v>
      </c>
      <c r="J8" s="589" t="s">
        <v>35</v>
      </c>
      <c r="K8" s="591">
        <v>2325.3110000000001</v>
      </c>
      <c r="L8" s="592">
        <f>IF(J8="TND",1,IF(J8="EUR",Vertical_Cash_flow!$C$16,IF(J8="USD",Vertical_Cash_flow!$F$16,0)))</f>
        <v>1</v>
      </c>
      <c r="M8" s="593">
        <f t="shared" si="0"/>
        <v>2325.3110000000001</v>
      </c>
      <c r="N8" s="589" t="s">
        <v>251</v>
      </c>
      <c r="O8" s="594">
        <v>45327</v>
      </c>
      <c r="P8" s="593">
        <f t="shared" si="1"/>
        <v>-105</v>
      </c>
      <c r="Q8" s="594">
        <v>45432</v>
      </c>
      <c r="R8" s="593">
        <f t="shared" ca="1" si="2"/>
        <v>9</v>
      </c>
      <c r="S8" s="589" t="str">
        <f>VLOOKUP(Q8,Mapping!L:M,2,0)</f>
        <v>W21_2024</v>
      </c>
      <c r="T8" s="589" t="str">
        <f t="shared" ca="1" si="3"/>
        <v>up to 30 days</v>
      </c>
      <c r="W8" s="591"/>
    </row>
    <row r="9" spans="1:23" s="589" customFormat="1" x14ac:dyDescent="0.2">
      <c r="A9" s="589" t="s">
        <v>56</v>
      </c>
      <c r="B9" s="589" t="s">
        <v>943</v>
      </c>
      <c r="C9" s="590" t="s">
        <v>1914</v>
      </c>
      <c r="D9" s="589" t="s">
        <v>100</v>
      </c>
      <c r="E9" s="589" t="s">
        <v>104</v>
      </c>
      <c r="F9" s="589" t="s">
        <v>111</v>
      </c>
      <c r="G9" s="589" t="s">
        <v>47</v>
      </c>
      <c r="H9" s="589" t="s">
        <v>242</v>
      </c>
      <c r="I9" s="589" t="s">
        <v>2266</v>
      </c>
      <c r="J9" s="589" t="s">
        <v>35</v>
      </c>
      <c r="K9" s="591">
        <v>2331.1289999999999</v>
      </c>
      <c r="L9" s="592">
        <f>IF(J9="TND",1,IF(J9="EUR",Vertical_Cash_flow!$C$16,IF(J9="USD",Vertical_Cash_flow!$F$16,0)))</f>
        <v>1</v>
      </c>
      <c r="M9" s="593">
        <f t="shared" si="0"/>
        <v>2331.1289999999999</v>
      </c>
      <c r="N9" s="589" t="s">
        <v>251</v>
      </c>
      <c r="O9" s="594">
        <v>45348</v>
      </c>
      <c r="P9" s="593">
        <f t="shared" si="1"/>
        <v>-84</v>
      </c>
      <c r="Q9" s="594">
        <v>45432</v>
      </c>
      <c r="R9" s="593">
        <f t="shared" ca="1" si="2"/>
        <v>9</v>
      </c>
      <c r="S9" s="589" t="str">
        <f>VLOOKUP(Q9,Mapping!L:M,2,0)</f>
        <v>W21_2024</v>
      </c>
      <c r="T9" s="589" t="str">
        <f t="shared" ca="1" si="3"/>
        <v>up to 30 days</v>
      </c>
      <c r="W9" s="591"/>
    </row>
    <row r="10" spans="1:23" s="589" customFormat="1" x14ac:dyDescent="0.2">
      <c r="A10" s="589" t="s">
        <v>56</v>
      </c>
      <c r="B10" s="589" t="s">
        <v>1486</v>
      </c>
      <c r="C10" s="590" t="s">
        <v>1915</v>
      </c>
      <c r="D10" s="589" t="s">
        <v>100</v>
      </c>
      <c r="E10" s="589" t="s">
        <v>104</v>
      </c>
      <c r="F10" s="589" t="s">
        <v>111</v>
      </c>
      <c r="G10" s="589" t="s">
        <v>47</v>
      </c>
      <c r="H10" s="589" t="s">
        <v>242</v>
      </c>
      <c r="I10" s="589" t="s">
        <v>2267</v>
      </c>
      <c r="J10" s="589" t="s">
        <v>35</v>
      </c>
      <c r="K10" s="591">
        <v>2500</v>
      </c>
      <c r="L10" s="592">
        <f>IF(J10="TND",1,IF(J10="EUR",Vertical_Cash_flow!$C$16,IF(J10="USD",Vertical_Cash_flow!$F$16,0)))</f>
        <v>1</v>
      </c>
      <c r="M10" s="593">
        <f t="shared" si="0"/>
        <v>2500</v>
      </c>
      <c r="N10" s="589" t="s">
        <v>251</v>
      </c>
      <c r="O10" s="594">
        <v>45358</v>
      </c>
      <c r="P10" s="593">
        <f t="shared" si="1"/>
        <v>-74</v>
      </c>
      <c r="Q10" s="594">
        <v>45432</v>
      </c>
      <c r="R10" s="593">
        <f t="shared" ca="1" si="2"/>
        <v>9</v>
      </c>
      <c r="S10" s="589" t="str">
        <f>VLOOKUP(Q10,Mapping!L:M,2,0)</f>
        <v>W21_2024</v>
      </c>
      <c r="T10" s="589" t="str">
        <f t="shared" ca="1" si="3"/>
        <v>up to 30 days</v>
      </c>
      <c r="W10" s="591"/>
    </row>
    <row r="11" spans="1:23" s="589" customFormat="1" x14ac:dyDescent="0.2">
      <c r="A11" s="589" t="s">
        <v>56</v>
      </c>
      <c r="B11" s="589" t="s">
        <v>369</v>
      </c>
      <c r="C11" s="590" t="s">
        <v>2646</v>
      </c>
      <c r="D11" s="589" t="s">
        <v>100</v>
      </c>
      <c r="E11" s="589" t="s">
        <v>104</v>
      </c>
      <c r="F11" s="589" t="s">
        <v>111</v>
      </c>
      <c r="G11" s="589" t="s">
        <v>47</v>
      </c>
      <c r="H11" s="589" t="s">
        <v>242</v>
      </c>
      <c r="I11" s="589" t="s">
        <v>2956</v>
      </c>
      <c r="J11" s="589" t="s">
        <v>35</v>
      </c>
      <c r="K11" s="591">
        <v>4329.8919999999998</v>
      </c>
      <c r="L11" s="592">
        <f>IF(J11="TND",1,IF(J11="EUR",Vertical_Cash_flow!$C$16,IF(J11="USD",Vertical_Cash_flow!$F$16,0)))</f>
        <v>1</v>
      </c>
      <c r="M11" s="593">
        <f t="shared" si="0"/>
        <v>4329.8919999999998</v>
      </c>
      <c r="N11" s="589" t="s">
        <v>251</v>
      </c>
      <c r="O11" s="594">
        <v>45387</v>
      </c>
      <c r="P11" s="593">
        <f t="shared" si="1"/>
        <v>-45</v>
      </c>
      <c r="Q11" s="594">
        <v>45432</v>
      </c>
      <c r="R11" s="593">
        <f t="shared" ca="1" si="2"/>
        <v>9</v>
      </c>
      <c r="S11" s="589" t="str">
        <f>VLOOKUP(Q11,Mapping!L:M,2,0)</f>
        <v>W21_2024</v>
      </c>
      <c r="T11" s="589" t="str">
        <f t="shared" ca="1" si="3"/>
        <v>up to 30 days</v>
      </c>
      <c r="W11" s="591"/>
    </row>
    <row r="12" spans="1:23" s="589" customFormat="1" x14ac:dyDescent="0.2">
      <c r="A12" s="589" t="s">
        <v>56</v>
      </c>
      <c r="B12" s="589" t="s">
        <v>800</v>
      </c>
      <c r="C12" s="590" t="s">
        <v>1913</v>
      </c>
      <c r="D12" s="589" t="s">
        <v>100</v>
      </c>
      <c r="E12" s="589" t="s">
        <v>104</v>
      </c>
      <c r="F12" s="589" t="s">
        <v>111</v>
      </c>
      <c r="G12" s="589" t="s">
        <v>47</v>
      </c>
      <c r="H12" s="589" t="s">
        <v>242</v>
      </c>
      <c r="I12" s="589" t="s">
        <v>2265</v>
      </c>
      <c r="J12" s="589" t="s">
        <v>35</v>
      </c>
      <c r="K12" s="591">
        <v>4387.4269999999997</v>
      </c>
      <c r="L12" s="592">
        <f>IF(J12="TND",1,IF(J12="EUR",Vertical_Cash_flow!$C$16,IF(J12="USD",Vertical_Cash_flow!$F$16,0)))</f>
        <v>1</v>
      </c>
      <c r="M12" s="593">
        <f t="shared" si="0"/>
        <v>4387.4269999999997</v>
      </c>
      <c r="N12" s="589" t="s">
        <v>251</v>
      </c>
      <c r="O12" s="594">
        <v>45380</v>
      </c>
      <c r="P12" s="593">
        <f t="shared" si="1"/>
        <v>-52</v>
      </c>
      <c r="Q12" s="594">
        <v>45432</v>
      </c>
      <c r="R12" s="593">
        <f t="shared" ca="1" si="2"/>
        <v>9</v>
      </c>
      <c r="S12" s="589" t="str">
        <f>VLOOKUP(Q12,Mapping!L:M,2,0)</f>
        <v>W21_2024</v>
      </c>
      <c r="T12" s="589" t="str">
        <f t="shared" ca="1" si="3"/>
        <v>up to 30 days</v>
      </c>
      <c r="W12" s="591"/>
    </row>
    <row r="13" spans="1:23" s="589" customFormat="1" x14ac:dyDescent="0.2">
      <c r="A13" s="589" t="s">
        <v>56</v>
      </c>
      <c r="B13" s="589" t="s">
        <v>800</v>
      </c>
      <c r="C13" s="590" t="s">
        <v>1911</v>
      </c>
      <c r="D13" s="589" t="s">
        <v>100</v>
      </c>
      <c r="E13" s="589" t="s">
        <v>104</v>
      </c>
      <c r="F13" s="589" t="s">
        <v>111</v>
      </c>
      <c r="G13" s="589" t="s">
        <v>47</v>
      </c>
      <c r="H13" s="589" t="s">
        <v>242</v>
      </c>
      <c r="I13" s="589" t="s">
        <v>2263</v>
      </c>
      <c r="J13" s="589" t="s">
        <v>35</v>
      </c>
      <c r="K13" s="591">
        <v>4387.4269999999997</v>
      </c>
      <c r="L13" s="592">
        <f>IF(J13="TND",1,IF(J13="EUR",Vertical_Cash_flow!$C$16,IF(J13="USD",Vertical_Cash_flow!$F$16,0)))</f>
        <v>1</v>
      </c>
      <c r="M13" s="593">
        <f t="shared" si="0"/>
        <v>4387.4269999999997</v>
      </c>
      <c r="N13" s="589" t="s">
        <v>251</v>
      </c>
      <c r="O13" s="594">
        <v>45380</v>
      </c>
      <c r="P13" s="593">
        <f t="shared" si="1"/>
        <v>-54</v>
      </c>
      <c r="Q13" s="594">
        <v>45434</v>
      </c>
      <c r="R13" s="593">
        <f t="shared" ca="1" si="2"/>
        <v>7</v>
      </c>
      <c r="S13" s="589" t="str">
        <f>VLOOKUP(Q13,Mapping!L:M,2,0)</f>
        <v>W21_2024</v>
      </c>
      <c r="T13" s="589" t="str">
        <f t="shared" ca="1" si="3"/>
        <v>up to 30 days</v>
      </c>
      <c r="W13" s="591"/>
    </row>
    <row r="14" spans="1:23" s="589" customFormat="1" x14ac:dyDescent="0.2">
      <c r="A14" s="589" t="s">
        <v>56</v>
      </c>
      <c r="B14" s="589" t="s">
        <v>388</v>
      </c>
      <c r="C14" s="590" t="s">
        <v>1127</v>
      </c>
      <c r="D14" s="589" t="s">
        <v>100</v>
      </c>
      <c r="E14" s="589" t="s">
        <v>104</v>
      </c>
      <c r="F14" s="589" t="s">
        <v>111</v>
      </c>
      <c r="G14" s="589" t="s">
        <v>47</v>
      </c>
      <c r="H14" s="589" t="s">
        <v>242</v>
      </c>
      <c r="I14" s="589" t="s">
        <v>1202</v>
      </c>
      <c r="J14" s="589" t="s">
        <v>35</v>
      </c>
      <c r="K14" s="591">
        <v>4503</v>
      </c>
      <c r="L14" s="592">
        <f>IF(J14="TND",1,IF(J14="EUR",Vertical_Cash_flow!$C$16,IF(J14="USD",Vertical_Cash_flow!$F$16,0)))</f>
        <v>1</v>
      </c>
      <c r="M14" s="593">
        <f t="shared" si="0"/>
        <v>4503</v>
      </c>
      <c r="N14" s="589" t="s">
        <v>251</v>
      </c>
      <c r="O14" s="594">
        <v>45322</v>
      </c>
      <c r="P14" s="593">
        <f t="shared" si="1"/>
        <v>-110</v>
      </c>
      <c r="Q14" s="594">
        <v>45432</v>
      </c>
      <c r="R14" s="593">
        <f t="shared" ca="1" si="2"/>
        <v>9</v>
      </c>
      <c r="S14" s="589" t="str">
        <f>VLOOKUP(Q14,Mapping!L:M,2,0)</f>
        <v>W21_2024</v>
      </c>
      <c r="T14" s="589" t="str">
        <f t="shared" ca="1" si="3"/>
        <v>up to 30 days</v>
      </c>
      <c r="W14" s="591"/>
    </row>
    <row r="15" spans="1:23" s="589" customFormat="1" x14ac:dyDescent="0.2">
      <c r="A15" s="589" t="s">
        <v>56</v>
      </c>
      <c r="B15" s="589" t="s">
        <v>1242</v>
      </c>
      <c r="C15" s="590" t="s">
        <v>1361</v>
      </c>
      <c r="D15" s="589" t="s">
        <v>100</v>
      </c>
      <c r="E15" s="589" t="s">
        <v>104</v>
      </c>
      <c r="F15" s="589" t="s">
        <v>111</v>
      </c>
      <c r="G15" s="589" t="s">
        <v>47</v>
      </c>
      <c r="H15" s="589" t="s">
        <v>242</v>
      </c>
      <c r="I15" s="589" t="s">
        <v>1455</v>
      </c>
      <c r="J15" s="589" t="s">
        <v>35</v>
      </c>
      <c r="K15" s="591">
        <v>5000</v>
      </c>
      <c r="L15" s="592">
        <f>IF(J15="TND",1,IF(J15="EUR",Vertical_Cash_flow!$C$16,IF(J15="USD",Vertical_Cash_flow!$F$16,0)))</f>
        <v>1</v>
      </c>
      <c r="M15" s="593">
        <f t="shared" si="0"/>
        <v>5000</v>
      </c>
      <c r="N15" s="589" t="s">
        <v>251</v>
      </c>
      <c r="O15" s="594">
        <v>45342</v>
      </c>
      <c r="P15" s="593">
        <f t="shared" si="1"/>
        <v>-91</v>
      </c>
      <c r="Q15" s="594">
        <v>45433</v>
      </c>
      <c r="R15" s="593">
        <f t="shared" ca="1" si="2"/>
        <v>8</v>
      </c>
      <c r="S15" s="589" t="str">
        <f>VLOOKUP(Q15,Mapping!L:M,2,0)</f>
        <v>W21_2024</v>
      </c>
      <c r="T15" s="589" t="str">
        <f t="shared" ca="1" si="3"/>
        <v>up to 30 days</v>
      </c>
      <c r="W15" s="591"/>
    </row>
    <row r="16" spans="1:23" s="589" customFormat="1" x14ac:dyDescent="0.2">
      <c r="A16" s="589" t="s">
        <v>56</v>
      </c>
      <c r="B16" s="589" t="s">
        <v>809</v>
      </c>
      <c r="C16" s="590" t="s">
        <v>1128</v>
      </c>
      <c r="D16" s="589" t="s">
        <v>100</v>
      </c>
      <c r="E16" s="589" t="s">
        <v>104</v>
      </c>
      <c r="F16" s="589" t="s">
        <v>111</v>
      </c>
      <c r="G16" s="589" t="s">
        <v>47</v>
      </c>
      <c r="H16" s="589" t="s">
        <v>242</v>
      </c>
      <c r="I16" s="589" t="s">
        <v>1204</v>
      </c>
      <c r="J16" s="589" t="s">
        <v>35</v>
      </c>
      <c r="K16" s="591">
        <v>6149.7610000000004</v>
      </c>
      <c r="L16" s="592">
        <f>IF(J16="TND",1,IF(J16="EUR",Vertical_Cash_flow!$C$16,IF(J16="USD",Vertical_Cash_flow!$F$16,0)))</f>
        <v>1</v>
      </c>
      <c r="M16" s="593">
        <f t="shared" si="0"/>
        <v>6149.7610000000004</v>
      </c>
      <c r="N16" s="589" t="s">
        <v>251</v>
      </c>
      <c r="O16" s="594">
        <v>45314</v>
      </c>
      <c r="P16" s="593">
        <f t="shared" si="1"/>
        <v>-121</v>
      </c>
      <c r="Q16" s="594">
        <v>45435</v>
      </c>
      <c r="R16" s="593">
        <f t="shared" ca="1" si="2"/>
        <v>6</v>
      </c>
      <c r="S16" s="589" t="str">
        <f>VLOOKUP(Q16,Mapping!L:M,2,0)</f>
        <v>W21_2024</v>
      </c>
      <c r="T16" s="589" t="str">
        <f t="shared" ca="1" si="3"/>
        <v>up to 30 days</v>
      </c>
      <c r="W16" s="591"/>
    </row>
    <row r="17" spans="1:23" s="589" customFormat="1" x14ac:dyDescent="0.2">
      <c r="A17" s="589" t="s">
        <v>56</v>
      </c>
      <c r="B17" s="589" t="s">
        <v>349</v>
      </c>
      <c r="C17" s="590" t="s">
        <v>954</v>
      </c>
      <c r="D17" s="589" t="s">
        <v>100</v>
      </c>
      <c r="E17" s="589" t="s">
        <v>104</v>
      </c>
      <c r="F17" s="589" t="s">
        <v>111</v>
      </c>
      <c r="G17" s="589" t="s">
        <v>47</v>
      </c>
      <c r="H17" s="589" t="s">
        <v>242</v>
      </c>
      <c r="I17" s="589" t="s">
        <v>961</v>
      </c>
      <c r="J17" s="589" t="s">
        <v>35</v>
      </c>
      <c r="K17" s="591">
        <v>7033.8580000000002</v>
      </c>
      <c r="L17" s="592">
        <f>IF(J17="TND",1,IF(J17="EUR",Vertical_Cash_flow!$C$16,IF(J17="USD",Vertical_Cash_flow!$F$16,0)))</f>
        <v>1</v>
      </c>
      <c r="M17" s="593">
        <f t="shared" si="0"/>
        <v>7033.8580000000002</v>
      </c>
      <c r="N17" s="589" t="s">
        <v>251</v>
      </c>
      <c r="O17" s="594">
        <v>45261</v>
      </c>
      <c r="P17" s="593">
        <f t="shared" si="1"/>
        <v>-171</v>
      </c>
      <c r="Q17" s="594">
        <v>45432</v>
      </c>
      <c r="R17" s="593">
        <f t="shared" ca="1" si="2"/>
        <v>9</v>
      </c>
      <c r="S17" s="589" t="str">
        <f>VLOOKUP(Q17,Mapping!L:M,2,0)</f>
        <v>W21_2024</v>
      </c>
      <c r="T17" s="589" t="str">
        <f t="shared" ca="1" si="3"/>
        <v>up to 30 days</v>
      </c>
      <c r="W17" s="591"/>
    </row>
    <row r="18" spans="1:23" s="589" customFormat="1" x14ac:dyDescent="0.2">
      <c r="A18" s="589" t="s">
        <v>56</v>
      </c>
      <c r="B18" s="589" t="s">
        <v>529</v>
      </c>
      <c r="C18" s="590" t="s">
        <v>2640</v>
      </c>
      <c r="D18" s="589" t="s">
        <v>100</v>
      </c>
      <c r="E18" s="589" t="s">
        <v>104</v>
      </c>
      <c r="F18" s="589" t="s">
        <v>111</v>
      </c>
      <c r="G18" s="589" t="s">
        <v>47</v>
      </c>
      <c r="H18" s="589" t="s">
        <v>242</v>
      </c>
      <c r="I18" s="589" t="s">
        <v>2950</v>
      </c>
      <c r="J18" s="589" t="s">
        <v>35</v>
      </c>
      <c r="K18" s="591">
        <v>7128.0829999999996</v>
      </c>
      <c r="L18" s="592">
        <f>IF(J18="TND",1,IF(J18="EUR",Vertical_Cash_flow!$C$16,IF(J18="USD",Vertical_Cash_flow!$F$16,0)))</f>
        <v>1</v>
      </c>
      <c r="M18" s="593">
        <f t="shared" si="0"/>
        <v>7128.0829999999996</v>
      </c>
      <c r="N18" s="589" t="s">
        <v>251</v>
      </c>
      <c r="O18" s="594">
        <v>45385</v>
      </c>
      <c r="P18" s="593">
        <f t="shared" si="1"/>
        <v>-49</v>
      </c>
      <c r="Q18" s="594">
        <v>45434</v>
      </c>
      <c r="R18" s="593">
        <f t="shared" ca="1" si="2"/>
        <v>7</v>
      </c>
      <c r="S18" s="589" t="str">
        <f>VLOOKUP(Q18,Mapping!L:M,2,0)</f>
        <v>W21_2024</v>
      </c>
      <c r="T18" s="589" t="str">
        <f t="shared" ca="1" si="3"/>
        <v>up to 30 days</v>
      </c>
      <c r="W18" s="591"/>
    </row>
    <row r="19" spans="1:23" s="589" customFormat="1" x14ac:dyDescent="0.2">
      <c r="A19" s="589" t="s">
        <v>56</v>
      </c>
      <c r="B19" s="589" t="s">
        <v>292</v>
      </c>
      <c r="C19" s="590" t="s">
        <v>1910</v>
      </c>
      <c r="D19" s="589" t="s">
        <v>100</v>
      </c>
      <c r="E19" s="589" t="s">
        <v>104</v>
      </c>
      <c r="F19" s="589" t="s">
        <v>111</v>
      </c>
      <c r="G19" s="589" t="s">
        <v>47</v>
      </c>
      <c r="H19" s="589" t="s">
        <v>242</v>
      </c>
      <c r="I19" s="589" t="s">
        <v>2262</v>
      </c>
      <c r="J19" s="589" t="s">
        <v>35</v>
      </c>
      <c r="K19" s="591">
        <v>28860.030999999999</v>
      </c>
      <c r="L19" s="592">
        <f>IF(J19="TND",1,IF(J19="EUR",Vertical_Cash_flow!$C$16,IF(J19="USD",Vertical_Cash_flow!$F$16,0)))</f>
        <v>1</v>
      </c>
      <c r="M19" s="593">
        <f t="shared" si="0"/>
        <v>28860.030999999999</v>
      </c>
      <c r="N19" s="589" t="s">
        <v>251</v>
      </c>
      <c r="O19" s="594">
        <v>45349</v>
      </c>
      <c r="P19" s="593">
        <f t="shared" si="1"/>
        <v>-85</v>
      </c>
      <c r="Q19" s="594">
        <v>45434</v>
      </c>
      <c r="R19" s="593">
        <f t="shared" ca="1" si="2"/>
        <v>7</v>
      </c>
      <c r="S19" s="589" t="str">
        <f>VLOOKUP(Q19,Mapping!L:M,2,0)</f>
        <v>W21_2024</v>
      </c>
      <c r="T19" s="589" t="str">
        <f t="shared" ca="1" si="3"/>
        <v>up to 30 days</v>
      </c>
      <c r="W19" s="591"/>
    </row>
    <row r="20" spans="1:23" s="589" customFormat="1" x14ac:dyDescent="0.2">
      <c r="A20" s="589" t="s">
        <v>56</v>
      </c>
      <c r="B20" s="589" t="s">
        <v>476</v>
      </c>
      <c r="C20" s="590" t="s">
        <v>1918</v>
      </c>
      <c r="D20" s="589" t="s">
        <v>100</v>
      </c>
      <c r="E20" s="589" t="s">
        <v>104</v>
      </c>
      <c r="F20" s="589" t="s">
        <v>112</v>
      </c>
      <c r="G20" s="589" t="s">
        <v>51</v>
      </c>
      <c r="H20" s="589" t="s">
        <v>242</v>
      </c>
      <c r="I20" s="589" t="s">
        <v>2272</v>
      </c>
      <c r="J20" s="589" t="s">
        <v>35</v>
      </c>
      <c r="K20" s="591">
        <v>25515.677</v>
      </c>
      <c r="L20" s="592">
        <f>IF(J20="TND",1,IF(J20="EUR",Vertical_Cash_flow!$C$16,IF(J20="USD",Vertical_Cash_flow!$F$16,0)))</f>
        <v>1</v>
      </c>
      <c r="M20" s="593">
        <f t="shared" si="0"/>
        <v>25515.677</v>
      </c>
      <c r="N20" s="589" t="s">
        <v>251</v>
      </c>
      <c r="O20" s="594">
        <v>45374</v>
      </c>
      <c r="P20" s="593">
        <f t="shared" si="1"/>
        <v>-59</v>
      </c>
      <c r="Q20" s="594">
        <v>45433</v>
      </c>
      <c r="R20" s="593">
        <f t="shared" ca="1" si="2"/>
        <v>8</v>
      </c>
      <c r="S20" s="589" t="str">
        <f>VLOOKUP(Q20,Mapping!L:M,2,0)</f>
        <v>W21_2024</v>
      </c>
      <c r="T20" s="589" t="str">
        <f t="shared" ca="1" si="3"/>
        <v>up to 30 days</v>
      </c>
      <c r="W20" s="591"/>
    </row>
    <row r="21" spans="1:23" s="589" customFormat="1" x14ac:dyDescent="0.2">
      <c r="A21" s="589" t="s">
        <v>56</v>
      </c>
      <c r="B21" s="589" t="s">
        <v>716</v>
      </c>
      <c r="C21" s="590" t="s">
        <v>2669</v>
      </c>
      <c r="D21" s="589" t="s">
        <v>100</v>
      </c>
      <c r="E21" s="589" t="s">
        <v>104</v>
      </c>
      <c r="F21" s="589" t="s">
        <v>112</v>
      </c>
      <c r="G21" s="589" t="s">
        <v>51</v>
      </c>
      <c r="H21" s="589" t="s">
        <v>242</v>
      </c>
      <c r="I21" s="589" t="s">
        <v>2976</v>
      </c>
      <c r="J21" s="589" t="s">
        <v>35</v>
      </c>
      <c r="K21" s="591">
        <v>1000</v>
      </c>
      <c r="L21" s="592">
        <f>IF(J21="TND",1,IF(J21="EUR",Vertical_Cash_flow!$C$16,IF(J21="USD",Vertical_Cash_flow!$F$16,0)))</f>
        <v>1</v>
      </c>
      <c r="M21" s="593">
        <f t="shared" ref="M21:M84" si="4">K21/L21</f>
        <v>1000</v>
      </c>
      <c r="N21" s="589" t="s">
        <v>251</v>
      </c>
      <c r="O21" s="594">
        <v>45397</v>
      </c>
      <c r="P21" s="593">
        <f t="shared" ref="P21:P84" si="5">O21-Q21</f>
        <v>-36</v>
      </c>
      <c r="Q21" s="594">
        <v>45433</v>
      </c>
      <c r="R21" s="593">
        <f t="shared" ref="R21:R84" ca="1" si="6">$W$1-Q21</f>
        <v>8</v>
      </c>
      <c r="S21" s="589" t="str">
        <f>VLOOKUP(Q21,Mapping!L:M,2,0)</f>
        <v>W21_2024</v>
      </c>
      <c r="T21" s="589" t="str">
        <f t="shared" ref="T21:T84" ca="1" si="7">IF(R21="","",IF(R21&lt;0,"Not Due",IF(AND(R21&gt;=0,R21&lt;=30),"up to 30 days",IF(AND(R21&gt;30,R21&lt;=60),"30-60 days",IF(AND(R21&gt;60,R21&lt;=90),"60-90 days",IF(AND(R21&gt;90,R21&lt;=120),"90-120 days",IF(AND(R21&gt;120,R21&lt;=180),"120-180 days",IF(AND(R21&gt;180,R21&lt;=360),"180-360 days",IF(R21&gt;360,"more than 360 days","ok")))))))))</f>
        <v>up to 30 days</v>
      </c>
      <c r="W21" s="591"/>
    </row>
    <row r="22" spans="1:23" s="589" customFormat="1" x14ac:dyDescent="0.2">
      <c r="A22" s="589" t="s">
        <v>56</v>
      </c>
      <c r="B22" s="589" t="s">
        <v>279</v>
      </c>
      <c r="C22" s="590" t="s">
        <v>2668</v>
      </c>
      <c r="D22" s="589" t="s">
        <v>100</v>
      </c>
      <c r="E22" s="589" t="s">
        <v>104</v>
      </c>
      <c r="F22" s="589" t="s">
        <v>112</v>
      </c>
      <c r="G22" s="589" t="s">
        <v>51</v>
      </c>
      <c r="H22" s="589" t="s">
        <v>242</v>
      </c>
      <c r="I22" s="589" t="s">
        <v>928</v>
      </c>
      <c r="J22" s="589" t="s">
        <v>35</v>
      </c>
      <c r="K22" s="591">
        <v>4669.9480000000003</v>
      </c>
      <c r="L22" s="592">
        <f>IF(J22="TND",1,IF(J22="EUR",Vertical_Cash_flow!$C$16,IF(J22="USD",Vertical_Cash_flow!$F$16,0)))</f>
        <v>1</v>
      </c>
      <c r="M22" s="593">
        <f t="shared" si="4"/>
        <v>4669.9480000000003</v>
      </c>
      <c r="N22" s="589" t="s">
        <v>251</v>
      </c>
      <c r="O22" s="594">
        <v>45407</v>
      </c>
      <c r="P22" s="593">
        <f t="shared" si="5"/>
        <v>-26</v>
      </c>
      <c r="Q22" s="594">
        <v>45433</v>
      </c>
      <c r="R22" s="593">
        <f t="shared" ca="1" si="6"/>
        <v>8</v>
      </c>
      <c r="S22" s="589" t="str">
        <f>VLOOKUP(Q22,Mapping!L:M,2,0)</f>
        <v>W21_2024</v>
      </c>
      <c r="T22" s="589" t="str">
        <f t="shared" ca="1" si="7"/>
        <v>up to 30 days</v>
      </c>
      <c r="W22" s="591"/>
    </row>
    <row r="23" spans="1:23" s="589" customFormat="1" x14ac:dyDescent="0.2">
      <c r="A23" s="589" t="s">
        <v>56</v>
      </c>
      <c r="B23" s="589" t="s">
        <v>716</v>
      </c>
      <c r="C23" s="590" t="s">
        <v>2667</v>
      </c>
      <c r="D23" s="589" t="s">
        <v>100</v>
      </c>
      <c r="E23" s="589" t="s">
        <v>104</v>
      </c>
      <c r="F23" s="589" t="s">
        <v>112</v>
      </c>
      <c r="G23" s="589" t="s">
        <v>51</v>
      </c>
      <c r="H23" s="589" t="s">
        <v>242</v>
      </c>
      <c r="I23" s="589" t="s">
        <v>2975</v>
      </c>
      <c r="J23" s="589" t="s">
        <v>35</v>
      </c>
      <c r="K23" s="591">
        <v>250</v>
      </c>
      <c r="L23" s="592">
        <f>IF(J23="TND",1,IF(J23="EUR",Vertical_Cash_flow!$C$16,IF(J23="USD",Vertical_Cash_flow!$F$16,0)))</f>
        <v>1</v>
      </c>
      <c r="M23" s="593">
        <f t="shared" si="4"/>
        <v>250</v>
      </c>
      <c r="N23" s="589" t="s">
        <v>251</v>
      </c>
      <c r="O23" s="594">
        <v>45397</v>
      </c>
      <c r="P23" s="593">
        <f t="shared" si="5"/>
        <v>-36</v>
      </c>
      <c r="Q23" s="594">
        <v>45433</v>
      </c>
      <c r="R23" s="593">
        <f t="shared" ca="1" si="6"/>
        <v>8</v>
      </c>
      <c r="S23" s="589" t="str">
        <f>VLOOKUP(Q23,Mapping!L:M,2,0)</f>
        <v>W21_2024</v>
      </c>
      <c r="T23" s="589" t="str">
        <f t="shared" ca="1" si="7"/>
        <v>up to 30 days</v>
      </c>
      <c r="W23" s="591"/>
    </row>
    <row r="24" spans="1:23" s="589" customFormat="1" x14ac:dyDescent="0.2">
      <c r="A24" s="589" t="s">
        <v>56</v>
      </c>
      <c r="B24" s="589" t="s">
        <v>723</v>
      </c>
      <c r="C24" s="590" t="s">
        <v>2666</v>
      </c>
      <c r="D24" s="589" t="s">
        <v>100</v>
      </c>
      <c r="E24" s="589" t="s">
        <v>104</v>
      </c>
      <c r="F24" s="589" t="s">
        <v>112</v>
      </c>
      <c r="G24" s="589" t="s">
        <v>51</v>
      </c>
      <c r="H24" s="589" t="s">
        <v>242</v>
      </c>
      <c r="I24" s="589" t="s">
        <v>2917</v>
      </c>
      <c r="J24" s="589" t="s">
        <v>35</v>
      </c>
      <c r="K24" s="591">
        <v>922.68200000000002</v>
      </c>
      <c r="L24" s="592">
        <f>IF(J24="TND",1,IF(J24="EUR",Vertical_Cash_flow!$C$16,IF(J24="USD",Vertical_Cash_flow!$F$16,0)))</f>
        <v>1</v>
      </c>
      <c r="M24" s="593">
        <f t="shared" si="4"/>
        <v>922.68200000000002</v>
      </c>
      <c r="N24" s="589" t="s">
        <v>251</v>
      </c>
      <c r="O24" s="594">
        <v>45407</v>
      </c>
      <c r="P24" s="593">
        <f t="shared" si="5"/>
        <v>-26</v>
      </c>
      <c r="Q24" s="594">
        <v>45433</v>
      </c>
      <c r="R24" s="593">
        <f t="shared" ca="1" si="6"/>
        <v>8</v>
      </c>
      <c r="S24" s="589" t="str">
        <f>VLOOKUP(Q24,Mapping!L:M,2,0)</f>
        <v>W21_2024</v>
      </c>
      <c r="T24" s="589" t="str">
        <f t="shared" ca="1" si="7"/>
        <v>up to 30 days</v>
      </c>
      <c r="W24" s="591"/>
    </row>
    <row r="25" spans="1:23" s="589" customFormat="1" x14ac:dyDescent="0.2">
      <c r="A25" s="589" t="s">
        <v>56</v>
      </c>
      <c r="B25" s="589" t="s">
        <v>717</v>
      </c>
      <c r="C25" s="590" t="s">
        <v>2665</v>
      </c>
      <c r="D25" s="589" t="s">
        <v>100</v>
      </c>
      <c r="E25" s="589" t="s">
        <v>104</v>
      </c>
      <c r="F25" s="589" t="s">
        <v>112</v>
      </c>
      <c r="G25" s="589" t="s">
        <v>51</v>
      </c>
      <c r="H25" s="589" t="s">
        <v>242</v>
      </c>
      <c r="I25" s="589" t="s">
        <v>2974</v>
      </c>
      <c r="J25" s="589" t="s">
        <v>35</v>
      </c>
      <c r="K25" s="591">
        <v>679.3</v>
      </c>
      <c r="L25" s="592">
        <f>IF(J25="TND",1,IF(J25="EUR",Vertical_Cash_flow!$C$16,IF(J25="USD",Vertical_Cash_flow!$F$16,0)))</f>
        <v>1</v>
      </c>
      <c r="M25" s="593">
        <f t="shared" si="4"/>
        <v>679.3</v>
      </c>
      <c r="N25" s="589" t="s">
        <v>251</v>
      </c>
      <c r="O25" s="594">
        <v>45404</v>
      </c>
      <c r="P25" s="593">
        <f t="shared" si="5"/>
        <v>-29</v>
      </c>
      <c r="Q25" s="594">
        <v>45433</v>
      </c>
      <c r="R25" s="593">
        <f t="shared" ca="1" si="6"/>
        <v>8</v>
      </c>
      <c r="S25" s="589" t="str">
        <f>VLOOKUP(Q25,Mapping!L:M,2,0)</f>
        <v>W21_2024</v>
      </c>
      <c r="T25" s="589" t="str">
        <f t="shared" ca="1" si="7"/>
        <v>up to 30 days</v>
      </c>
      <c r="W25" s="591"/>
    </row>
    <row r="26" spans="1:23" s="589" customFormat="1" x14ac:dyDescent="0.2">
      <c r="A26" s="589" t="s">
        <v>56</v>
      </c>
      <c r="B26" s="589" t="s">
        <v>1477</v>
      </c>
      <c r="C26" s="590" t="s">
        <v>2662</v>
      </c>
      <c r="D26" s="589" t="s">
        <v>100</v>
      </c>
      <c r="E26" s="589" t="s">
        <v>104</v>
      </c>
      <c r="F26" s="589" t="s">
        <v>112</v>
      </c>
      <c r="G26" s="589" t="s">
        <v>51</v>
      </c>
      <c r="H26" s="589" t="s">
        <v>242</v>
      </c>
      <c r="I26" s="589" t="s">
        <v>812</v>
      </c>
      <c r="J26" s="589" t="s">
        <v>35</v>
      </c>
      <c r="K26" s="591">
        <v>6617.2</v>
      </c>
      <c r="L26" s="592">
        <f>IF(J26="TND",1,IF(J26="EUR",Vertical_Cash_flow!$C$16,IF(J26="USD",Vertical_Cash_flow!$F$16,0)))</f>
        <v>1</v>
      </c>
      <c r="M26" s="593">
        <f t="shared" si="4"/>
        <v>6617.2</v>
      </c>
      <c r="N26" s="589" t="s">
        <v>251</v>
      </c>
      <c r="O26" s="594">
        <v>45401</v>
      </c>
      <c r="P26" s="593">
        <f t="shared" si="5"/>
        <v>-32</v>
      </c>
      <c r="Q26" s="594">
        <v>45433</v>
      </c>
      <c r="R26" s="593">
        <f t="shared" ca="1" si="6"/>
        <v>8</v>
      </c>
      <c r="S26" s="589" t="str">
        <f>VLOOKUP(Q26,Mapping!L:M,2,0)</f>
        <v>W21_2024</v>
      </c>
      <c r="T26" s="589" t="str">
        <f t="shared" ca="1" si="7"/>
        <v>up to 30 days</v>
      </c>
      <c r="W26" s="591"/>
    </row>
    <row r="27" spans="1:23" s="589" customFormat="1" x14ac:dyDescent="0.2">
      <c r="A27" s="589" t="s">
        <v>56</v>
      </c>
      <c r="B27" s="589" t="s">
        <v>716</v>
      </c>
      <c r="C27" s="590" t="s">
        <v>2664</v>
      </c>
      <c r="D27" s="589" t="s">
        <v>100</v>
      </c>
      <c r="E27" s="589" t="s">
        <v>104</v>
      </c>
      <c r="F27" s="589" t="s">
        <v>112</v>
      </c>
      <c r="G27" s="589" t="s">
        <v>51</v>
      </c>
      <c r="H27" s="589" t="s">
        <v>242</v>
      </c>
      <c r="I27" s="589" t="s">
        <v>2973</v>
      </c>
      <c r="J27" s="589" t="s">
        <v>35</v>
      </c>
      <c r="K27" s="591">
        <v>990</v>
      </c>
      <c r="L27" s="592">
        <f>IF(J27="TND",1,IF(J27="EUR",Vertical_Cash_flow!$C$16,IF(J27="USD",Vertical_Cash_flow!$F$16,0)))</f>
        <v>1</v>
      </c>
      <c r="M27" s="593">
        <f t="shared" si="4"/>
        <v>990</v>
      </c>
      <c r="N27" s="589" t="s">
        <v>251</v>
      </c>
      <c r="O27" s="594">
        <v>45397</v>
      </c>
      <c r="P27" s="593">
        <f t="shared" si="5"/>
        <v>-36</v>
      </c>
      <c r="Q27" s="594">
        <v>45433</v>
      </c>
      <c r="R27" s="593">
        <f t="shared" ca="1" si="6"/>
        <v>8</v>
      </c>
      <c r="S27" s="589" t="str">
        <f>VLOOKUP(Q27,Mapping!L:M,2,0)</f>
        <v>W21_2024</v>
      </c>
      <c r="T27" s="589" t="str">
        <f t="shared" ca="1" si="7"/>
        <v>up to 30 days</v>
      </c>
      <c r="W27" s="591"/>
    </row>
    <row r="28" spans="1:23" s="589" customFormat="1" x14ac:dyDescent="0.2">
      <c r="A28" s="589" t="s">
        <v>56</v>
      </c>
      <c r="B28" s="589" t="s">
        <v>716</v>
      </c>
      <c r="C28" s="590" t="s">
        <v>2661</v>
      </c>
      <c r="D28" s="589" t="s">
        <v>100</v>
      </c>
      <c r="E28" s="589" t="s">
        <v>104</v>
      </c>
      <c r="F28" s="589" t="s">
        <v>112</v>
      </c>
      <c r="G28" s="589" t="s">
        <v>51</v>
      </c>
      <c r="H28" s="589" t="s">
        <v>242</v>
      </c>
      <c r="I28" s="589" t="s">
        <v>2971</v>
      </c>
      <c r="J28" s="589" t="s">
        <v>35</v>
      </c>
      <c r="K28" s="591">
        <v>500</v>
      </c>
      <c r="L28" s="592">
        <f>IF(J28="TND",1,IF(J28="EUR",Vertical_Cash_flow!$C$16,IF(J28="USD",Vertical_Cash_flow!$F$16,0)))</f>
        <v>1</v>
      </c>
      <c r="M28" s="593">
        <f t="shared" si="4"/>
        <v>500</v>
      </c>
      <c r="N28" s="589" t="s">
        <v>251</v>
      </c>
      <c r="O28" s="594">
        <v>45405</v>
      </c>
      <c r="P28" s="593">
        <f t="shared" si="5"/>
        <v>-28</v>
      </c>
      <c r="Q28" s="594">
        <v>45433</v>
      </c>
      <c r="R28" s="593">
        <f t="shared" ca="1" si="6"/>
        <v>8</v>
      </c>
      <c r="S28" s="589" t="str">
        <f>VLOOKUP(Q28,Mapping!L:M,2,0)</f>
        <v>W21_2024</v>
      </c>
      <c r="T28" s="589" t="str">
        <f t="shared" ca="1" si="7"/>
        <v>up to 30 days</v>
      </c>
      <c r="W28" s="591"/>
    </row>
    <row r="29" spans="1:23" s="589" customFormat="1" x14ac:dyDescent="0.2">
      <c r="A29" s="589" t="s">
        <v>56</v>
      </c>
      <c r="B29" s="589" t="s">
        <v>2320</v>
      </c>
      <c r="C29" s="590" t="s">
        <v>2660</v>
      </c>
      <c r="D29" s="589" t="s">
        <v>100</v>
      </c>
      <c r="E29" s="589" t="s">
        <v>104</v>
      </c>
      <c r="F29" s="589" t="s">
        <v>112</v>
      </c>
      <c r="G29" s="589" t="s">
        <v>51</v>
      </c>
      <c r="H29" s="589" t="s">
        <v>242</v>
      </c>
      <c r="I29" s="589" t="s">
        <v>2970</v>
      </c>
      <c r="J29" s="589" t="s">
        <v>35</v>
      </c>
      <c r="K29" s="591">
        <v>2667.2660000000001</v>
      </c>
      <c r="L29" s="592">
        <f>IF(J29="TND",1,IF(J29="EUR",Vertical_Cash_flow!$C$16,IF(J29="USD",Vertical_Cash_flow!$F$16,0)))</f>
        <v>1</v>
      </c>
      <c r="M29" s="593">
        <f t="shared" si="4"/>
        <v>2667.2660000000001</v>
      </c>
      <c r="N29" s="589" t="s">
        <v>251</v>
      </c>
      <c r="O29" s="594">
        <v>45406</v>
      </c>
      <c r="P29" s="593">
        <f t="shared" si="5"/>
        <v>-27</v>
      </c>
      <c r="Q29" s="594">
        <v>45433</v>
      </c>
      <c r="R29" s="593">
        <f t="shared" ca="1" si="6"/>
        <v>8</v>
      </c>
      <c r="S29" s="589" t="str">
        <f>VLOOKUP(Q29,Mapping!L:M,2,0)</f>
        <v>W21_2024</v>
      </c>
      <c r="T29" s="589" t="str">
        <f t="shared" ca="1" si="7"/>
        <v>up to 30 days</v>
      </c>
      <c r="W29" s="591"/>
    </row>
    <row r="30" spans="1:23" s="589" customFormat="1" x14ac:dyDescent="0.2">
      <c r="A30" s="589" t="s">
        <v>56</v>
      </c>
      <c r="B30" s="589" t="s">
        <v>716</v>
      </c>
      <c r="C30" s="590" t="s">
        <v>2663</v>
      </c>
      <c r="D30" s="589" t="s">
        <v>100</v>
      </c>
      <c r="E30" s="589" t="s">
        <v>104</v>
      </c>
      <c r="F30" s="589" t="s">
        <v>112</v>
      </c>
      <c r="G30" s="589" t="s">
        <v>51</v>
      </c>
      <c r="H30" s="589" t="s">
        <v>242</v>
      </c>
      <c r="I30" s="589" t="s">
        <v>2972</v>
      </c>
      <c r="J30" s="589" t="s">
        <v>35</v>
      </c>
      <c r="K30" s="591">
        <v>3300</v>
      </c>
      <c r="L30" s="592">
        <f>IF(J30="TND",1,IF(J30="EUR",Vertical_Cash_flow!$C$16,IF(J30="USD",Vertical_Cash_flow!$F$16,0)))</f>
        <v>1</v>
      </c>
      <c r="M30" s="593">
        <f t="shared" si="4"/>
        <v>3300</v>
      </c>
      <c r="N30" s="589" t="s">
        <v>251</v>
      </c>
      <c r="O30" s="594">
        <v>45399</v>
      </c>
      <c r="P30" s="593">
        <f t="shared" si="5"/>
        <v>-34</v>
      </c>
      <c r="Q30" s="594">
        <v>45433</v>
      </c>
      <c r="R30" s="593">
        <f t="shared" ca="1" si="6"/>
        <v>8</v>
      </c>
      <c r="S30" s="589" t="str">
        <f>VLOOKUP(Q30,Mapping!L:M,2,0)</f>
        <v>W21_2024</v>
      </c>
      <c r="T30" s="589" t="str">
        <f t="shared" ca="1" si="7"/>
        <v>up to 30 days</v>
      </c>
      <c r="W30" s="591"/>
    </row>
    <row r="31" spans="1:23" s="589" customFormat="1" x14ac:dyDescent="0.2">
      <c r="A31" s="589" t="s">
        <v>56</v>
      </c>
      <c r="B31" s="589" t="s">
        <v>2321</v>
      </c>
      <c r="C31" s="590" t="s">
        <v>2659</v>
      </c>
      <c r="D31" s="589" t="s">
        <v>100</v>
      </c>
      <c r="E31" s="589" t="s">
        <v>104</v>
      </c>
      <c r="F31" s="589" t="s">
        <v>112</v>
      </c>
      <c r="G31" s="589" t="s">
        <v>51</v>
      </c>
      <c r="H31" s="589" t="s">
        <v>242</v>
      </c>
      <c r="I31" s="589" t="s">
        <v>2969</v>
      </c>
      <c r="J31" s="589" t="s">
        <v>35</v>
      </c>
      <c r="K31" s="591">
        <v>4000</v>
      </c>
      <c r="L31" s="592">
        <f>IF(J31="TND",1,IF(J31="EUR",Vertical_Cash_flow!$C$16,IF(J31="USD",Vertical_Cash_flow!$F$16,0)))</f>
        <v>1</v>
      </c>
      <c r="M31" s="593">
        <f t="shared" si="4"/>
        <v>4000</v>
      </c>
      <c r="N31" s="589" t="s">
        <v>251</v>
      </c>
      <c r="O31" s="594">
        <v>45398</v>
      </c>
      <c r="P31" s="593">
        <f t="shared" si="5"/>
        <v>-35</v>
      </c>
      <c r="Q31" s="594">
        <v>45433</v>
      </c>
      <c r="R31" s="593">
        <f t="shared" ca="1" si="6"/>
        <v>8</v>
      </c>
      <c r="S31" s="589" t="str">
        <f>VLOOKUP(Q31,Mapping!L:M,2,0)</f>
        <v>W21_2024</v>
      </c>
      <c r="T31" s="589" t="str">
        <f t="shared" ca="1" si="7"/>
        <v>up to 30 days</v>
      </c>
      <c r="W31" s="591"/>
    </row>
    <row r="32" spans="1:23" s="589" customFormat="1" x14ac:dyDescent="0.2">
      <c r="A32" s="589" t="s">
        <v>56</v>
      </c>
      <c r="B32" s="589" t="s">
        <v>376</v>
      </c>
      <c r="C32" s="590" t="s">
        <v>1916</v>
      </c>
      <c r="D32" s="589" t="s">
        <v>100</v>
      </c>
      <c r="E32" s="589" t="s">
        <v>104</v>
      </c>
      <c r="F32" s="589" t="s">
        <v>112</v>
      </c>
      <c r="G32" s="589" t="s">
        <v>51</v>
      </c>
      <c r="H32" s="589" t="s">
        <v>242</v>
      </c>
      <c r="I32" s="589" t="s">
        <v>2268</v>
      </c>
      <c r="J32" s="589" t="s">
        <v>35</v>
      </c>
      <c r="K32" s="591">
        <v>3777</v>
      </c>
      <c r="L32" s="592">
        <f>IF(J32="TND",1,IF(J32="EUR",Vertical_Cash_flow!$C$16,IF(J32="USD",Vertical_Cash_flow!$F$16,0)))</f>
        <v>1</v>
      </c>
      <c r="M32" s="593">
        <f t="shared" si="4"/>
        <v>3777</v>
      </c>
      <c r="N32" s="589" t="s">
        <v>251</v>
      </c>
      <c r="O32" s="594">
        <v>45378</v>
      </c>
      <c r="P32" s="593">
        <f t="shared" si="5"/>
        <v>-55</v>
      </c>
      <c r="Q32" s="594">
        <v>45433</v>
      </c>
      <c r="R32" s="593">
        <f t="shared" ca="1" si="6"/>
        <v>8</v>
      </c>
      <c r="S32" s="589" t="str">
        <f>VLOOKUP(Q32,Mapping!L:M,2,0)</f>
        <v>W21_2024</v>
      </c>
      <c r="T32" s="589" t="str">
        <f t="shared" ca="1" si="7"/>
        <v>up to 30 days</v>
      </c>
      <c r="W32" s="591"/>
    </row>
    <row r="33" spans="1:23" s="589" customFormat="1" x14ac:dyDescent="0.2">
      <c r="A33" s="589" t="s">
        <v>56</v>
      </c>
      <c r="B33" s="589" t="s">
        <v>982</v>
      </c>
      <c r="C33" s="590" t="s">
        <v>1917</v>
      </c>
      <c r="D33" s="589" t="s">
        <v>100</v>
      </c>
      <c r="E33" s="589" t="s">
        <v>104</v>
      </c>
      <c r="F33" s="589" t="s">
        <v>112</v>
      </c>
      <c r="G33" s="589" t="s">
        <v>51</v>
      </c>
      <c r="H33" s="589" t="s">
        <v>242</v>
      </c>
      <c r="I33" s="589" t="s">
        <v>2269</v>
      </c>
      <c r="J33" s="589" t="s">
        <v>35</v>
      </c>
      <c r="K33" s="591">
        <v>4823.0420000000004</v>
      </c>
      <c r="L33" s="592">
        <f>IF(J33="TND",1,IF(J33="EUR",Vertical_Cash_flow!$C$16,IF(J33="USD",Vertical_Cash_flow!$F$16,0)))</f>
        <v>1</v>
      </c>
      <c r="M33" s="593">
        <f t="shared" si="4"/>
        <v>4823.0420000000004</v>
      </c>
      <c r="N33" s="589" t="s">
        <v>251</v>
      </c>
      <c r="O33" s="594">
        <v>45377</v>
      </c>
      <c r="P33" s="593">
        <f t="shared" si="5"/>
        <v>-56</v>
      </c>
      <c r="Q33" s="594">
        <v>45433</v>
      </c>
      <c r="R33" s="593">
        <f t="shared" ca="1" si="6"/>
        <v>8</v>
      </c>
      <c r="S33" s="589" t="str">
        <f>VLOOKUP(Q33,Mapping!L:M,2,0)</f>
        <v>W21_2024</v>
      </c>
      <c r="T33" s="589" t="str">
        <f t="shared" ca="1" si="7"/>
        <v>up to 30 days</v>
      </c>
      <c r="W33" s="591"/>
    </row>
    <row r="34" spans="1:23" s="589" customFormat="1" x14ac:dyDescent="0.2">
      <c r="A34" s="589" t="s">
        <v>56</v>
      </c>
      <c r="B34" s="589" t="s">
        <v>2322</v>
      </c>
      <c r="C34" s="590" t="s">
        <v>2658</v>
      </c>
      <c r="D34" s="589" t="s">
        <v>100</v>
      </c>
      <c r="E34" s="589" t="s">
        <v>104</v>
      </c>
      <c r="F34" s="589" t="s">
        <v>112</v>
      </c>
      <c r="G34" s="589" t="s">
        <v>51</v>
      </c>
      <c r="H34" s="589" t="s">
        <v>242</v>
      </c>
      <c r="I34" s="589" t="s">
        <v>2968</v>
      </c>
      <c r="J34" s="589" t="s">
        <v>35</v>
      </c>
      <c r="K34" s="591">
        <v>7369.21</v>
      </c>
      <c r="L34" s="592">
        <f>IF(J34="TND",1,IF(J34="EUR",Vertical_Cash_flow!$C$16,IF(J34="USD",Vertical_Cash_flow!$F$16,0)))</f>
        <v>1</v>
      </c>
      <c r="M34" s="593">
        <f t="shared" si="4"/>
        <v>7369.21</v>
      </c>
      <c r="N34" s="589" t="s">
        <v>251</v>
      </c>
      <c r="O34" s="594">
        <v>45405</v>
      </c>
      <c r="P34" s="593">
        <f t="shared" si="5"/>
        <v>-28</v>
      </c>
      <c r="Q34" s="594">
        <v>45433</v>
      </c>
      <c r="R34" s="593">
        <f t="shared" ca="1" si="6"/>
        <v>8</v>
      </c>
      <c r="S34" s="589" t="str">
        <f>VLOOKUP(Q34,Mapping!L:M,2,0)</f>
        <v>W21_2024</v>
      </c>
      <c r="T34" s="589" t="str">
        <f t="shared" ca="1" si="7"/>
        <v>up to 30 days</v>
      </c>
      <c r="W34" s="591"/>
    </row>
    <row r="35" spans="1:23" s="589" customFormat="1" x14ac:dyDescent="0.2">
      <c r="A35" s="589" t="s">
        <v>56</v>
      </c>
      <c r="B35" s="589" t="s">
        <v>1052</v>
      </c>
      <c r="C35" s="590" t="s">
        <v>2657</v>
      </c>
      <c r="D35" s="589" t="s">
        <v>100</v>
      </c>
      <c r="E35" s="589" t="s">
        <v>104</v>
      </c>
      <c r="F35" s="589" t="s">
        <v>112</v>
      </c>
      <c r="G35" s="589" t="s">
        <v>51</v>
      </c>
      <c r="H35" s="589" t="s">
        <v>242</v>
      </c>
      <c r="I35" s="589" t="s">
        <v>2967</v>
      </c>
      <c r="J35" s="589" t="s">
        <v>35</v>
      </c>
      <c r="K35" s="591">
        <v>6567.3680000000004</v>
      </c>
      <c r="L35" s="592">
        <f>IF(J35="TND",1,IF(J35="EUR",Vertical_Cash_flow!$C$16,IF(J35="USD",Vertical_Cash_flow!$F$16,0)))</f>
        <v>1</v>
      </c>
      <c r="M35" s="593">
        <f t="shared" si="4"/>
        <v>6567.3680000000004</v>
      </c>
      <c r="N35" s="589" t="s">
        <v>251</v>
      </c>
      <c r="O35" s="594">
        <v>45402</v>
      </c>
      <c r="P35" s="593">
        <f t="shared" si="5"/>
        <v>-31</v>
      </c>
      <c r="Q35" s="594">
        <v>45433</v>
      </c>
      <c r="R35" s="593">
        <f t="shared" ca="1" si="6"/>
        <v>8</v>
      </c>
      <c r="S35" s="589" t="str">
        <f>VLOOKUP(Q35,Mapping!L:M,2,0)</f>
        <v>W21_2024</v>
      </c>
      <c r="T35" s="589" t="str">
        <f t="shared" ca="1" si="7"/>
        <v>up to 30 days</v>
      </c>
      <c r="W35" s="591"/>
    </row>
    <row r="36" spans="1:23" s="589" customFormat="1" x14ac:dyDescent="0.2">
      <c r="A36" s="589" t="s">
        <v>56</v>
      </c>
      <c r="B36" s="589" t="s">
        <v>946</v>
      </c>
      <c r="C36" s="590" t="s">
        <v>2656</v>
      </c>
      <c r="D36" s="589" t="s">
        <v>100</v>
      </c>
      <c r="E36" s="589" t="s">
        <v>104</v>
      </c>
      <c r="F36" s="589" t="s">
        <v>112</v>
      </c>
      <c r="G36" s="589" t="s">
        <v>51</v>
      </c>
      <c r="H36" s="589" t="s">
        <v>242</v>
      </c>
      <c r="I36" s="589" t="s">
        <v>2966</v>
      </c>
      <c r="J36" s="589" t="s">
        <v>35</v>
      </c>
      <c r="K36" s="591">
        <v>887.78800000000001</v>
      </c>
      <c r="L36" s="592">
        <f>IF(J36="TND",1,IF(J36="EUR",Vertical_Cash_flow!$C$16,IF(J36="USD",Vertical_Cash_flow!$F$16,0)))</f>
        <v>1</v>
      </c>
      <c r="M36" s="593">
        <f t="shared" si="4"/>
        <v>887.78800000000001</v>
      </c>
      <c r="N36" s="589" t="s">
        <v>251</v>
      </c>
      <c r="O36" s="594">
        <v>45402</v>
      </c>
      <c r="P36" s="593">
        <f t="shared" si="5"/>
        <v>-31</v>
      </c>
      <c r="Q36" s="594">
        <v>45433</v>
      </c>
      <c r="R36" s="593">
        <f t="shared" ca="1" si="6"/>
        <v>8</v>
      </c>
      <c r="S36" s="589" t="str">
        <f>VLOOKUP(Q36,Mapping!L:M,2,0)</f>
        <v>W21_2024</v>
      </c>
      <c r="T36" s="589" t="str">
        <f t="shared" ca="1" si="7"/>
        <v>up to 30 days</v>
      </c>
      <c r="W36" s="591"/>
    </row>
    <row r="37" spans="1:23" s="589" customFormat="1" x14ac:dyDescent="0.2">
      <c r="A37" s="589" t="s">
        <v>56</v>
      </c>
      <c r="B37" s="589" t="s">
        <v>716</v>
      </c>
      <c r="C37" s="590" t="s">
        <v>2655</v>
      </c>
      <c r="D37" s="589" t="s">
        <v>100</v>
      </c>
      <c r="E37" s="589" t="s">
        <v>104</v>
      </c>
      <c r="F37" s="589" t="s">
        <v>112</v>
      </c>
      <c r="G37" s="589" t="s">
        <v>51</v>
      </c>
      <c r="H37" s="589" t="s">
        <v>242</v>
      </c>
      <c r="I37" s="589" t="s">
        <v>2965</v>
      </c>
      <c r="J37" s="589" t="s">
        <v>35</v>
      </c>
      <c r="K37" s="591">
        <v>1046.5</v>
      </c>
      <c r="L37" s="592">
        <f>IF(J37="TND",1,IF(J37="EUR",Vertical_Cash_flow!$C$16,IF(J37="USD",Vertical_Cash_flow!$F$16,0)))</f>
        <v>1</v>
      </c>
      <c r="M37" s="593">
        <f t="shared" si="4"/>
        <v>1046.5</v>
      </c>
      <c r="N37" s="589" t="s">
        <v>251</v>
      </c>
      <c r="O37" s="594">
        <v>45397</v>
      </c>
      <c r="P37" s="593">
        <f t="shared" si="5"/>
        <v>-36</v>
      </c>
      <c r="Q37" s="594">
        <v>45433</v>
      </c>
      <c r="R37" s="593">
        <f t="shared" ca="1" si="6"/>
        <v>8</v>
      </c>
      <c r="S37" s="589" t="str">
        <f>VLOOKUP(Q37,Mapping!L:M,2,0)</f>
        <v>W21_2024</v>
      </c>
      <c r="T37" s="589" t="str">
        <f t="shared" ca="1" si="7"/>
        <v>up to 30 days</v>
      </c>
      <c r="W37" s="591"/>
    </row>
    <row r="38" spans="1:23" s="589" customFormat="1" x14ac:dyDescent="0.2">
      <c r="A38" s="589" t="s">
        <v>56</v>
      </c>
      <c r="B38" s="589" t="s">
        <v>716</v>
      </c>
      <c r="C38" s="590" t="s">
        <v>2653</v>
      </c>
      <c r="D38" s="589" t="s">
        <v>100</v>
      </c>
      <c r="E38" s="589" t="s">
        <v>104</v>
      </c>
      <c r="F38" s="589" t="s">
        <v>112</v>
      </c>
      <c r="G38" s="589" t="s">
        <v>51</v>
      </c>
      <c r="H38" s="589" t="s">
        <v>242</v>
      </c>
      <c r="I38" s="589" t="s">
        <v>2963</v>
      </c>
      <c r="J38" s="589" t="s">
        <v>35</v>
      </c>
      <c r="K38" s="591">
        <v>700</v>
      </c>
      <c r="L38" s="592">
        <f>IF(J38="TND",1,IF(J38="EUR",Vertical_Cash_flow!$C$16,IF(J38="USD",Vertical_Cash_flow!$F$16,0)))</f>
        <v>1</v>
      </c>
      <c r="M38" s="593">
        <f t="shared" si="4"/>
        <v>700</v>
      </c>
      <c r="N38" s="589" t="s">
        <v>251</v>
      </c>
      <c r="O38" s="594">
        <v>45397</v>
      </c>
      <c r="P38" s="593">
        <f t="shared" si="5"/>
        <v>-36</v>
      </c>
      <c r="Q38" s="594">
        <v>45433</v>
      </c>
      <c r="R38" s="593">
        <f t="shared" ca="1" si="6"/>
        <v>8</v>
      </c>
      <c r="S38" s="589" t="str">
        <f>VLOOKUP(Q38,Mapping!L:M,2,0)</f>
        <v>W21_2024</v>
      </c>
      <c r="T38" s="589" t="str">
        <f t="shared" ca="1" si="7"/>
        <v>up to 30 days</v>
      </c>
      <c r="W38" s="591"/>
    </row>
    <row r="39" spans="1:23" s="589" customFormat="1" x14ac:dyDescent="0.2">
      <c r="A39" s="589" t="s">
        <v>56</v>
      </c>
      <c r="B39" s="589" t="s">
        <v>716</v>
      </c>
      <c r="C39" s="590" t="s">
        <v>2652</v>
      </c>
      <c r="D39" s="589" t="s">
        <v>100</v>
      </c>
      <c r="E39" s="589" t="s">
        <v>104</v>
      </c>
      <c r="F39" s="589" t="s">
        <v>112</v>
      </c>
      <c r="G39" s="589" t="s">
        <v>51</v>
      </c>
      <c r="H39" s="589" t="s">
        <v>242</v>
      </c>
      <c r="I39" s="589" t="s">
        <v>2962</v>
      </c>
      <c r="J39" s="589" t="s">
        <v>35</v>
      </c>
      <c r="K39" s="591">
        <v>450</v>
      </c>
      <c r="L39" s="592">
        <f>IF(J39="TND",1,IF(J39="EUR",Vertical_Cash_flow!$C$16,IF(J39="USD",Vertical_Cash_flow!$F$16,0)))</f>
        <v>1</v>
      </c>
      <c r="M39" s="593">
        <f t="shared" si="4"/>
        <v>450</v>
      </c>
      <c r="N39" s="589" t="s">
        <v>251</v>
      </c>
      <c r="O39" s="594">
        <v>45397</v>
      </c>
      <c r="P39" s="593">
        <f t="shared" si="5"/>
        <v>-36</v>
      </c>
      <c r="Q39" s="594">
        <v>45433</v>
      </c>
      <c r="R39" s="593">
        <f t="shared" ca="1" si="6"/>
        <v>8</v>
      </c>
      <c r="S39" s="589" t="str">
        <f>VLOOKUP(Q39,Mapping!L:M,2,0)</f>
        <v>W21_2024</v>
      </c>
      <c r="T39" s="589" t="str">
        <f t="shared" ca="1" si="7"/>
        <v>up to 30 days</v>
      </c>
      <c r="W39" s="591"/>
    </row>
    <row r="40" spans="1:23" s="589" customFormat="1" x14ac:dyDescent="0.2">
      <c r="A40" s="589" t="s">
        <v>56</v>
      </c>
      <c r="B40" s="589" t="s">
        <v>840</v>
      </c>
      <c r="C40" s="590" t="s">
        <v>2651</v>
      </c>
      <c r="D40" s="589" t="s">
        <v>100</v>
      </c>
      <c r="E40" s="589" t="s">
        <v>104</v>
      </c>
      <c r="F40" s="589" t="s">
        <v>112</v>
      </c>
      <c r="G40" s="589" t="s">
        <v>51</v>
      </c>
      <c r="H40" s="589" t="s">
        <v>242</v>
      </c>
      <c r="I40" s="589" t="s">
        <v>2961</v>
      </c>
      <c r="J40" s="589" t="s">
        <v>35</v>
      </c>
      <c r="K40" s="591">
        <v>3000</v>
      </c>
      <c r="L40" s="592">
        <f>IF(J40="TND",1,IF(J40="EUR",Vertical_Cash_flow!$C$16,IF(J40="USD",Vertical_Cash_flow!$F$16,0)))</f>
        <v>1</v>
      </c>
      <c r="M40" s="593">
        <f t="shared" si="4"/>
        <v>3000</v>
      </c>
      <c r="N40" s="589" t="s">
        <v>251</v>
      </c>
      <c r="O40" s="594">
        <v>45406</v>
      </c>
      <c r="P40" s="593">
        <f t="shared" si="5"/>
        <v>-27</v>
      </c>
      <c r="Q40" s="594">
        <v>45433</v>
      </c>
      <c r="R40" s="593">
        <f t="shared" ca="1" si="6"/>
        <v>8</v>
      </c>
      <c r="S40" s="589" t="str">
        <f>VLOOKUP(Q40,Mapping!L:M,2,0)</f>
        <v>W21_2024</v>
      </c>
      <c r="T40" s="589" t="str">
        <f t="shared" ca="1" si="7"/>
        <v>up to 30 days</v>
      </c>
      <c r="W40" s="591"/>
    </row>
    <row r="41" spans="1:23" s="589" customFormat="1" x14ac:dyDescent="0.2">
      <c r="A41" s="589" t="s">
        <v>56</v>
      </c>
      <c r="B41" s="589" t="s">
        <v>3015</v>
      </c>
      <c r="C41" s="590" t="s">
        <v>3214</v>
      </c>
      <c r="D41" s="589" t="s">
        <v>100</v>
      </c>
      <c r="E41" s="589" t="s">
        <v>104</v>
      </c>
      <c r="F41" s="589" t="s">
        <v>112</v>
      </c>
      <c r="G41" s="589" t="s">
        <v>51</v>
      </c>
      <c r="H41" s="589" t="s">
        <v>242</v>
      </c>
      <c r="I41" s="589" t="s">
        <v>3386</v>
      </c>
      <c r="J41" s="589" t="s">
        <v>35</v>
      </c>
      <c r="K41" s="591">
        <v>200</v>
      </c>
      <c r="L41" s="592">
        <f>IF(J41="TND",1,IF(J41="EUR",Vertical_Cash_flow!$C$16,IF(J41="USD",Vertical_Cash_flow!$F$16,0)))</f>
        <v>1</v>
      </c>
      <c r="M41" s="593">
        <f t="shared" si="4"/>
        <v>200</v>
      </c>
      <c r="N41" s="589" t="s">
        <v>251</v>
      </c>
      <c r="O41" s="594">
        <v>45419</v>
      </c>
      <c r="P41" s="593">
        <f t="shared" si="5"/>
        <v>-14</v>
      </c>
      <c r="Q41" s="594">
        <v>45433</v>
      </c>
      <c r="R41" s="593">
        <f t="shared" ca="1" si="6"/>
        <v>8</v>
      </c>
      <c r="S41" s="589" t="str">
        <f>VLOOKUP(Q41,Mapping!L:M,2,0)</f>
        <v>W21_2024</v>
      </c>
      <c r="T41" s="589" t="str">
        <f t="shared" ca="1" si="7"/>
        <v>up to 30 days</v>
      </c>
      <c r="W41" s="591"/>
    </row>
    <row r="42" spans="1:23" s="589" customFormat="1" x14ac:dyDescent="0.2">
      <c r="A42" s="589" t="s">
        <v>56</v>
      </c>
      <c r="B42" s="589" t="s">
        <v>295</v>
      </c>
      <c r="C42" s="590" t="s">
        <v>3213</v>
      </c>
      <c r="D42" s="589" t="s">
        <v>100</v>
      </c>
      <c r="E42" s="589" t="s">
        <v>104</v>
      </c>
      <c r="F42" s="589" t="s">
        <v>112</v>
      </c>
      <c r="G42" s="589" t="s">
        <v>51</v>
      </c>
      <c r="H42" s="589" t="s">
        <v>242</v>
      </c>
      <c r="I42" s="589" t="s">
        <v>3385</v>
      </c>
      <c r="J42" s="589" t="s">
        <v>35</v>
      </c>
      <c r="K42" s="591">
        <v>1807.5</v>
      </c>
      <c r="L42" s="592">
        <f>IF(J42="TND",1,IF(J42="EUR",Vertical_Cash_flow!$C$16,IF(J42="USD",Vertical_Cash_flow!$F$16,0)))</f>
        <v>1</v>
      </c>
      <c r="M42" s="593">
        <f t="shared" si="4"/>
        <v>1807.5</v>
      </c>
      <c r="N42" s="589" t="s">
        <v>251</v>
      </c>
      <c r="O42" s="594">
        <v>45420</v>
      </c>
      <c r="P42" s="593">
        <f t="shared" si="5"/>
        <v>-13</v>
      </c>
      <c r="Q42" s="594">
        <v>45433</v>
      </c>
      <c r="R42" s="593">
        <f t="shared" ca="1" si="6"/>
        <v>8</v>
      </c>
      <c r="S42" s="589" t="str">
        <f>VLOOKUP(Q42,Mapping!L:M,2,0)</f>
        <v>W21_2024</v>
      </c>
      <c r="T42" s="589" t="str">
        <f t="shared" ca="1" si="7"/>
        <v>up to 30 days</v>
      </c>
      <c r="W42" s="591"/>
    </row>
    <row r="43" spans="1:23" s="589" customFormat="1" x14ac:dyDescent="0.2">
      <c r="A43" s="589" t="s">
        <v>56</v>
      </c>
      <c r="B43" s="589" t="s">
        <v>716</v>
      </c>
      <c r="C43" s="590" t="s">
        <v>2649</v>
      </c>
      <c r="D43" s="589" t="s">
        <v>100</v>
      </c>
      <c r="E43" s="589" t="s">
        <v>104</v>
      </c>
      <c r="F43" s="589" t="s">
        <v>112</v>
      </c>
      <c r="G43" s="589" t="s">
        <v>51</v>
      </c>
      <c r="H43" s="589" t="s">
        <v>242</v>
      </c>
      <c r="I43" s="589" t="s">
        <v>2959</v>
      </c>
      <c r="J43" s="589" t="s">
        <v>35</v>
      </c>
      <c r="K43" s="591">
        <v>1450</v>
      </c>
      <c r="L43" s="592">
        <f>IF(J43="TND",1,IF(J43="EUR",Vertical_Cash_flow!$C$16,IF(J43="USD",Vertical_Cash_flow!$F$16,0)))</f>
        <v>1</v>
      </c>
      <c r="M43" s="593">
        <f t="shared" si="4"/>
        <v>1450</v>
      </c>
      <c r="N43" s="589" t="s">
        <v>251</v>
      </c>
      <c r="O43" s="594">
        <v>45397</v>
      </c>
      <c r="P43" s="593">
        <f t="shared" si="5"/>
        <v>-36</v>
      </c>
      <c r="Q43" s="594">
        <v>45433</v>
      </c>
      <c r="R43" s="593">
        <f t="shared" ca="1" si="6"/>
        <v>8</v>
      </c>
      <c r="S43" s="589" t="str">
        <f>VLOOKUP(Q43,Mapping!L:M,2,0)</f>
        <v>W21_2024</v>
      </c>
      <c r="T43" s="589" t="str">
        <f t="shared" ca="1" si="7"/>
        <v>up to 30 days</v>
      </c>
      <c r="W43" s="591"/>
    </row>
    <row r="44" spans="1:23" s="589" customFormat="1" x14ac:dyDescent="0.2">
      <c r="A44" s="589" t="s">
        <v>56</v>
      </c>
      <c r="B44" s="589" t="s">
        <v>716</v>
      </c>
      <c r="C44" s="590" t="s">
        <v>2650</v>
      </c>
      <c r="D44" s="589" t="s">
        <v>100</v>
      </c>
      <c r="E44" s="589" t="s">
        <v>104</v>
      </c>
      <c r="F44" s="589" t="s">
        <v>112</v>
      </c>
      <c r="G44" s="589" t="s">
        <v>51</v>
      </c>
      <c r="H44" s="589" t="s">
        <v>242</v>
      </c>
      <c r="I44" s="589" t="s">
        <v>2960</v>
      </c>
      <c r="J44" s="589" t="s">
        <v>35</v>
      </c>
      <c r="K44" s="591">
        <v>1000</v>
      </c>
      <c r="L44" s="592">
        <f>IF(J44="TND",1,IF(J44="EUR",Vertical_Cash_flow!$C$16,IF(J44="USD",Vertical_Cash_flow!$F$16,0)))</f>
        <v>1</v>
      </c>
      <c r="M44" s="593">
        <f t="shared" si="4"/>
        <v>1000</v>
      </c>
      <c r="N44" s="589" t="s">
        <v>251</v>
      </c>
      <c r="O44" s="594">
        <v>45397</v>
      </c>
      <c r="P44" s="593">
        <f t="shared" si="5"/>
        <v>-36</v>
      </c>
      <c r="Q44" s="594">
        <v>45433</v>
      </c>
      <c r="R44" s="593">
        <f t="shared" ca="1" si="6"/>
        <v>8</v>
      </c>
      <c r="S44" s="589" t="str">
        <f>VLOOKUP(Q44,Mapping!L:M,2,0)</f>
        <v>W21_2024</v>
      </c>
      <c r="T44" s="589" t="str">
        <f t="shared" ca="1" si="7"/>
        <v>up to 30 days</v>
      </c>
      <c r="W44" s="591"/>
    </row>
    <row r="45" spans="1:23" s="589" customFormat="1" x14ac:dyDescent="0.2">
      <c r="A45" s="589" t="s">
        <v>56</v>
      </c>
      <c r="B45" s="589" t="s">
        <v>273</v>
      </c>
      <c r="C45" s="590" t="s">
        <v>2648</v>
      </c>
      <c r="D45" s="589" t="s">
        <v>100</v>
      </c>
      <c r="E45" s="589" t="s">
        <v>104</v>
      </c>
      <c r="F45" s="589" t="s">
        <v>112</v>
      </c>
      <c r="G45" s="589" t="s">
        <v>51</v>
      </c>
      <c r="H45" s="589" t="s">
        <v>242</v>
      </c>
      <c r="I45" s="589" t="s">
        <v>2958</v>
      </c>
      <c r="J45" s="589" t="s">
        <v>35</v>
      </c>
      <c r="K45" s="591">
        <v>350</v>
      </c>
      <c r="L45" s="592">
        <f>IF(J45="TND",1,IF(J45="EUR",Vertical_Cash_flow!$C$16,IF(J45="USD",Vertical_Cash_flow!$F$16,0)))</f>
        <v>1</v>
      </c>
      <c r="M45" s="593">
        <f t="shared" si="4"/>
        <v>350</v>
      </c>
      <c r="N45" s="589" t="s">
        <v>251</v>
      </c>
      <c r="O45" s="594">
        <v>45405</v>
      </c>
      <c r="P45" s="593">
        <f t="shared" si="5"/>
        <v>-28</v>
      </c>
      <c r="Q45" s="594">
        <v>45433</v>
      </c>
      <c r="R45" s="593">
        <f t="shared" ca="1" si="6"/>
        <v>8</v>
      </c>
      <c r="S45" s="589" t="str">
        <f>VLOOKUP(Q45,Mapping!L:M,2,0)</f>
        <v>W21_2024</v>
      </c>
      <c r="T45" s="589" t="str">
        <f t="shared" ca="1" si="7"/>
        <v>up to 30 days</v>
      </c>
      <c r="W45" s="591"/>
    </row>
    <row r="46" spans="1:23" s="589" customFormat="1" x14ac:dyDescent="0.2">
      <c r="A46" s="589" t="s">
        <v>56</v>
      </c>
      <c r="B46" s="589" t="s">
        <v>2323</v>
      </c>
      <c r="C46" s="590" t="s">
        <v>2647</v>
      </c>
      <c r="D46" s="589" t="s">
        <v>100</v>
      </c>
      <c r="E46" s="589" t="s">
        <v>104</v>
      </c>
      <c r="F46" s="589" t="s">
        <v>112</v>
      </c>
      <c r="G46" s="589" t="s">
        <v>51</v>
      </c>
      <c r="H46" s="589" t="s">
        <v>242</v>
      </c>
      <c r="I46" s="589" t="s">
        <v>2957</v>
      </c>
      <c r="J46" s="589" t="s">
        <v>35</v>
      </c>
      <c r="K46" s="591">
        <v>3558.7939999999999</v>
      </c>
      <c r="L46" s="592">
        <f>IF(J46="TND",1,IF(J46="EUR",Vertical_Cash_flow!$C$16,IF(J46="USD",Vertical_Cash_flow!$F$16,0)))</f>
        <v>1</v>
      </c>
      <c r="M46" s="593">
        <f t="shared" si="4"/>
        <v>3558.7939999999999</v>
      </c>
      <c r="N46" s="589" t="s">
        <v>251</v>
      </c>
      <c r="O46" s="594">
        <v>45408</v>
      </c>
      <c r="P46" s="593">
        <f t="shared" si="5"/>
        <v>-25</v>
      </c>
      <c r="Q46" s="594">
        <v>45433</v>
      </c>
      <c r="R46" s="593">
        <f t="shared" ca="1" si="6"/>
        <v>8</v>
      </c>
      <c r="S46" s="589" t="str">
        <f>VLOOKUP(Q46,Mapping!L:M,2,0)</f>
        <v>W21_2024</v>
      </c>
      <c r="T46" s="589" t="str">
        <f t="shared" ca="1" si="7"/>
        <v>up to 30 days</v>
      </c>
      <c r="W46" s="591"/>
    </row>
    <row r="47" spans="1:23" s="589" customFormat="1" x14ac:dyDescent="0.2">
      <c r="A47" s="589" t="s">
        <v>56</v>
      </c>
      <c r="B47" s="589" t="s">
        <v>476</v>
      </c>
      <c r="C47" s="590" t="s">
        <v>3212</v>
      </c>
      <c r="D47" s="589" t="s">
        <v>100</v>
      </c>
      <c r="E47" s="589" t="s">
        <v>104</v>
      </c>
      <c r="F47" s="589" t="s">
        <v>112</v>
      </c>
      <c r="G47" s="589" t="s">
        <v>51</v>
      </c>
      <c r="H47" s="589" t="s">
        <v>242</v>
      </c>
      <c r="I47" s="589" t="s">
        <v>3384</v>
      </c>
      <c r="J47" s="589" t="s">
        <v>35</v>
      </c>
      <c r="K47" s="591">
        <v>22512.893</v>
      </c>
      <c r="L47" s="592">
        <f>IF(J47="TND",1,IF(J47="EUR",Vertical_Cash_flow!$C$16,IF(J47="USD",Vertical_Cash_flow!$F$16,0)))</f>
        <v>1</v>
      </c>
      <c r="M47" s="593">
        <f t="shared" si="4"/>
        <v>22512.893</v>
      </c>
      <c r="N47" s="589" t="s">
        <v>251</v>
      </c>
      <c r="O47" s="594">
        <v>45411</v>
      </c>
      <c r="P47" s="593">
        <f t="shared" si="5"/>
        <v>-22</v>
      </c>
      <c r="Q47" s="594">
        <v>45433</v>
      </c>
      <c r="R47" s="593">
        <f t="shared" ca="1" si="6"/>
        <v>8</v>
      </c>
      <c r="S47" s="589" t="str">
        <f>VLOOKUP(Q47,Mapping!L:M,2,0)</f>
        <v>W21_2024</v>
      </c>
      <c r="T47" s="589" t="str">
        <f t="shared" ca="1" si="7"/>
        <v>up to 30 days</v>
      </c>
      <c r="W47" s="591"/>
    </row>
    <row r="48" spans="1:23" s="589" customFormat="1" x14ac:dyDescent="0.2">
      <c r="A48" s="589" t="s">
        <v>56</v>
      </c>
      <c r="B48" s="589" t="s">
        <v>716</v>
      </c>
      <c r="C48" s="590" t="s">
        <v>2645</v>
      </c>
      <c r="D48" s="589" t="s">
        <v>100</v>
      </c>
      <c r="E48" s="589" t="s">
        <v>104</v>
      </c>
      <c r="F48" s="589" t="s">
        <v>112</v>
      </c>
      <c r="G48" s="589" t="s">
        <v>51</v>
      </c>
      <c r="H48" s="589" t="s">
        <v>242</v>
      </c>
      <c r="I48" s="589" t="s">
        <v>2955</v>
      </c>
      <c r="J48" s="589" t="s">
        <v>35</v>
      </c>
      <c r="K48" s="591">
        <v>220</v>
      </c>
      <c r="L48" s="592">
        <f>IF(J48="TND",1,IF(J48="EUR",Vertical_Cash_flow!$C$16,IF(J48="USD",Vertical_Cash_flow!$F$16,0)))</f>
        <v>1</v>
      </c>
      <c r="M48" s="593">
        <f t="shared" si="4"/>
        <v>220</v>
      </c>
      <c r="N48" s="589" t="s">
        <v>251</v>
      </c>
      <c r="O48" s="594">
        <v>45399</v>
      </c>
      <c r="P48" s="593">
        <f t="shared" si="5"/>
        <v>-34</v>
      </c>
      <c r="Q48" s="594">
        <v>45433</v>
      </c>
      <c r="R48" s="593">
        <f t="shared" ca="1" si="6"/>
        <v>8</v>
      </c>
      <c r="S48" s="589" t="str">
        <f>VLOOKUP(Q48,Mapping!L:M,2,0)</f>
        <v>W21_2024</v>
      </c>
      <c r="T48" s="589" t="str">
        <f t="shared" ca="1" si="7"/>
        <v>up to 30 days</v>
      </c>
      <c r="W48" s="591"/>
    </row>
    <row r="49" spans="1:23" s="589" customFormat="1" x14ac:dyDescent="0.2">
      <c r="A49" s="589" t="s">
        <v>56</v>
      </c>
      <c r="B49" s="589" t="s">
        <v>3409</v>
      </c>
      <c r="C49" s="590" t="s">
        <v>3587</v>
      </c>
      <c r="D49" s="589" t="s">
        <v>100</v>
      </c>
      <c r="E49" s="589" t="s">
        <v>104</v>
      </c>
      <c r="F49" s="589" t="s">
        <v>112</v>
      </c>
      <c r="G49" s="589" t="s">
        <v>51</v>
      </c>
      <c r="H49" s="589" t="s">
        <v>242</v>
      </c>
      <c r="I49" s="589" t="s">
        <v>3680</v>
      </c>
      <c r="J49" s="589" t="s">
        <v>35</v>
      </c>
      <c r="K49" s="591">
        <v>1221.816</v>
      </c>
      <c r="L49" s="592">
        <f>IF(J49="TND",1,IF(J49="EUR",Vertical_Cash_flow!$C$16,IF(J49="USD",Vertical_Cash_flow!$F$16,0)))</f>
        <v>1</v>
      </c>
      <c r="M49" s="593">
        <f t="shared" si="4"/>
        <v>1221.816</v>
      </c>
      <c r="N49" s="589" t="s">
        <v>251</v>
      </c>
      <c r="O49" s="594">
        <v>45423</v>
      </c>
      <c r="P49" s="593">
        <f t="shared" si="5"/>
        <v>-10</v>
      </c>
      <c r="Q49" s="594">
        <v>45433</v>
      </c>
      <c r="R49" s="593">
        <f t="shared" ca="1" si="6"/>
        <v>8</v>
      </c>
      <c r="S49" s="589" t="str">
        <f>VLOOKUP(Q49,Mapping!L:M,2,0)</f>
        <v>W21_2024</v>
      </c>
      <c r="T49" s="589" t="str">
        <f t="shared" ca="1" si="7"/>
        <v>up to 30 days</v>
      </c>
      <c r="W49" s="591"/>
    </row>
    <row r="50" spans="1:23" s="589" customFormat="1" x14ac:dyDescent="0.2">
      <c r="A50" s="589" t="s">
        <v>56</v>
      </c>
      <c r="B50" s="589" t="s">
        <v>718</v>
      </c>
      <c r="C50" s="590" t="s">
        <v>3211</v>
      </c>
      <c r="D50" s="589" t="s">
        <v>100</v>
      </c>
      <c r="E50" s="589" t="s">
        <v>104</v>
      </c>
      <c r="F50" s="589" t="s">
        <v>112</v>
      </c>
      <c r="G50" s="589" t="s">
        <v>51</v>
      </c>
      <c r="H50" s="589" t="s">
        <v>242</v>
      </c>
      <c r="I50" s="589" t="s">
        <v>3383</v>
      </c>
      <c r="J50" s="589" t="s">
        <v>35</v>
      </c>
      <c r="K50" s="591">
        <v>3298.9259999999999</v>
      </c>
      <c r="L50" s="592">
        <f>IF(J50="TND",1,IF(J50="EUR",Vertical_Cash_flow!$C$16,IF(J50="USD",Vertical_Cash_flow!$F$16,0)))</f>
        <v>1</v>
      </c>
      <c r="M50" s="593">
        <f t="shared" si="4"/>
        <v>3298.9259999999999</v>
      </c>
      <c r="N50" s="589" t="s">
        <v>251</v>
      </c>
      <c r="O50" s="594">
        <v>45418</v>
      </c>
      <c r="P50" s="593">
        <f t="shared" si="5"/>
        <v>-15</v>
      </c>
      <c r="Q50" s="594">
        <v>45433</v>
      </c>
      <c r="R50" s="593">
        <f t="shared" ca="1" si="6"/>
        <v>8</v>
      </c>
      <c r="S50" s="589" t="str">
        <f>VLOOKUP(Q50,Mapping!L:M,2,0)</f>
        <v>W21_2024</v>
      </c>
      <c r="T50" s="589" t="str">
        <f t="shared" ca="1" si="7"/>
        <v>up to 30 days</v>
      </c>
      <c r="W50" s="591"/>
    </row>
    <row r="51" spans="1:23" s="589" customFormat="1" x14ac:dyDescent="0.2">
      <c r="A51" s="589" t="s">
        <v>56</v>
      </c>
      <c r="B51" s="589" t="s">
        <v>3016</v>
      </c>
      <c r="C51" s="590" t="s">
        <v>3210</v>
      </c>
      <c r="D51" s="589" t="s">
        <v>100</v>
      </c>
      <c r="E51" s="589" t="s">
        <v>104</v>
      </c>
      <c r="F51" s="589" t="s">
        <v>112</v>
      </c>
      <c r="G51" s="589" t="s">
        <v>51</v>
      </c>
      <c r="H51" s="589" t="s">
        <v>242</v>
      </c>
      <c r="I51" s="589" t="s">
        <v>3382</v>
      </c>
      <c r="J51" s="589" t="s">
        <v>35</v>
      </c>
      <c r="K51" s="591">
        <v>1409.2850000000001</v>
      </c>
      <c r="L51" s="592">
        <f>IF(J51="TND",1,IF(J51="EUR",Vertical_Cash_flow!$C$16,IF(J51="USD",Vertical_Cash_flow!$F$16,0)))</f>
        <v>1</v>
      </c>
      <c r="M51" s="593">
        <f t="shared" si="4"/>
        <v>1409.2850000000001</v>
      </c>
      <c r="N51" s="589" t="s">
        <v>251</v>
      </c>
      <c r="O51" s="594">
        <v>45414</v>
      </c>
      <c r="P51" s="593">
        <f t="shared" si="5"/>
        <v>-19</v>
      </c>
      <c r="Q51" s="594">
        <v>45433</v>
      </c>
      <c r="R51" s="593">
        <f t="shared" ca="1" si="6"/>
        <v>8</v>
      </c>
      <c r="S51" s="589" t="str">
        <f>VLOOKUP(Q51,Mapping!L:M,2,0)</f>
        <v>W21_2024</v>
      </c>
      <c r="T51" s="589" t="str">
        <f t="shared" ca="1" si="7"/>
        <v>up to 30 days</v>
      </c>
      <c r="W51" s="591"/>
    </row>
    <row r="52" spans="1:23" s="589" customFormat="1" x14ac:dyDescent="0.2">
      <c r="A52" s="589" t="s">
        <v>56</v>
      </c>
      <c r="B52" s="589" t="s">
        <v>369</v>
      </c>
      <c r="C52" s="590" t="s">
        <v>1912</v>
      </c>
      <c r="D52" s="589" t="s">
        <v>100</v>
      </c>
      <c r="E52" s="589" t="s">
        <v>104</v>
      </c>
      <c r="F52" s="589" t="s">
        <v>112</v>
      </c>
      <c r="G52" s="589" t="s">
        <v>51</v>
      </c>
      <c r="H52" s="589" t="s">
        <v>242</v>
      </c>
      <c r="I52" s="589" t="s">
        <v>2264</v>
      </c>
      <c r="J52" s="589" t="s">
        <v>35</v>
      </c>
      <c r="K52" s="591">
        <v>7500</v>
      </c>
      <c r="L52" s="592">
        <f>IF(J52="TND",1,IF(J52="EUR",Vertical_Cash_flow!$C$16,IF(J52="USD",Vertical_Cash_flow!$F$16,0)))</f>
        <v>1</v>
      </c>
      <c r="M52" s="593">
        <f t="shared" si="4"/>
        <v>7500</v>
      </c>
      <c r="N52" s="589" t="s">
        <v>251</v>
      </c>
      <c r="O52" s="594">
        <v>45351</v>
      </c>
      <c r="P52" s="593">
        <f t="shared" si="5"/>
        <v>-82</v>
      </c>
      <c r="Q52" s="594">
        <v>45433</v>
      </c>
      <c r="R52" s="593">
        <f t="shared" ca="1" si="6"/>
        <v>8</v>
      </c>
      <c r="S52" s="589" t="str">
        <f>VLOOKUP(Q52,Mapping!L:M,2,0)</f>
        <v>W21_2024</v>
      </c>
      <c r="T52" s="589" t="str">
        <f t="shared" ca="1" si="7"/>
        <v>up to 30 days</v>
      </c>
      <c r="W52" s="591"/>
    </row>
    <row r="53" spans="1:23" s="589" customFormat="1" x14ac:dyDescent="0.2">
      <c r="A53" s="589" t="s">
        <v>56</v>
      </c>
      <c r="B53" s="589" t="s">
        <v>3015</v>
      </c>
      <c r="C53" s="590" t="s">
        <v>3209</v>
      </c>
      <c r="D53" s="589" t="s">
        <v>100</v>
      </c>
      <c r="E53" s="589" t="s">
        <v>104</v>
      </c>
      <c r="F53" s="589" t="s">
        <v>112</v>
      </c>
      <c r="G53" s="589" t="s">
        <v>51</v>
      </c>
      <c r="H53" s="589" t="s">
        <v>242</v>
      </c>
      <c r="I53" s="589" t="s">
        <v>3381</v>
      </c>
      <c r="J53" s="589" t="s">
        <v>35</v>
      </c>
      <c r="K53" s="591">
        <v>630</v>
      </c>
      <c r="L53" s="592">
        <f>IF(J53="TND",1,IF(J53="EUR",Vertical_Cash_flow!$C$16,IF(J53="USD",Vertical_Cash_flow!$F$16,0)))</f>
        <v>1</v>
      </c>
      <c r="M53" s="593">
        <f t="shared" si="4"/>
        <v>630</v>
      </c>
      <c r="N53" s="589" t="s">
        <v>251</v>
      </c>
      <c r="O53" s="594">
        <v>45419</v>
      </c>
      <c r="P53" s="593">
        <f t="shared" si="5"/>
        <v>-14</v>
      </c>
      <c r="Q53" s="594">
        <v>45433</v>
      </c>
      <c r="R53" s="593">
        <f t="shared" ca="1" si="6"/>
        <v>8</v>
      </c>
      <c r="S53" s="589" t="str">
        <f>VLOOKUP(Q53,Mapping!L:M,2,0)</f>
        <v>W21_2024</v>
      </c>
      <c r="T53" s="589" t="str">
        <f t="shared" ca="1" si="7"/>
        <v>up to 30 days</v>
      </c>
      <c r="W53" s="591"/>
    </row>
    <row r="54" spans="1:23" s="589" customFormat="1" x14ac:dyDescent="0.2">
      <c r="A54" s="589" t="s">
        <v>56</v>
      </c>
      <c r="B54" s="589" t="s">
        <v>3014</v>
      </c>
      <c r="C54" s="590" t="s">
        <v>3208</v>
      </c>
      <c r="D54" s="589" t="s">
        <v>100</v>
      </c>
      <c r="E54" s="589" t="s">
        <v>104</v>
      </c>
      <c r="F54" s="589" t="s">
        <v>112</v>
      </c>
      <c r="G54" s="589" t="s">
        <v>51</v>
      </c>
      <c r="H54" s="589" t="s">
        <v>242</v>
      </c>
      <c r="I54" s="589" t="s">
        <v>3380</v>
      </c>
      <c r="J54" s="589" t="s">
        <v>35</v>
      </c>
      <c r="K54" s="591">
        <v>994.53</v>
      </c>
      <c r="L54" s="592">
        <f>IF(J54="TND",1,IF(J54="EUR",Vertical_Cash_flow!$C$16,IF(J54="USD",Vertical_Cash_flow!$F$16,0)))</f>
        <v>1</v>
      </c>
      <c r="M54" s="593">
        <f t="shared" si="4"/>
        <v>994.53</v>
      </c>
      <c r="N54" s="589" t="s">
        <v>251</v>
      </c>
      <c r="O54" s="594">
        <v>45409</v>
      </c>
      <c r="P54" s="593">
        <f t="shared" si="5"/>
        <v>-24</v>
      </c>
      <c r="Q54" s="594">
        <v>45433</v>
      </c>
      <c r="R54" s="593">
        <f t="shared" ca="1" si="6"/>
        <v>8</v>
      </c>
      <c r="S54" s="589" t="str">
        <f>VLOOKUP(Q54,Mapping!L:M,2,0)</f>
        <v>W21_2024</v>
      </c>
      <c r="T54" s="589" t="str">
        <f t="shared" ca="1" si="7"/>
        <v>up to 30 days</v>
      </c>
      <c r="W54" s="591"/>
    </row>
    <row r="55" spans="1:23" s="589" customFormat="1" x14ac:dyDescent="0.2">
      <c r="A55" s="589" t="s">
        <v>56</v>
      </c>
      <c r="B55" s="589" t="s">
        <v>716</v>
      </c>
      <c r="C55" s="590" t="s">
        <v>2643</v>
      </c>
      <c r="D55" s="589" t="s">
        <v>100</v>
      </c>
      <c r="E55" s="589" t="s">
        <v>104</v>
      </c>
      <c r="F55" s="589" t="s">
        <v>112</v>
      </c>
      <c r="G55" s="589" t="s">
        <v>51</v>
      </c>
      <c r="H55" s="589" t="s">
        <v>242</v>
      </c>
      <c r="I55" s="589" t="s">
        <v>2953</v>
      </c>
      <c r="J55" s="589" t="s">
        <v>35</v>
      </c>
      <c r="K55" s="591">
        <v>800</v>
      </c>
      <c r="L55" s="592">
        <f>IF(J55="TND",1,IF(J55="EUR",Vertical_Cash_flow!$C$16,IF(J55="USD",Vertical_Cash_flow!$F$16,0)))</f>
        <v>1</v>
      </c>
      <c r="M55" s="593">
        <f t="shared" si="4"/>
        <v>800</v>
      </c>
      <c r="N55" s="589" t="s">
        <v>251</v>
      </c>
      <c r="O55" s="594">
        <v>45397</v>
      </c>
      <c r="P55" s="593">
        <f t="shared" si="5"/>
        <v>-36</v>
      </c>
      <c r="Q55" s="594">
        <v>45433</v>
      </c>
      <c r="R55" s="593">
        <f t="shared" ca="1" si="6"/>
        <v>8</v>
      </c>
      <c r="S55" s="589" t="str">
        <f>VLOOKUP(Q55,Mapping!L:M,2,0)</f>
        <v>W21_2024</v>
      </c>
      <c r="T55" s="589" t="str">
        <f t="shared" ca="1" si="7"/>
        <v>up to 30 days</v>
      </c>
      <c r="W55" s="591"/>
    </row>
    <row r="56" spans="1:23" s="589" customFormat="1" x14ac:dyDescent="0.2">
      <c r="A56" s="589" t="s">
        <v>56</v>
      </c>
      <c r="B56" s="589" t="s">
        <v>763</v>
      </c>
      <c r="C56" s="590" t="s">
        <v>2642</v>
      </c>
      <c r="D56" s="589" t="s">
        <v>100</v>
      </c>
      <c r="E56" s="589" t="s">
        <v>104</v>
      </c>
      <c r="F56" s="589" t="s">
        <v>112</v>
      </c>
      <c r="G56" s="589" t="s">
        <v>51</v>
      </c>
      <c r="H56" s="589" t="s">
        <v>242</v>
      </c>
      <c r="I56" s="589" t="s">
        <v>2952</v>
      </c>
      <c r="J56" s="589" t="s">
        <v>35</v>
      </c>
      <c r="K56" s="591">
        <v>21550.569</v>
      </c>
      <c r="L56" s="592">
        <f>IF(J56="TND",1,IF(J56="EUR",Vertical_Cash_flow!$C$16,IF(J56="USD",Vertical_Cash_flow!$F$16,0)))</f>
        <v>1</v>
      </c>
      <c r="M56" s="593">
        <f t="shared" si="4"/>
        <v>21550.569</v>
      </c>
      <c r="N56" s="589" t="s">
        <v>251</v>
      </c>
      <c r="O56" s="594">
        <v>45406</v>
      </c>
      <c r="P56" s="593">
        <f t="shared" si="5"/>
        <v>-27</v>
      </c>
      <c r="Q56" s="594">
        <v>45433</v>
      </c>
      <c r="R56" s="593">
        <f t="shared" ca="1" si="6"/>
        <v>8</v>
      </c>
      <c r="S56" s="589" t="str">
        <f>VLOOKUP(Q56,Mapping!L:M,2,0)</f>
        <v>W21_2024</v>
      </c>
      <c r="T56" s="589" t="str">
        <f t="shared" ca="1" si="7"/>
        <v>up to 30 days</v>
      </c>
      <c r="W56" s="591"/>
    </row>
    <row r="57" spans="1:23" s="589" customFormat="1" x14ac:dyDescent="0.2">
      <c r="A57" s="589" t="s">
        <v>56</v>
      </c>
      <c r="B57" s="589" t="s">
        <v>2324</v>
      </c>
      <c r="C57" s="590" t="s">
        <v>2641</v>
      </c>
      <c r="D57" s="589" t="s">
        <v>100</v>
      </c>
      <c r="E57" s="589" t="s">
        <v>104</v>
      </c>
      <c r="F57" s="589" t="s">
        <v>112</v>
      </c>
      <c r="G57" s="589" t="s">
        <v>51</v>
      </c>
      <c r="H57" s="589" t="s">
        <v>242</v>
      </c>
      <c r="I57" s="589" t="s">
        <v>2951</v>
      </c>
      <c r="J57" s="589" t="s">
        <v>35</v>
      </c>
      <c r="K57" s="591">
        <v>6550</v>
      </c>
      <c r="L57" s="592">
        <f>IF(J57="TND",1,IF(J57="EUR",Vertical_Cash_flow!$C$16,IF(J57="USD",Vertical_Cash_flow!$F$16,0)))</f>
        <v>1</v>
      </c>
      <c r="M57" s="593">
        <f t="shared" si="4"/>
        <v>6550</v>
      </c>
      <c r="N57" s="589" t="s">
        <v>251</v>
      </c>
      <c r="O57" s="594">
        <v>45406</v>
      </c>
      <c r="P57" s="593">
        <f t="shared" si="5"/>
        <v>-27</v>
      </c>
      <c r="Q57" s="594">
        <v>45433</v>
      </c>
      <c r="R57" s="593">
        <f t="shared" ca="1" si="6"/>
        <v>8</v>
      </c>
      <c r="S57" s="589" t="str">
        <f>VLOOKUP(Q57,Mapping!L:M,2,0)</f>
        <v>W21_2024</v>
      </c>
      <c r="T57" s="589" t="str">
        <f t="shared" ca="1" si="7"/>
        <v>up to 30 days</v>
      </c>
      <c r="W57" s="591"/>
    </row>
    <row r="58" spans="1:23" s="589" customFormat="1" x14ac:dyDescent="0.2">
      <c r="A58" s="589" t="s">
        <v>56</v>
      </c>
      <c r="B58" s="589" t="s">
        <v>730</v>
      </c>
      <c r="C58" s="590" t="s">
        <v>3586</v>
      </c>
      <c r="D58" s="589" t="s">
        <v>100</v>
      </c>
      <c r="E58" s="589" t="s">
        <v>104</v>
      </c>
      <c r="F58" s="589" t="s">
        <v>112</v>
      </c>
      <c r="G58" s="589" t="s">
        <v>51</v>
      </c>
      <c r="H58" s="589" t="s">
        <v>242</v>
      </c>
      <c r="I58" s="589" t="s">
        <v>3729</v>
      </c>
      <c r="J58" s="589" t="s">
        <v>35</v>
      </c>
      <c r="K58" s="591">
        <v>2207.4389999999999</v>
      </c>
      <c r="L58" s="592">
        <f>IF(J58="TND",1,IF(J58="EUR",Vertical_Cash_flow!$C$16,IF(J58="USD",Vertical_Cash_flow!$F$16,0)))</f>
        <v>1</v>
      </c>
      <c r="M58" s="593">
        <f t="shared" si="4"/>
        <v>2207.4389999999999</v>
      </c>
      <c r="N58" s="589" t="s">
        <v>251</v>
      </c>
      <c r="O58" s="594">
        <v>45425</v>
      </c>
      <c r="P58" s="593">
        <f t="shared" si="5"/>
        <v>-8</v>
      </c>
      <c r="Q58" s="594">
        <v>45433</v>
      </c>
      <c r="R58" s="593">
        <f t="shared" ca="1" si="6"/>
        <v>8</v>
      </c>
      <c r="S58" s="589" t="str">
        <f>VLOOKUP(Q58,Mapping!L:M,2,0)</f>
        <v>W21_2024</v>
      </c>
      <c r="T58" s="589" t="str">
        <f t="shared" ca="1" si="7"/>
        <v>up to 30 days</v>
      </c>
      <c r="W58" s="591"/>
    </row>
    <row r="59" spans="1:23" s="589" customFormat="1" x14ac:dyDescent="0.2">
      <c r="A59" s="589" t="s">
        <v>56</v>
      </c>
      <c r="B59" s="589" t="s">
        <v>273</v>
      </c>
      <c r="C59" s="590" t="s">
        <v>2639</v>
      </c>
      <c r="D59" s="589" t="s">
        <v>100</v>
      </c>
      <c r="E59" s="589" t="s">
        <v>104</v>
      </c>
      <c r="F59" s="589" t="s">
        <v>112</v>
      </c>
      <c r="G59" s="589" t="s">
        <v>51</v>
      </c>
      <c r="H59" s="589" t="s">
        <v>242</v>
      </c>
      <c r="I59" s="589" t="s">
        <v>2949</v>
      </c>
      <c r="J59" s="589" t="s">
        <v>35</v>
      </c>
      <c r="K59" s="591">
        <v>285</v>
      </c>
      <c r="L59" s="592">
        <f>IF(J59="TND",1,IF(J59="EUR",Vertical_Cash_flow!$C$16,IF(J59="USD",Vertical_Cash_flow!$F$16,0)))</f>
        <v>1</v>
      </c>
      <c r="M59" s="593">
        <f t="shared" si="4"/>
        <v>285</v>
      </c>
      <c r="N59" s="589" t="s">
        <v>251</v>
      </c>
      <c r="O59" s="594">
        <v>45405</v>
      </c>
      <c r="P59" s="593">
        <f t="shared" si="5"/>
        <v>-28</v>
      </c>
      <c r="Q59" s="594">
        <v>45433</v>
      </c>
      <c r="R59" s="593">
        <f t="shared" ca="1" si="6"/>
        <v>8</v>
      </c>
      <c r="S59" s="589" t="str">
        <f>VLOOKUP(Q59,Mapping!L:M,2,0)</f>
        <v>W21_2024</v>
      </c>
      <c r="T59" s="589" t="str">
        <f t="shared" ca="1" si="7"/>
        <v>up to 30 days</v>
      </c>
      <c r="W59" s="591"/>
    </row>
    <row r="60" spans="1:23" s="589" customFormat="1" x14ac:dyDescent="0.2">
      <c r="A60" s="589" t="s">
        <v>56</v>
      </c>
      <c r="B60" s="589" t="s">
        <v>544</v>
      </c>
      <c r="C60" s="590" t="s">
        <v>1907</v>
      </c>
      <c r="D60" s="589" t="s">
        <v>100</v>
      </c>
      <c r="E60" s="589" t="s">
        <v>104</v>
      </c>
      <c r="F60" s="589" t="s">
        <v>112</v>
      </c>
      <c r="G60" s="589" t="s">
        <v>51</v>
      </c>
      <c r="H60" s="589" t="s">
        <v>242</v>
      </c>
      <c r="I60" s="589" t="s">
        <v>2260</v>
      </c>
      <c r="J60" s="589" t="s">
        <v>35</v>
      </c>
      <c r="K60" s="591">
        <v>1400.65</v>
      </c>
      <c r="L60" s="592">
        <f>IF(J60="TND",1,IF(J60="EUR",Vertical_Cash_flow!$C$16,IF(J60="USD",Vertical_Cash_flow!$F$16,0)))</f>
        <v>1</v>
      </c>
      <c r="M60" s="593">
        <f t="shared" si="4"/>
        <v>1400.65</v>
      </c>
      <c r="N60" s="589" t="s">
        <v>251</v>
      </c>
      <c r="O60" s="594">
        <v>45381</v>
      </c>
      <c r="P60" s="593">
        <f t="shared" si="5"/>
        <v>-52</v>
      </c>
      <c r="Q60" s="594">
        <v>45433</v>
      </c>
      <c r="R60" s="593">
        <f t="shared" ca="1" si="6"/>
        <v>8</v>
      </c>
      <c r="S60" s="589" t="str">
        <f>VLOOKUP(Q60,Mapping!L:M,2,0)</f>
        <v>W21_2024</v>
      </c>
      <c r="T60" s="589" t="str">
        <f t="shared" ca="1" si="7"/>
        <v>up to 30 days</v>
      </c>
      <c r="W60" s="591"/>
    </row>
    <row r="61" spans="1:23" s="589" customFormat="1" x14ac:dyDescent="0.2">
      <c r="A61" s="589" t="s">
        <v>56</v>
      </c>
      <c r="B61" s="589" t="s">
        <v>564</v>
      </c>
      <c r="C61" s="590" t="s">
        <v>1908</v>
      </c>
      <c r="D61" s="589" t="s">
        <v>100</v>
      </c>
      <c r="E61" s="589" t="s">
        <v>104</v>
      </c>
      <c r="F61" s="589" t="s">
        <v>112</v>
      </c>
      <c r="G61" s="589" t="s">
        <v>51</v>
      </c>
      <c r="H61" s="589" t="s">
        <v>242</v>
      </c>
      <c r="I61" s="589" t="s">
        <v>1008</v>
      </c>
      <c r="J61" s="589" t="s">
        <v>35</v>
      </c>
      <c r="K61" s="591">
        <v>700</v>
      </c>
      <c r="L61" s="592">
        <f>IF(J61="TND",1,IF(J61="EUR",Vertical_Cash_flow!$C$16,IF(J61="USD",Vertical_Cash_flow!$F$16,0)))</f>
        <v>1</v>
      </c>
      <c r="M61" s="593">
        <f t="shared" si="4"/>
        <v>700</v>
      </c>
      <c r="N61" s="589" t="s">
        <v>251</v>
      </c>
      <c r="O61" s="594">
        <v>45352</v>
      </c>
      <c r="P61" s="593">
        <f t="shared" si="5"/>
        <v>-81</v>
      </c>
      <c r="Q61" s="594">
        <v>45433</v>
      </c>
      <c r="R61" s="593">
        <f t="shared" ca="1" si="6"/>
        <v>8</v>
      </c>
      <c r="S61" s="589" t="str">
        <f>VLOOKUP(Q61,Mapping!L:M,2,0)</f>
        <v>W21_2024</v>
      </c>
      <c r="T61" s="589" t="str">
        <f t="shared" ca="1" si="7"/>
        <v>up to 30 days</v>
      </c>
      <c r="W61" s="591"/>
    </row>
    <row r="62" spans="1:23" s="589" customFormat="1" x14ac:dyDescent="0.2">
      <c r="A62" s="589" t="s">
        <v>56</v>
      </c>
      <c r="B62" s="589" t="s">
        <v>493</v>
      </c>
      <c r="C62" s="590" t="s">
        <v>1358</v>
      </c>
      <c r="D62" s="589" t="s">
        <v>100</v>
      </c>
      <c r="E62" s="589" t="s">
        <v>104</v>
      </c>
      <c r="F62" s="589" t="s">
        <v>112</v>
      </c>
      <c r="G62" s="589" t="s">
        <v>51</v>
      </c>
      <c r="H62" s="589" t="s">
        <v>242</v>
      </c>
      <c r="I62" s="589" t="s">
        <v>1453</v>
      </c>
      <c r="J62" s="589" t="s">
        <v>35</v>
      </c>
      <c r="K62" s="591">
        <v>731.976</v>
      </c>
      <c r="L62" s="592">
        <f>IF(J62="TND",1,IF(J62="EUR",Vertical_Cash_flow!$C$16,IF(J62="USD",Vertical_Cash_flow!$F$16,0)))</f>
        <v>1</v>
      </c>
      <c r="M62" s="593">
        <f t="shared" si="4"/>
        <v>731.976</v>
      </c>
      <c r="N62" s="589" t="s">
        <v>251</v>
      </c>
      <c r="O62" s="594">
        <v>45344</v>
      </c>
      <c r="P62" s="593">
        <f t="shared" si="5"/>
        <v>-89</v>
      </c>
      <c r="Q62" s="594">
        <v>45433</v>
      </c>
      <c r="R62" s="593">
        <f t="shared" ca="1" si="6"/>
        <v>8</v>
      </c>
      <c r="S62" s="589" t="str">
        <f>VLOOKUP(Q62,Mapping!L:M,2,0)</f>
        <v>W21_2024</v>
      </c>
      <c r="T62" s="589" t="str">
        <f t="shared" ca="1" si="7"/>
        <v>up to 30 days</v>
      </c>
      <c r="W62" s="591"/>
    </row>
    <row r="63" spans="1:23" s="589" customFormat="1" x14ac:dyDescent="0.2">
      <c r="A63" s="589" t="s">
        <v>56</v>
      </c>
      <c r="B63" s="589" t="s">
        <v>507</v>
      </c>
      <c r="C63" s="590" t="s">
        <v>1906</v>
      </c>
      <c r="D63" s="589" t="s">
        <v>100</v>
      </c>
      <c r="E63" s="589" t="s">
        <v>104</v>
      </c>
      <c r="F63" s="589" t="s">
        <v>112</v>
      </c>
      <c r="G63" s="589" t="s">
        <v>51</v>
      </c>
      <c r="H63" s="589" t="s">
        <v>242</v>
      </c>
      <c r="I63" s="589" t="s">
        <v>2259</v>
      </c>
      <c r="J63" s="589" t="s">
        <v>35</v>
      </c>
      <c r="K63" s="591">
        <v>1612</v>
      </c>
      <c r="L63" s="592">
        <f>IF(J63="TND",1,IF(J63="EUR",Vertical_Cash_flow!$C$16,IF(J63="USD",Vertical_Cash_flow!$F$16,0)))</f>
        <v>1</v>
      </c>
      <c r="M63" s="593">
        <f t="shared" si="4"/>
        <v>1612</v>
      </c>
      <c r="N63" s="589" t="s">
        <v>251</v>
      </c>
      <c r="O63" s="594">
        <v>45374</v>
      </c>
      <c r="P63" s="593">
        <f t="shared" si="5"/>
        <v>-59</v>
      </c>
      <c r="Q63" s="594">
        <v>45433</v>
      </c>
      <c r="R63" s="593">
        <f t="shared" ca="1" si="6"/>
        <v>8</v>
      </c>
      <c r="S63" s="589" t="str">
        <f>VLOOKUP(Q63,Mapping!L:M,2,0)</f>
        <v>W21_2024</v>
      </c>
      <c r="T63" s="589" t="str">
        <f t="shared" ca="1" si="7"/>
        <v>up to 30 days</v>
      </c>
      <c r="W63" s="591"/>
    </row>
    <row r="64" spans="1:23" s="589" customFormat="1" x14ac:dyDescent="0.2">
      <c r="A64" s="589" t="s">
        <v>56</v>
      </c>
      <c r="B64" s="589" t="s">
        <v>369</v>
      </c>
      <c r="C64" s="590" t="s">
        <v>2638</v>
      </c>
      <c r="D64" s="589" t="s">
        <v>100</v>
      </c>
      <c r="E64" s="589" t="s">
        <v>104</v>
      </c>
      <c r="F64" s="589" t="s">
        <v>112</v>
      </c>
      <c r="G64" s="589" t="s">
        <v>51</v>
      </c>
      <c r="H64" s="589" t="s">
        <v>242</v>
      </c>
      <c r="I64" s="589" t="s">
        <v>2948</v>
      </c>
      <c r="J64" s="589" t="s">
        <v>35</v>
      </c>
      <c r="K64" s="591">
        <v>5000</v>
      </c>
      <c r="L64" s="592">
        <f>IF(J64="TND",1,IF(J64="EUR",Vertical_Cash_flow!$C$16,IF(J64="USD",Vertical_Cash_flow!$F$16,0)))</f>
        <v>1</v>
      </c>
      <c r="M64" s="593">
        <f t="shared" si="4"/>
        <v>5000</v>
      </c>
      <c r="N64" s="589" t="s">
        <v>251</v>
      </c>
      <c r="O64" s="594">
        <v>45387</v>
      </c>
      <c r="P64" s="593">
        <f t="shared" si="5"/>
        <v>-46</v>
      </c>
      <c r="Q64" s="594">
        <v>45433</v>
      </c>
      <c r="R64" s="593">
        <f t="shared" ca="1" si="6"/>
        <v>8</v>
      </c>
      <c r="S64" s="589" t="str">
        <f>VLOOKUP(Q64,Mapping!L:M,2,0)</f>
        <v>W21_2024</v>
      </c>
      <c r="T64" s="589" t="str">
        <f t="shared" ca="1" si="7"/>
        <v>up to 30 days</v>
      </c>
      <c r="W64" s="591"/>
    </row>
    <row r="65" spans="1:23" s="589" customFormat="1" x14ac:dyDescent="0.2">
      <c r="A65" s="589" t="s">
        <v>56</v>
      </c>
      <c r="B65" s="589" t="s">
        <v>1245</v>
      </c>
      <c r="C65" s="590" t="s">
        <v>1357</v>
      </c>
      <c r="D65" s="589" t="s">
        <v>100</v>
      </c>
      <c r="E65" s="589" t="s">
        <v>104</v>
      </c>
      <c r="F65" s="589" t="s">
        <v>112</v>
      </c>
      <c r="G65" s="589" t="s">
        <v>51</v>
      </c>
      <c r="H65" s="589" t="s">
        <v>242</v>
      </c>
      <c r="I65" s="589" t="s">
        <v>1452</v>
      </c>
      <c r="J65" s="589" t="s">
        <v>35</v>
      </c>
      <c r="K65" s="591">
        <v>2996.2939999999999</v>
      </c>
      <c r="L65" s="592">
        <f>IF(J65="TND",1,IF(J65="EUR",Vertical_Cash_flow!$C$16,IF(J65="USD",Vertical_Cash_flow!$F$16,0)))</f>
        <v>1</v>
      </c>
      <c r="M65" s="593">
        <f t="shared" si="4"/>
        <v>2996.2939999999999</v>
      </c>
      <c r="N65" s="589" t="s">
        <v>251</v>
      </c>
      <c r="O65" s="594">
        <v>45330</v>
      </c>
      <c r="P65" s="593">
        <f t="shared" si="5"/>
        <v>-103</v>
      </c>
      <c r="Q65" s="594">
        <v>45433</v>
      </c>
      <c r="R65" s="593">
        <f t="shared" ca="1" si="6"/>
        <v>8</v>
      </c>
      <c r="S65" s="589" t="str">
        <f>VLOOKUP(Q65,Mapping!L:M,2,0)</f>
        <v>W21_2024</v>
      </c>
      <c r="T65" s="589" t="str">
        <f t="shared" ca="1" si="7"/>
        <v>up to 30 days</v>
      </c>
      <c r="W65" s="591"/>
    </row>
    <row r="66" spans="1:23" s="589" customFormat="1" x14ac:dyDescent="0.2">
      <c r="A66" s="589" t="s">
        <v>56</v>
      </c>
      <c r="B66" s="589" t="s">
        <v>360</v>
      </c>
      <c r="C66" s="590" t="s">
        <v>1126</v>
      </c>
      <c r="D66" s="589" t="s">
        <v>100</v>
      </c>
      <c r="E66" s="589" t="s">
        <v>104</v>
      </c>
      <c r="F66" s="589" t="s">
        <v>112</v>
      </c>
      <c r="G66" s="589" t="s">
        <v>51</v>
      </c>
      <c r="H66" s="589" t="s">
        <v>242</v>
      </c>
      <c r="I66" s="589" t="s">
        <v>1201</v>
      </c>
      <c r="J66" s="589" t="s">
        <v>35</v>
      </c>
      <c r="K66" s="591">
        <v>2652.712</v>
      </c>
      <c r="L66" s="592">
        <f>IF(J66="TND",1,IF(J66="EUR",Vertical_Cash_flow!$C$16,IF(J66="USD",Vertical_Cash_flow!$F$16,0)))</f>
        <v>1</v>
      </c>
      <c r="M66" s="593">
        <f t="shared" si="4"/>
        <v>2652.712</v>
      </c>
      <c r="N66" s="589" t="s">
        <v>251</v>
      </c>
      <c r="O66" s="594">
        <v>45322</v>
      </c>
      <c r="P66" s="593">
        <f t="shared" si="5"/>
        <v>-111</v>
      </c>
      <c r="Q66" s="594">
        <v>45433</v>
      </c>
      <c r="R66" s="593">
        <f t="shared" ca="1" si="6"/>
        <v>8</v>
      </c>
      <c r="S66" s="589" t="str">
        <f>VLOOKUP(Q66,Mapping!L:M,2,0)</f>
        <v>W21_2024</v>
      </c>
      <c r="T66" s="589" t="str">
        <f t="shared" ca="1" si="7"/>
        <v>up to 30 days</v>
      </c>
      <c r="W66" s="591"/>
    </row>
    <row r="67" spans="1:23" s="589" customFormat="1" x14ac:dyDescent="0.2">
      <c r="A67" s="589" t="s">
        <v>56</v>
      </c>
      <c r="B67" s="589" t="s">
        <v>360</v>
      </c>
      <c r="C67" s="590" t="s">
        <v>1902</v>
      </c>
      <c r="D67" s="589" t="s">
        <v>100</v>
      </c>
      <c r="E67" s="589" t="s">
        <v>104</v>
      </c>
      <c r="F67" s="589" t="s">
        <v>112</v>
      </c>
      <c r="G67" s="589" t="s">
        <v>51</v>
      </c>
      <c r="H67" s="589" t="s">
        <v>242</v>
      </c>
      <c r="I67" s="589" t="s">
        <v>2256</v>
      </c>
      <c r="J67" s="589" t="s">
        <v>35</v>
      </c>
      <c r="K67" s="591">
        <v>2353.674</v>
      </c>
      <c r="L67" s="592">
        <f>IF(J67="TND",1,IF(J67="EUR",Vertical_Cash_flow!$C$16,IF(J67="USD",Vertical_Cash_flow!$F$16,0)))</f>
        <v>1</v>
      </c>
      <c r="M67" s="593">
        <f t="shared" si="4"/>
        <v>2353.674</v>
      </c>
      <c r="N67" s="589" t="s">
        <v>251</v>
      </c>
      <c r="O67" s="594">
        <v>45349</v>
      </c>
      <c r="P67" s="593">
        <f t="shared" si="5"/>
        <v>-84</v>
      </c>
      <c r="Q67" s="594">
        <v>45433</v>
      </c>
      <c r="R67" s="593">
        <f t="shared" ca="1" si="6"/>
        <v>8</v>
      </c>
      <c r="S67" s="589" t="str">
        <f>VLOOKUP(Q67,Mapping!L:M,2,0)</f>
        <v>W21_2024</v>
      </c>
      <c r="T67" s="589" t="str">
        <f t="shared" ca="1" si="7"/>
        <v>up to 30 days</v>
      </c>
      <c r="W67" s="591"/>
    </row>
    <row r="68" spans="1:23" s="589" customFormat="1" x14ac:dyDescent="0.2">
      <c r="A68" s="589" t="s">
        <v>56</v>
      </c>
      <c r="B68" s="589" t="s">
        <v>515</v>
      </c>
      <c r="C68" s="590" t="s">
        <v>1900</v>
      </c>
      <c r="D68" s="589" t="s">
        <v>100</v>
      </c>
      <c r="E68" s="589" t="s">
        <v>104</v>
      </c>
      <c r="F68" s="589" t="s">
        <v>112</v>
      </c>
      <c r="G68" s="589" t="s">
        <v>51</v>
      </c>
      <c r="H68" s="589" t="s">
        <v>242</v>
      </c>
      <c r="I68" s="589" t="s">
        <v>2254</v>
      </c>
      <c r="J68" s="589" t="s">
        <v>35</v>
      </c>
      <c r="K68" s="591">
        <v>2000</v>
      </c>
      <c r="L68" s="592">
        <f>IF(J68="TND",1,IF(J68="EUR",Vertical_Cash_flow!$C$16,IF(J68="USD",Vertical_Cash_flow!$F$16,0)))</f>
        <v>1</v>
      </c>
      <c r="M68" s="593">
        <f t="shared" si="4"/>
        <v>2000</v>
      </c>
      <c r="N68" s="589" t="s">
        <v>251</v>
      </c>
      <c r="O68" s="594">
        <v>45373</v>
      </c>
      <c r="P68" s="593">
        <f t="shared" si="5"/>
        <v>-60</v>
      </c>
      <c r="Q68" s="594">
        <v>45433</v>
      </c>
      <c r="R68" s="593">
        <f t="shared" ca="1" si="6"/>
        <v>8</v>
      </c>
      <c r="S68" s="589" t="str">
        <f>VLOOKUP(Q68,Mapping!L:M,2,0)</f>
        <v>W21_2024</v>
      </c>
      <c r="T68" s="589" t="str">
        <f t="shared" ca="1" si="7"/>
        <v>up to 30 days</v>
      </c>
      <c r="W68" s="591"/>
    </row>
    <row r="69" spans="1:23" s="589" customFormat="1" x14ac:dyDescent="0.2">
      <c r="A69" s="589" t="s">
        <v>56</v>
      </c>
      <c r="B69" s="589" t="s">
        <v>314</v>
      </c>
      <c r="C69" s="590" t="s">
        <v>1901</v>
      </c>
      <c r="D69" s="589" t="s">
        <v>100</v>
      </c>
      <c r="E69" s="589" t="s">
        <v>104</v>
      </c>
      <c r="F69" s="589" t="s">
        <v>112</v>
      </c>
      <c r="G69" s="589" t="s">
        <v>51</v>
      </c>
      <c r="H69" s="589" t="s">
        <v>242</v>
      </c>
      <c r="I69" s="589" t="s">
        <v>2255</v>
      </c>
      <c r="J69" s="589" t="s">
        <v>35</v>
      </c>
      <c r="K69" s="591">
        <v>1763.864</v>
      </c>
      <c r="L69" s="592">
        <f>IF(J69="TND",1,IF(J69="EUR",Vertical_Cash_flow!$C$16,IF(J69="USD",Vertical_Cash_flow!$F$16,0)))</f>
        <v>1</v>
      </c>
      <c r="M69" s="593">
        <f t="shared" si="4"/>
        <v>1763.864</v>
      </c>
      <c r="N69" s="589" t="s">
        <v>251</v>
      </c>
      <c r="O69" s="594">
        <v>45376</v>
      </c>
      <c r="P69" s="593">
        <f t="shared" si="5"/>
        <v>-57</v>
      </c>
      <c r="Q69" s="594">
        <v>45433</v>
      </c>
      <c r="R69" s="593">
        <f t="shared" ca="1" si="6"/>
        <v>8</v>
      </c>
      <c r="S69" s="589" t="str">
        <f>VLOOKUP(Q69,Mapping!L:M,2,0)</f>
        <v>W21_2024</v>
      </c>
      <c r="T69" s="589" t="str">
        <f t="shared" ca="1" si="7"/>
        <v>up to 30 days</v>
      </c>
      <c r="W69" s="591"/>
    </row>
    <row r="70" spans="1:23" s="589" customFormat="1" x14ac:dyDescent="0.2">
      <c r="A70" s="589" t="s">
        <v>56</v>
      </c>
      <c r="B70" s="589" t="s">
        <v>361</v>
      </c>
      <c r="C70" s="590" t="s">
        <v>1356</v>
      </c>
      <c r="D70" s="589" t="s">
        <v>100</v>
      </c>
      <c r="E70" s="589" t="s">
        <v>104</v>
      </c>
      <c r="F70" s="589" t="s">
        <v>112</v>
      </c>
      <c r="G70" s="589" t="s">
        <v>51</v>
      </c>
      <c r="H70" s="589" t="s">
        <v>242</v>
      </c>
      <c r="I70" s="589" t="s">
        <v>1451</v>
      </c>
      <c r="J70" s="589" t="s">
        <v>35</v>
      </c>
      <c r="K70" s="591">
        <v>2425</v>
      </c>
      <c r="L70" s="592">
        <f>IF(J70="TND",1,IF(J70="EUR",Vertical_Cash_flow!$C$16,IF(J70="USD",Vertical_Cash_flow!$F$16,0)))</f>
        <v>1</v>
      </c>
      <c r="M70" s="593">
        <f t="shared" si="4"/>
        <v>2425</v>
      </c>
      <c r="N70" s="589" t="s">
        <v>251</v>
      </c>
      <c r="O70" s="594">
        <v>45334</v>
      </c>
      <c r="P70" s="593">
        <f t="shared" si="5"/>
        <v>-99</v>
      </c>
      <c r="Q70" s="594">
        <v>45433</v>
      </c>
      <c r="R70" s="593">
        <f t="shared" ca="1" si="6"/>
        <v>8</v>
      </c>
      <c r="S70" s="589" t="str">
        <f>VLOOKUP(Q70,Mapping!L:M,2,0)</f>
        <v>W21_2024</v>
      </c>
      <c r="T70" s="589" t="str">
        <f t="shared" ca="1" si="7"/>
        <v>up to 30 days</v>
      </c>
      <c r="W70" s="591"/>
    </row>
    <row r="71" spans="1:23" s="589" customFormat="1" x14ac:dyDescent="0.2">
      <c r="A71" s="589" t="s">
        <v>56</v>
      </c>
      <c r="B71" s="589" t="s">
        <v>1489</v>
      </c>
      <c r="C71" s="590" t="s">
        <v>1905</v>
      </c>
      <c r="D71" s="589" t="s">
        <v>100</v>
      </c>
      <c r="E71" s="589" t="s">
        <v>104</v>
      </c>
      <c r="F71" s="589" t="s">
        <v>112</v>
      </c>
      <c r="G71" s="589" t="s">
        <v>51</v>
      </c>
      <c r="H71" s="589" t="s">
        <v>242</v>
      </c>
      <c r="I71" s="589" t="s">
        <v>2258</v>
      </c>
      <c r="J71" s="589" t="s">
        <v>35</v>
      </c>
      <c r="K71" s="591">
        <v>45953.046999999999</v>
      </c>
      <c r="L71" s="592">
        <f>IF(J71="TND",1,IF(J71="EUR",Vertical_Cash_flow!$C$16,IF(J71="USD",Vertical_Cash_flow!$F$16,0)))</f>
        <v>1</v>
      </c>
      <c r="M71" s="593">
        <f t="shared" si="4"/>
        <v>45953.046999999999</v>
      </c>
      <c r="N71" s="589" t="s">
        <v>251</v>
      </c>
      <c r="O71" s="594">
        <v>45351</v>
      </c>
      <c r="P71" s="593">
        <f t="shared" si="5"/>
        <v>-82</v>
      </c>
      <c r="Q71" s="594">
        <v>45433</v>
      </c>
      <c r="R71" s="593">
        <f t="shared" ca="1" si="6"/>
        <v>8</v>
      </c>
      <c r="S71" s="589" t="str">
        <f>VLOOKUP(Q71,Mapping!L:M,2,0)</f>
        <v>W21_2024</v>
      </c>
      <c r="T71" s="589" t="str">
        <f t="shared" ca="1" si="7"/>
        <v>up to 30 days</v>
      </c>
      <c r="W71" s="591"/>
    </row>
    <row r="72" spans="1:23" s="589" customFormat="1" x14ac:dyDescent="0.2">
      <c r="A72" s="589" t="s">
        <v>56</v>
      </c>
      <c r="B72" s="589" t="s">
        <v>562</v>
      </c>
      <c r="C72" s="590" t="s">
        <v>1355</v>
      </c>
      <c r="D72" s="589" t="s">
        <v>100</v>
      </c>
      <c r="E72" s="589" t="s">
        <v>104</v>
      </c>
      <c r="F72" s="589" t="s">
        <v>112</v>
      </c>
      <c r="G72" s="589" t="s">
        <v>51</v>
      </c>
      <c r="H72" s="589" t="s">
        <v>242</v>
      </c>
      <c r="I72" s="589" t="s">
        <v>1450</v>
      </c>
      <c r="J72" s="589" t="s">
        <v>35</v>
      </c>
      <c r="K72" s="591">
        <v>1952.183</v>
      </c>
      <c r="L72" s="592">
        <f>IF(J72="TND",1,IF(J72="EUR",Vertical_Cash_flow!$C$16,IF(J72="USD",Vertical_Cash_flow!$F$16,0)))</f>
        <v>1</v>
      </c>
      <c r="M72" s="593">
        <f t="shared" si="4"/>
        <v>1952.183</v>
      </c>
      <c r="N72" s="589" t="s">
        <v>251</v>
      </c>
      <c r="O72" s="594">
        <v>45337</v>
      </c>
      <c r="P72" s="593">
        <f t="shared" si="5"/>
        <v>-96</v>
      </c>
      <c r="Q72" s="594">
        <v>45433</v>
      </c>
      <c r="R72" s="593">
        <f t="shared" ca="1" si="6"/>
        <v>8</v>
      </c>
      <c r="S72" s="589" t="str">
        <f>VLOOKUP(Q72,Mapping!L:M,2,0)</f>
        <v>W21_2024</v>
      </c>
      <c r="T72" s="589" t="str">
        <f t="shared" ca="1" si="7"/>
        <v>up to 30 days</v>
      </c>
      <c r="W72" s="591"/>
    </row>
    <row r="73" spans="1:23" s="589" customFormat="1" x14ac:dyDescent="0.2">
      <c r="A73" s="589" t="s">
        <v>56</v>
      </c>
      <c r="B73" s="589" t="s">
        <v>1490</v>
      </c>
      <c r="C73" s="590" t="s">
        <v>1904</v>
      </c>
      <c r="D73" s="589" t="s">
        <v>100</v>
      </c>
      <c r="E73" s="589" t="s">
        <v>104</v>
      </c>
      <c r="F73" s="589" t="s">
        <v>112</v>
      </c>
      <c r="G73" s="589" t="s">
        <v>51</v>
      </c>
      <c r="H73" s="589" t="s">
        <v>242</v>
      </c>
      <c r="I73" s="589" t="s">
        <v>2257</v>
      </c>
      <c r="J73" s="589" t="s">
        <v>35</v>
      </c>
      <c r="K73" s="591">
        <v>5095.598</v>
      </c>
      <c r="L73" s="592">
        <f>IF(J73="TND",1,IF(J73="EUR",Vertical_Cash_flow!$C$16,IF(J73="USD",Vertical_Cash_flow!$F$16,0)))</f>
        <v>1</v>
      </c>
      <c r="M73" s="593">
        <f t="shared" si="4"/>
        <v>5095.598</v>
      </c>
      <c r="N73" s="589" t="s">
        <v>251</v>
      </c>
      <c r="O73" s="594">
        <v>45351</v>
      </c>
      <c r="P73" s="593">
        <f t="shared" si="5"/>
        <v>-82</v>
      </c>
      <c r="Q73" s="594">
        <v>45433</v>
      </c>
      <c r="R73" s="593">
        <f t="shared" ca="1" si="6"/>
        <v>8</v>
      </c>
      <c r="S73" s="589" t="str">
        <f>VLOOKUP(Q73,Mapping!L:M,2,0)</f>
        <v>W21_2024</v>
      </c>
      <c r="T73" s="589" t="str">
        <f t="shared" ca="1" si="7"/>
        <v>up to 30 days</v>
      </c>
      <c r="W73" s="591"/>
    </row>
    <row r="74" spans="1:23" s="589" customFormat="1" x14ac:dyDescent="0.2">
      <c r="A74" s="589" t="s">
        <v>56</v>
      </c>
      <c r="B74" s="589" t="s">
        <v>632</v>
      </c>
      <c r="C74" s="590" t="s">
        <v>1124</v>
      </c>
      <c r="D74" s="589" t="s">
        <v>100</v>
      </c>
      <c r="E74" s="589" t="s">
        <v>104</v>
      </c>
      <c r="F74" s="589" t="s">
        <v>112</v>
      </c>
      <c r="G74" s="589" t="s">
        <v>51</v>
      </c>
      <c r="H74" s="589" t="s">
        <v>242</v>
      </c>
      <c r="I74" s="589" t="s">
        <v>1199</v>
      </c>
      <c r="J74" s="589" t="s">
        <v>35</v>
      </c>
      <c r="K74" s="591">
        <v>2229.4650000000001</v>
      </c>
      <c r="L74" s="592">
        <f>IF(J74="TND",1,IF(J74="EUR",Vertical_Cash_flow!$C$16,IF(J74="USD",Vertical_Cash_flow!$F$16,0)))</f>
        <v>1</v>
      </c>
      <c r="M74" s="593">
        <f t="shared" si="4"/>
        <v>2229.4650000000001</v>
      </c>
      <c r="N74" s="589" t="s">
        <v>251</v>
      </c>
      <c r="O74" s="594">
        <v>45317</v>
      </c>
      <c r="P74" s="593">
        <f t="shared" si="5"/>
        <v>-116</v>
      </c>
      <c r="Q74" s="594">
        <v>45433</v>
      </c>
      <c r="R74" s="593">
        <f t="shared" ca="1" si="6"/>
        <v>8</v>
      </c>
      <c r="S74" s="589" t="str">
        <f>VLOOKUP(Q74,Mapping!L:M,2,0)</f>
        <v>W21_2024</v>
      </c>
      <c r="T74" s="589" t="str">
        <f t="shared" ca="1" si="7"/>
        <v>up to 30 days</v>
      </c>
      <c r="W74" s="591"/>
    </row>
    <row r="75" spans="1:23" s="589" customFormat="1" x14ac:dyDescent="0.2">
      <c r="A75" s="589" t="s">
        <v>56</v>
      </c>
      <c r="B75" s="589" t="s">
        <v>353</v>
      </c>
      <c r="C75" s="590" t="s">
        <v>1125</v>
      </c>
      <c r="D75" s="589" t="s">
        <v>100</v>
      </c>
      <c r="E75" s="589" t="s">
        <v>104</v>
      </c>
      <c r="F75" s="589" t="s">
        <v>112</v>
      </c>
      <c r="G75" s="589" t="s">
        <v>51</v>
      </c>
      <c r="H75" s="589" t="s">
        <v>242</v>
      </c>
      <c r="I75" s="589" t="s">
        <v>1200</v>
      </c>
      <c r="J75" s="589" t="s">
        <v>35</v>
      </c>
      <c r="K75" s="591">
        <v>1349.5329999999999</v>
      </c>
      <c r="L75" s="592">
        <f>IF(J75="TND",1,IF(J75="EUR",Vertical_Cash_flow!$C$16,IF(J75="USD",Vertical_Cash_flow!$F$16,0)))</f>
        <v>1</v>
      </c>
      <c r="M75" s="593">
        <f t="shared" si="4"/>
        <v>1349.5329999999999</v>
      </c>
      <c r="N75" s="589" t="s">
        <v>251</v>
      </c>
      <c r="O75" s="594">
        <v>45323</v>
      </c>
      <c r="P75" s="593">
        <f t="shared" si="5"/>
        <v>-110</v>
      </c>
      <c r="Q75" s="594">
        <v>45433</v>
      </c>
      <c r="R75" s="593">
        <f t="shared" ca="1" si="6"/>
        <v>8</v>
      </c>
      <c r="S75" s="589" t="str">
        <f>VLOOKUP(Q75,Mapping!L:M,2,0)</f>
        <v>W21_2024</v>
      </c>
      <c r="T75" s="589" t="str">
        <f t="shared" ca="1" si="7"/>
        <v>up to 30 days</v>
      </c>
      <c r="W75" s="591"/>
    </row>
    <row r="76" spans="1:23" s="589" customFormat="1" x14ac:dyDescent="0.2">
      <c r="A76" s="589" t="s">
        <v>56</v>
      </c>
      <c r="B76" s="589" t="s">
        <v>358</v>
      </c>
      <c r="C76" s="590" t="s">
        <v>1354</v>
      </c>
      <c r="D76" s="589" t="s">
        <v>100</v>
      </c>
      <c r="E76" s="589" t="s">
        <v>104</v>
      </c>
      <c r="F76" s="589" t="s">
        <v>112</v>
      </c>
      <c r="G76" s="589" t="s">
        <v>51</v>
      </c>
      <c r="H76" s="589" t="s">
        <v>242</v>
      </c>
      <c r="I76" s="589" t="s">
        <v>1420</v>
      </c>
      <c r="J76" s="589" t="s">
        <v>35</v>
      </c>
      <c r="K76" s="591">
        <v>2370.663</v>
      </c>
      <c r="L76" s="592">
        <f>IF(J76="TND",1,IF(J76="EUR",Vertical_Cash_flow!$C$16,IF(J76="USD",Vertical_Cash_flow!$F$16,0)))</f>
        <v>1</v>
      </c>
      <c r="M76" s="593">
        <f t="shared" si="4"/>
        <v>2370.663</v>
      </c>
      <c r="N76" s="589" t="s">
        <v>251</v>
      </c>
      <c r="O76" s="594">
        <v>45342</v>
      </c>
      <c r="P76" s="593">
        <f t="shared" si="5"/>
        <v>-91</v>
      </c>
      <c r="Q76" s="594">
        <v>45433</v>
      </c>
      <c r="R76" s="593">
        <f t="shared" ca="1" si="6"/>
        <v>8</v>
      </c>
      <c r="S76" s="589" t="str">
        <f>VLOOKUP(Q76,Mapping!L:M,2,0)</f>
        <v>W21_2024</v>
      </c>
      <c r="T76" s="589" t="str">
        <f t="shared" ca="1" si="7"/>
        <v>up to 30 days</v>
      </c>
      <c r="W76" s="591"/>
    </row>
    <row r="77" spans="1:23" s="589" customFormat="1" x14ac:dyDescent="0.2">
      <c r="A77" s="589" t="s">
        <v>56</v>
      </c>
      <c r="B77" s="589" t="s">
        <v>310</v>
      </c>
      <c r="C77" s="590" t="s">
        <v>1903</v>
      </c>
      <c r="D77" s="589" t="s">
        <v>100</v>
      </c>
      <c r="E77" s="589" t="s">
        <v>104</v>
      </c>
      <c r="F77" s="589" t="s">
        <v>112</v>
      </c>
      <c r="G77" s="589" t="s">
        <v>51</v>
      </c>
      <c r="H77" s="589" t="s">
        <v>242</v>
      </c>
      <c r="I77" s="589" t="s">
        <v>2132</v>
      </c>
      <c r="J77" s="589" t="s">
        <v>35</v>
      </c>
      <c r="K77" s="591">
        <v>1249.7239999999999</v>
      </c>
      <c r="L77" s="592">
        <f>IF(J77="TND",1,IF(J77="EUR",Vertical_Cash_flow!$C$16,IF(J77="USD",Vertical_Cash_flow!$F$16,0)))</f>
        <v>1</v>
      </c>
      <c r="M77" s="593">
        <f t="shared" si="4"/>
        <v>1249.7239999999999</v>
      </c>
      <c r="N77" s="589" t="s">
        <v>251</v>
      </c>
      <c r="O77" s="594">
        <v>45380</v>
      </c>
      <c r="P77" s="593">
        <f t="shared" si="5"/>
        <v>-53</v>
      </c>
      <c r="Q77" s="594">
        <v>45433</v>
      </c>
      <c r="R77" s="593">
        <f t="shared" ca="1" si="6"/>
        <v>8</v>
      </c>
      <c r="S77" s="589" t="str">
        <f>VLOOKUP(Q77,Mapping!L:M,2,0)</f>
        <v>W21_2024</v>
      </c>
      <c r="T77" s="589" t="str">
        <f t="shared" ca="1" si="7"/>
        <v>up to 30 days</v>
      </c>
      <c r="W77" s="591"/>
    </row>
    <row r="78" spans="1:23" s="589" customFormat="1" x14ac:dyDescent="0.2">
      <c r="A78" s="589" t="s">
        <v>56</v>
      </c>
      <c r="B78" s="589" t="s">
        <v>288</v>
      </c>
      <c r="C78" s="590" t="s">
        <v>1123</v>
      </c>
      <c r="D78" s="589" t="s">
        <v>100</v>
      </c>
      <c r="E78" s="589" t="s">
        <v>104</v>
      </c>
      <c r="F78" s="589" t="s">
        <v>112</v>
      </c>
      <c r="G78" s="589" t="s">
        <v>51</v>
      </c>
      <c r="H78" s="589" t="s">
        <v>242</v>
      </c>
      <c r="I78" s="589" t="s">
        <v>1198</v>
      </c>
      <c r="J78" s="589" t="s">
        <v>35</v>
      </c>
      <c r="K78" s="591">
        <v>1280</v>
      </c>
      <c r="L78" s="592">
        <f>IF(J78="TND",1,IF(J78="EUR",Vertical_Cash_flow!$C$16,IF(J78="USD",Vertical_Cash_flow!$F$16,0)))</f>
        <v>1</v>
      </c>
      <c r="M78" s="593">
        <f t="shared" si="4"/>
        <v>1280</v>
      </c>
      <c r="N78" s="589" t="s">
        <v>251</v>
      </c>
      <c r="O78" s="594">
        <v>45322</v>
      </c>
      <c r="P78" s="593">
        <f t="shared" si="5"/>
        <v>-111</v>
      </c>
      <c r="Q78" s="594">
        <v>45433</v>
      </c>
      <c r="R78" s="593">
        <f t="shared" ca="1" si="6"/>
        <v>8</v>
      </c>
      <c r="S78" s="589" t="str">
        <f>VLOOKUP(Q78,Mapping!L:M,2,0)</f>
        <v>W21_2024</v>
      </c>
      <c r="T78" s="589" t="str">
        <f t="shared" ca="1" si="7"/>
        <v>up to 30 days</v>
      </c>
      <c r="W78" s="591"/>
    </row>
    <row r="79" spans="1:23" s="589" customFormat="1" x14ac:dyDescent="0.2">
      <c r="A79" s="589" t="s">
        <v>56</v>
      </c>
      <c r="B79" s="589" t="s">
        <v>348</v>
      </c>
      <c r="C79" s="590" t="s">
        <v>1122</v>
      </c>
      <c r="D79" s="589" t="s">
        <v>100</v>
      </c>
      <c r="E79" s="589" t="s">
        <v>104</v>
      </c>
      <c r="F79" s="589" t="s">
        <v>112</v>
      </c>
      <c r="G79" s="589" t="s">
        <v>51</v>
      </c>
      <c r="H79" s="589" t="s">
        <v>242</v>
      </c>
      <c r="I79" s="589" t="s">
        <v>1197</v>
      </c>
      <c r="J79" s="589" t="s">
        <v>35</v>
      </c>
      <c r="K79" s="591">
        <v>4000</v>
      </c>
      <c r="L79" s="592">
        <f>IF(J79="TND",1,IF(J79="EUR",Vertical_Cash_flow!$C$16,IF(J79="USD",Vertical_Cash_flow!$F$16,0)))</f>
        <v>1</v>
      </c>
      <c r="M79" s="593">
        <f t="shared" si="4"/>
        <v>4000</v>
      </c>
      <c r="N79" s="589" t="s">
        <v>251</v>
      </c>
      <c r="O79" s="594">
        <v>45310</v>
      </c>
      <c r="P79" s="593">
        <f t="shared" si="5"/>
        <v>-123</v>
      </c>
      <c r="Q79" s="594">
        <v>45433</v>
      </c>
      <c r="R79" s="593">
        <f t="shared" ca="1" si="6"/>
        <v>8</v>
      </c>
      <c r="S79" s="589" t="str">
        <f>VLOOKUP(Q79,Mapping!L:M,2,0)</f>
        <v>W21_2024</v>
      </c>
      <c r="T79" s="589" t="str">
        <f t="shared" ca="1" si="7"/>
        <v>up to 30 days</v>
      </c>
      <c r="W79" s="591"/>
    </row>
    <row r="80" spans="1:23" s="589" customFormat="1" x14ac:dyDescent="0.2">
      <c r="A80" s="589" t="s">
        <v>56</v>
      </c>
      <c r="B80" s="589" t="s">
        <v>808</v>
      </c>
      <c r="C80" s="590" t="s">
        <v>1353</v>
      </c>
      <c r="D80" s="589" t="s">
        <v>100</v>
      </c>
      <c r="E80" s="589" t="s">
        <v>104</v>
      </c>
      <c r="F80" s="589" t="s">
        <v>112</v>
      </c>
      <c r="G80" s="589" t="s">
        <v>51</v>
      </c>
      <c r="H80" s="589" t="s">
        <v>242</v>
      </c>
      <c r="I80" s="589" t="s">
        <v>1449</v>
      </c>
      <c r="J80" s="589" t="s">
        <v>35</v>
      </c>
      <c r="K80" s="591">
        <v>4000</v>
      </c>
      <c r="L80" s="592">
        <f>IF(J80="TND",1,IF(J80="EUR",Vertical_Cash_flow!$C$16,IF(J80="USD",Vertical_Cash_flow!$F$16,0)))</f>
        <v>1</v>
      </c>
      <c r="M80" s="593">
        <f t="shared" si="4"/>
        <v>4000</v>
      </c>
      <c r="N80" s="589" t="s">
        <v>251</v>
      </c>
      <c r="O80" s="594">
        <v>45328</v>
      </c>
      <c r="P80" s="593">
        <f t="shared" si="5"/>
        <v>-105</v>
      </c>
      <c r="Q80" s="594">
        <v>45433</v>
      </c>
      <c r="R80" s="593">
        <f t="shared" ca="1" si="6"/>
        <v>8</v>
      </c>
      <c r="S80" s="589" t="str">
        <f>VLOOKUP(Q80,Mapping!L:M,2,0)</f>
        <v>W21_2024</v>
      </c>
      <c r="T80" s="589" t="str">
        <f t="shared" ca="1" si="7"/>
        <v>up to 30 days</v>
      </c>
      <c r="W80" s="591"/>
    </row>
    <row r="81" spans="1:23" s="589" customFormat="1" x14ac:dyDescent="0.2">
      <c r="A81" s="589" t="s">
        <v>56</v>
      </c>
      <c r="B81" s="589" t="s">
        <v>396</v>
      </c>
      <c r="C81" s="590" t="s">
        <v>1899</v>
      </c>
      <c r="D81" s="589" t="s">
        <v>100</v>
      </c>
      <c r="E81" s="589" t="s">
        <v>104</v>
      </c>
      <c r="F81" s="589" t="s">
        <v>112</v>
      </c>
      <c r="G81" s="589" t="s">
        <v>51</v>
      </c>
      <c r="H81" s="589" t="s">
        <v>242</v>
      </c>
      <c r="I81" s="589" t="s">
        <v>2253</v>
      </c>
      <c r="J81" s="589" t="s">
        <v>35</v>
      </c>
      <c r="K81" s="591">
        <v>834</v>
      </c>
      <c r="L81" s="592">
        <f>IF(J81="TND",1,IF(J81="EUR",Vertical_Cash_flow!$C$16,IF(J81="USD",Vertical_Cash_flow!$F$16,0)))</f>
        <v>1</v>
      </c>
      <c r="M81" s="593">
        <f t="shared" si="4"/>
        <v>834</v>
      </c>
      <c r="N81" s="589" t="s">
        <v>251</v>
      </c>
      <c r="O81" s="594">
        <v>45350</v>
      </c>
      <c r="P81" s="593">
        <f t="shared" si="5"/>
        <v>-83</v>
      </c>
      <c r="Q81" s="594">
        <v>45433</v>
      </c>
      <c r="R81" s="593">
        <f t="shared" ca="1" si="6"/>
        <v>8</v>
      </c>
      <c r="S81" s="589" t="str">
        <f>VLOOKUP(Q81,Mapping!L:M,2,0)</f>
        <v>W21_2024</v>
      </c>
      <c r="T81" s="589" t="str">
        <f t="shared" ca="1" si="7"/>
        <v>up to 30 days</v>
      </c>
      <c r="W81" s="591"/>
    </row>
    <row r="82" spans="1:23" s="589" customFormat="1" x14ac:dyDescent="0.2">
      <c r="A82" s="589" t="s">
        <v>56</v>
      </c>
      <c r="B82" s="589" t="s">
        <v>734</v>
      </c>
      <c r="C82" s="590" t="s">
        <v>1898</v>
      </c>
      <c r="D82" s="589" t="s">
        <v>100</v>
      </c>
      <c r="E82" s="589" t="s">
        <v>104</v>
      </c>
      <c r="F82" s="589" t="s">
        <v>112</v>
      </c>
      <c r="G82" s="589" t="s">
        <v>51</v>
      </c>
      <c r="H82" s="589" t="s">
        <v>242</v>
      </c>
      <c r="I82" s="589" t="s">
        <v>2252</v>
      </c>
      <c r="J82" s="589" t="s">
        <v>35</v>
      </c>
      <c r="K82" s="591">
        <v>1236.0219999999999</v>
      </c>
      <c r="L82" s="592">
        <f>IF(J82="TND",1,IF(J82="EUR",Vertical_Cash_flow!$C$16,IF(J82="USD",Vertical_Cash_flow!$F$16,0)))</f>
        <v>1</v>
      </c>
      <c r="M82" s="593">
        <f t="shared" si="4"/>
        <v>1236.0219999999999</v>
      </c>
      <c r="N82" s="589" t="s">
        <v>251</v>
      </c>
      <c r="O82" s="594">
        <v>45349</v>
      </c>
      <c r="P82" s="593">
        <f t="shared" si="5"/>
        <v>-84</v>
      </c>
      <c r="Q82" s="594">
        <v>45433</v>
      </c>
      <c r="R82" s="593">
        <f t="shared" ca="1" si="6"/>
        <v>8</v>
      </c>
      <c r="S82" s="589" t="str">
        <f>VLOOKUP(Q82,Mapping!L:M,2,0)</f>
        <v>W21_2024</v>
      </c>
      <c r="T82" s="589" t="str">
        <f t="shared" ca="1" si="7"/>
        <v>up to 30 days</v>
      </c>
      <c r="W82" s="591"/>
    </row>
    <row r="83" spans="1:23" s="589" customFormat="1" x14ac:dyDescent="0.2">
      <c r="A83" s="589" t="s">
        <v>56</v>
      </c>
      <c r="B83" s="589" t="s">
        <v>405</v>
      </c>
      <c r="C83" s="590" t="s">
        <v>2637</v>
      </c>
      <c r="D83" s="589" t="s">
        <v>100</v>
      </c>
      <c r="E83" s="589" t="s">
        <v>104</v>
      </c>
      <c r="F83" s="589" t="s">
        <v>112</v>
      </c>
      <c r="G83" s="589" t="s">
        <v>51</v>
      </c>
      <c r="H83" s="589" t="s">
        <v>242</v>
      </c>
      <c r="I83" s="589" t="s">
        <v>2947</v>
      </c>
      <c r="J83" s="589" t="s">
        <v>35</v>
      </c>
      <c r="K83" s="591">
        <v>1031</v>
      </c>
      <c r="L83" s="592">
        <f>IF(J83="TND",1,IF(J83="EUR",Vertical_Cash_flow!$C$16,IF(J83="USD",Vertical_Cash_flow!$F$16,0)))</f>
        <v>1</v>
      </c>
      <c r="M83" s="593">
        <f t="shared" si="4"/>
        <v>1031</v>
      </c>
      <c r="N83" s="589" t="s">
        <v>251</v>
      </c>
      <c r="O83" s="594">
        <v>45397</v>
      </c>
      <c r="P83" s="593">
        <f t="shared" si="5"/>
        <v>-36</v>
      </c>
      <c r="Q83" s="594">
        <v>45433</v>
      </c>
      <c r="R83" s="593">
        <f t="shared" ca="1" si="6"/>
        <v>8</v>
      </c>
      <c r="S83" s="589" t="str">
        <f>VLOOKUP(Q83,Mapping!L:M,2,0)</f>
        <v>W21_2024</v>
      </c>
      <c r="T83" s="589" t="str">
        <f t="shared" ca="1" si="7"/>
        <v>up to 30 days</v>
      </c>
      <c r="W83" s="591"/>
    </row>
    <row r="84" spans="1:23" s="589" customFormat="1" x14ac:dyDescent="0.2">
      <c r="A84" s="589" t="s">
        <v>56</v>
      </c>
      <c r="B84" s="589" t="s">
        <v>716</v>
      </c>
      <c r="C84" s="590" t="s">
        <v>2636</v>
      </c>
      <c r="D84" s="589" t="s">
        <v>100</v>
      </c>
      <c r="E84" s="589" t="s">
        <v>104</v>
      </c>
      <c r="F84" s="589" t="s">
        <v>112</v>
      </c>
      <c r="G84" s="589" t="s">
        <v>51</v>
      </c>
      <c r="H84" s="589" t="s">
        <v>242</v>
      </c>
      <c r="I84" s="589" t="s">
        <v>2946</v>
      </c>
      <c r="J84" s="589" t="s">
        <v>35</v>
      </c>
      <c r="K84" s="591">
        <v>185</v>
      </c>
      <c r="L84" s="592">
        <f>IF(J84="TND",1,IF(J84="EUR",Vertical_Cash_flow!$C$16,IF(J84="USD",Vertical_Cash_flow!$F$16,0)))</f>
        <v>1</v>
      </c>
      <c r="M84" s="593">
        <f t="shared" si="4"/>
        <v>185</v>
      </c>
      <c r="N84" s="589" t="s">
        <v>251</v>
      </c>
      <c r="O84" s="594">
        <v>45399</v>
      </c>
      <c r="P84" s="593">
        <f t="shared" si="5"/>
        <v>-34</v>
      </c>
      <c r="Q84" s="594">
        <v>45433</v>
      </c>
      <c r="R84" s="593">
        <f t="shared" ca="1" si="6"/>
        <v>8</v>
      </c>
      <c r="S84" s="589" t="str">
        <f>VLOOKUP(Q84,Mapping!L:M,2,0)</f>
        <v>W21_2024</v>
      </c>
      <c r="T84" s="589" t="str">
        <f t="shared" ca="1" si="7"/>
        <v>up to 30 days</v>
      </c>
      <c r="W84" s="591"/>
    </row>
    <row r="85" spans="1:23" s="589" customFormat="1" x14ac:dyDescent="0.2">
      <c r="A85" s="589" t="s">
        <v>56</v>
      </c>
      <c r="B85" s="589" t="s">
        <v>278</v>
      </c>
      <c r="C85" s="590" t="s">
        <v>953</v>
      </c>
      <c r="D85" s="589" t="s">
        <v>100</v>
      </c>
      <c r="E85" s="589" t="s">
        <v>104</v>
      </c>
      <c r="F85" s="589" t="s">
        <v>112</v>
      </c>
      <c r="G85" s="589" t="s">
        <v>51</v>
      </c>
      <c r="H85" s="589" t="s">
        <v>242</v>
      </c>
      <c r="I85" s="589" t="s">
        <v>960</v>
      </c>
      <c r="J85" s="589" t="s">
        <v>35</v>
      </c>
      <c r="K85" s="591">
        <v>1500</v>
      </c>
      <c r="L85" s="592">
        <f>IF(J85="TND",1,IF(J85="EUR",Vertical_Cash_flow!$C$16,IF(J85="USD",Vertical_Cash_flow!$F$16,0)))</f>
        <v>1</v>
      </c>
      <c r="M85" s="593">
        <f t="shared" ref="M85:M148" si="8">K85/L85</f>
        <v>1500</v>
      </c>
      <c r="N85" s="589" t="s">
        <v>251</v>
      </c>
      <c r="O85" s="594">
        <v>45252</v>
      </c>
      <c r="P85" s="593">
        <f t="shared" ref="P85:P148" si="9">O85-Q85</f>
        <v>-181</v>
      </c>
      <c r="Q85" s="594">
        <v>45433</v>
      </c>
      <c r="R85" s="593">
        <f t="shared" ref="R85:R148" ca="1" si="10">$W$1-Q85</f>
        <v>8</v>
      </c>
      <c r="S85" s="589" t="str">
        <f>VLOOKUP(Q85,Mapping!L:M,2,0)</f>
        <v>W21_2024</v>
      </c>
      <c r="T85" s="589" t="str">
        <f t="shared" ref="T85:T148" ca="1" si="11">IF(R85="","",IF(R85&lt;0,"Not Due",IF(AND(R85&gt;=0,R85&lt;=30),"up to 30 days",IF(AND(R85&gt;30,R85&lt;=60),"30-60 days",IF(AND(R85&gt;60,R85&lt;=90),"60-90 days",IF(AND(R85&gt;90,R85&lt;=120),"90-120 days",IF(AND(R85&gt;120,R85&lt;=180),"120-180 days",IF(AND(R85&gt;180,R85&lt;=360),"180-360 days",IF(R85&gt;360,"more than 360 days","ok")))))))))</f>
        <v>up to 30 days</v>
      </c>
      <c r="W85" s="591"/>
    </row>
    <row r="86" spans="1:23" s="589" customFormat="1" x14ac:dyDescent="0.2">
      <c r="A86" s="589" t="s">
        <v>56</v>
      </c>
      <c r="B86" s="589" t="s">
        <v>387</v>
      </c>
      <c r="C86" s="590" t="s">
        <v>1351</v>
      </c>
      <c r="D86" s="589" t="s">
        <v>100</v>
      </c>
      <c r="E86" s="589" t="s">
        <v>104</v>
      </c>
      <c r="F86" s="589" t="s">
        <v>112</v>
      </c>
      <c r="G86" s="589" t="s">
        <v>51</v>
      </c>
      <c r="H86" s="589" t="s">
        <v>242</v>
      </c>
      <c r="I86" s="589" t="s">
        <v>1447</v>
      </c>
      <c r="J86" s="589" t="s">
        <v>35</v>
      </c>
      <c r="K86" s="591">
        <v>1125.702</v>
      </c>
      <c r="L86" s="592">
        <f>IF(J86="TND",1,IF(J86="EUR",Vertical_Cash_flow!$C$16,IF(J86="USD",Vertical_Cash_flow!$F$16,0)))</f>
        <v>1</v>
      </c>
      <c r="M86" s="593">
        <f t="shared" si="8"/>
        <v>1125.702</v>
      </c>
      <c r="N86" s="589" t="s">
        <v>251</v>
      </c>
      <c r="O86" s="594">
        <v>45328</v>
      </c>
      <c r="P86" s="593">
        <f t="shared" si="9"/>
        <v>-105</v>
      </c>
      <c r="Q86" s="594">
        <v>45433</v>
      </c>
      <c r="R86" s="593">
        <f t="shared" ca="1" si="10"/>
        <v>8</v>
      </c>
      <c r="S86" s="589" t="str">
        <f>VLOOKUP(Q86,Mapping!L:M,2,0)</f>
        <v>W21_2024</v>
      </c>
      <c r="T86" s="589" t="str">
        <f t="shared" ca="1" si="11"/>
        <v>up to 30 days</v>
      </c>
      <c r="W86" s="591"/>
    </row>
    <row r="87" spans="1:23" s="589" customFormat="1" x14ac:dyDescent="0.2">
      <c r="A87" s="589" t="s">
        <v>56</v>
      </c>
      <c r="B87" s="589" t="s">
        <v>1244</v>
      </c>
      <c r="C87" s="590" t="s">
        <v>1352</v>
      </c>
      <c r="D87" s="589" t="s">
        <v>100</v>
      </c>
      <c r="E87" s="589" t="s">
        <v>104</v>
      </c>
      <c r="F87" s="589" t="s">
        <v>112</v>
      </c>
      <c r="G87" s="589" t="s">
        <v>51</v>
      </c>
      <c r="H87" s="589" t="s">
        <v>242</v>
      </c>
      <c r="I87" s="589" t="s">
        <v>1448</v>
      </c>
      <c r="J87" s="589" t="s">
        <v>35</v>
      </c>
      <c r="K87" s="591">
        <v>800</v>
      </c>
      <c r="L87" s="592">
        <f>IF(J87="TND",1,IF(J87="EUR",Vertical_Cash_flow!$C$16,IF(J87="USD",Vertical_Cash_flow!$F$16,0)))</f>
        <v>1</v>
      </c>
      <c r="M87" s="593">
        <f t="shared" si="8"/>
        <v>800</v>
      </c>
      <c r="N87" s="589" t="s">
        <v>251</v>
      </c>
      <c r="O87" s="594">
        <v>45328</v>
      </c>
      <c r="P87" s="593">
        <f t="shared" si="9"/>
        <v>-105</v>
      </c>
      <c r="Q87" s="594">
        <v>45433</v>
      </c>
      <c r="R87" s="593">
        <f t="shared" ca="1" si="10"/>
        <v>8</v>
      </c>
      <c r="S87" s="589" t="str">
        <f>VLOOKUP(Q87,Mapping!L:M,2,0)</f>
        <v>W21_2024</v>
      </c>
      <c r="T87" s="589" t="str">
        <f t="shared" ca="1" si="11"/>
        <v>up to 30 days</v>
      </c>
      <c r="W87" s="591"/>
    </row>
    <row r="88" spans="1:23" s="589" customFormat="1" x14ac:dyDescent="0.2">
      <c r="A88" s="589" t="s">
        <v>56</v>
      </c>
      <c r="B88" s="589" t="s">
        <v>589</v>
      </c>
      <c r="C88" s="590" t="s">
        <v>1120</v>
      </c>
      <c r="D88" s="589" t="s">
        <v>100</v>
      </c>
      <c r="E88" s="589" t="s">
        <v>104</v>
      </c>
      <c r="F88" s="589" t="s">
        <v>112</v>
      </c>
      <c r="G88" s="589" t="s">
        <v>51</v>
      </c>
      <c r="H88" s="589" t="s">
        <v>242</v>
      </c>
      <c r="I88" s="589" t="s">
        <v>1195</v>
      </c>
      <c r="J88" s="589" t="s">
        <v>35</v>
      </c>
      <c r="K88" s="591">
        <v>2600</v>
      </c>
      <c r="L88" s="592">
        <f>IF(J88="TND",1,IF(J88="EUR",Vertical_Cash_flow!$C$16,IF(J88="USD",Vertical_Cash_flow!$F$16,0)))</f>
        <v>1</v>
      </c>
      <c r="M88" s="593">
        <f t="shared" si="8"/>
        <v>2600</v>
      </c>
      <c r="N88" s="589" t="s">
        <v>251</v>
      </c>
      <c r="O88" s="594">
        <v>45322</v>
      </c>
      <c r="P88" s="593">
        <f t="shared" si="9"/>
        <v>-111</v>
      </c>
      <c r="Q88" s="594">
        <v>45433</v>
      </c>
      <c r="R88" s="593">
        <f t="shared" ca="1" si="10"/>
        <v>8</v>
      </c>
      <c r="S88" s="589" t="str">
        <f>VLOOKUP(Q88,Mapping!L:M,2,0)</f>
        <v>W21_2024</v>
      </c>
      <c r="T88" s="589" t="str">
        <f t="shared" ca="1" si="11"/>
        <v>up to 30 days</v>
      </c>
      <c r="W88" s="591"/>
    </row>
    <row r="89" spans="1:23" s="589" customFormat="1" x14ac:dyDescent="0.2">
      <c r="A89" s="589" t="s">
        <v>56</v>
      </c>
      <c r="B89" s="589" t="s">
        <v>345</v>
      </c>
      <c r="C89" s="590" t="s">
        <v>1121</v>
      </c>
      <c r="D89" s="589" t="s">
        <v>100</v>
      </c>
      <c r="E89" s="589" t="s">
        <v>104</v>
      </c>
      <c r="F89" s="589" t="s">
        <v>112</v>
      </c>
      <c r="G89" s="589" t="s">
        <v>51</v>
      </c>
      <c r="H89" s="589" t="s">
        <v>242</v>
      </c>
      <c r="I89" s="589" t="s">
        <v>1196</v>
      </c>
      <c r="J89" s="589" t="s">
        <v>35</v>
      </c>
      <c r="K89" s="591">
        <v>5000</v>
      </c>
      <c r="L89" s="592">
        <f>IF(J89="TND",1,IF(J89="EUR",Vertical_Cash_flow!$C$16,IF(J89="USD",Vertical_Cash_flow!$F$16,0)))</f>
        <v>1</v>
      </c>
      <c r="M89" s="593">
        <f t="shared" si="8"/>
        <v>5000</v>
      </c>
      <c r="N89" s="589" t="s">
        <v>251</v>
      </c>
      <c r="O89" s="594">
        <v>45321</v>
      </c>
      <c r="P89" s="593">
        <f t="shared" si="9"/>
        <v>-112</v>
      </c>
      <c r="Q89" s="594">
        <v>45433</v>
      </c>
      <c r="R89" s="593">
        <f t="shared" ca="1" si="10"/>
        <v>8</v>
      </c>
      <c r="S89" s="589" t="str">
        <f>VLOOKUP(Q89,Mapping!L:M,2,0)</f>
        <v>W21_2024</v>
      </c>
      <c r="T89" s="589" t="str">
        <f t="shared" ca="1" si="11"/>
        <v>up to 30 days</v>
      </c>
      <c r="W89" s="591"/>
    </row>
    <row r="90" spans="1:23" s="589" customFormat="1" x14ac:dyDescent="0.2">
      <c r="A90" s="589" t="s">
        <v>56</v>
      </c>
      <c r="B90" s="589" t="s">
        <v>716</v>
      </c>
      <c r="C90" s="590" t="s">
        <v>1897</v>
      </c>
      <c r="D90" s="589" t="s">
        <v>100</v>
      </c>
      <c r="E90" s="589" t="s">
        <v>104</v>
      </c>
      <c r="F90" s="589" t="s">
        <v>112</v>
      </c>
      <c r="G90" s="589" t="s">
        <v>51</v>
      </c>
      <c r="H90" s="589" t="s">
        <v>242</v>
      </c>
      <c r="I90" s="589" t="s">
        <v>2251</v>
      </c>
      <c r="J90" s="589" t="s">
        <v>35</v>
      </c>
      <c r="K90" s="591">
        <v>1700</v>
      </c>
      <c r="L90" s="592">
        <f>IF(J90="TND",1,IF(J90="EUR",Vertical_Cash_flow!$C$16,IF(J90="USD",Vertical_Cash_flow!$F$16,0)))</f>
        <v>1</v>
      </c>
      <c r="M90" s="593">
        <f t="shared" si="8"/>
        <v>1700</v>
      </c>
      <c r="N90" s="589" t="s">
        <v>251</v>
      </c>
      <c r="O90" s="594">
        <v>45349</v>
      </c>
      <c r="P90" s="593">
        <f t="shared" si="9"/>
        <v>-84</v>
      </c>
      <c r="Q90" s="594">
        <v>45433</v>
      </c>
      <c r="R90" s="593">
        <f t="shared" ca="1" si="10"/>
        <v>8</v>
      </c>
      <c r="S90" s="589" t="str">
        <f>VLOOKUP(Q90,Mapping!L:M,2,0)</f>
        <v>W21_2024</v>
      </c>
      <c r="T90" s="589" t="str">
        <f t="shared" ca="1" si="11"/>
        <v>up to 30 days</v>
      </c>
      <c r="W90" s="591"/>
    </row>
    <row r="91" spans="1:23" s="589" customFormat="1" x14ac:dyDescent="0.2">
      <c r="A91" s="589" t="s">
        <v>56</v>
      </c>
      <c r="B91" s="589" t="s">
        <v>273</v>
      </c>
      <c r="C91" s="590" t="s">
        <v>3585</v>
      </c>
      <c r="D91" s="589" t="s">
        <v>100</v>
      </c>
      <c r="E91" s="589" t="s">
        <v>104</v>
      </c>
      <c r="F91" s="589" t="s">
        <v>112</v>
      </c>
      <c r="G91" s="589" t="s">
        <v>51</v>
      </c>
      <c r="H91" s="589" t="s">
        <v>242</v>
      </c>
      <c r="I91" s="589" t="s">
        <v>3728</v>
      </c>
      <c r="J91" s="589" t="s">
        <v>35</v>
      </c>
      <c r="K91" s="591">
        <v>100</v>
      </c>
      <c r="L91" s="592">
        <f>IF(J91="TND",1,IF(J91="EUR",Vertical_Cash_flow!$C$16,IF(J91="USD",Vertical_Cash_flow!$F$16,0)))</f>
        <v>1</v>
      </c>
      <c r="M91" s="593">
        <f t="shared" si="8"/>
        <v>100</v>
      </c>
      <c r="N91" s="589" t="s">
        <v>251</v>
      </c>
      <c r="O91" s="594">
        <v>45427</v>
      </c>
      <c r="P91" s="593">
        <f t="shared" si="9"/>
        <v>-6</v>
      </c>
      <c r="Q91" s="594">
        <v>45433</v>
      </c>
      <c r="R91" s="593">
        <f t="shared" ca="1" si="10"/>
        <v>8</v>
      </c>
      <c r="S91" s="589" t="str">
        <f>VLOOKUP(Q91,Mapping!L:M,2,0)</f>
        <v>W21_2024</v>
      </c>
      <c r="T91" s="589" t="str">
        <f t="shared" ca="1" si="11"/>
        <v>up to 30 days</v>
      </c>
      <c r="W91" s="591"/>
    </row>
    <row r="92" spans="1:23" s="589" customFormat="1" x14ac:dyDescent="0.2">
      <c r="A92" s="589" t="s">
        <v>56</v>
      </c>
      <c r="B92" s="589" t="s">
        <v>482</v>
      </c>
      <c r="C92" s="590" t="s">
        <v>1116</v>
      </c>
      <c r="D92" s="589" t="s">
        <v>100</v>
      </c>
      <c r="E92" s="589" t="s">
        <v>104</v>
      </c>
      <c r="F92" s="589" t="s">
        <v>112</v>
      </c>
      <c r="G92" s="589" t="s">
        <v>51</v>
      </c>
      <c r="H92" s="589" t="s">
        <v>242</v>
      </c>
      <c r="I92" s="589" t="s">
        <v>1191</v>
      </c>
      <c r="J92" s="589" t="s">
        <v>35</v>
      </c>
      <c r="K92" s="591">
        <v>1350</v>
      </c>
      <c r="L92" s="592">
        <f>IF(J92="TND",1,IF(J92="EUR",Vertical_Cash_flow!$C$16,IF(J92="USD",Vertical_Cash_flow!$F$16,0)))</f>
        <v>1</v>
      </c>
      <c r="M92" s="593">
        <f t="shared" si="8"/>
        <v>1350</v>
      </c>
      <c r="N92" s="589" t="s">
        <v>251</v>
      </c>
      <c r="O92" s="594">
        <v>45317</v>
      </c>
      <c r="P92" s="593">
        <f t="shared" si="9"/>
        <v>-116</v>
      </c>
      <c r="Q92" s="594">
        <v>45433</v>
      </c>
      <c r="R92" s="593">
        <f t="shared" ca="1" si="10"/>
        <v>8</v>
      </c>
      <c r="S92" s="589" t="str">
        <f>VLOOKUP(Q92,Mapping!L:M,2,0)</f>
        <v>W21_2024</v>
      </c>
      <c r="T92" s="589" t="str">
        <f t="shared" ca="1" si="11"/>
        <v>up to 30 days</v>
      </c>
      <c r="W92" s="591"/>
    </row>
    <row r="93" spans="1:23" s="589" customFormat="1" x14ac:dyDescent="0.2">
      <c r="A93" s="589" t="s">
        <v>56</v>
      </c>
      <c r="B93" s="589" t="s">
        <v>482</v>
      </c>
      <c r="C93" s="590" t="s">
        <v>1117</v>
      </c>
      <c r="D93" s="589" t="s">
        <v>100</v>
      </c>
      <c r="E93" s="589" t="s">
        <v>104</v>
      </c>
      <c r="F93" s="589" t="s">
        <v>112</v>
      </c>
      <c r="G93" s="589" t="s">
        <v>51</v>
      </c>
      <c r="H93" s="589" t="s">
        <v>242</v>
      </c>
      <c r="I93" s="589" t="s">
        <v>1192</v>
      </c>
      <c r="J93" s="589" t="s">
        <v>35</v>
      </c>
      <c r="K93" s="591">
        <v>1350</v>
      </c>
      <c r="L93" s="592">
        <f>IF(J93="TND",1,IF(J93="EUR",Vertical_Cash_flow!$C$16,IF(J93="USD",Vertical_Cash_flow!$F$16,0)))</f>
        <v>1</v>
      </c>
      <c r="M93" s="593">
        <f t="shared" si="8"/>
        <v>1350</v>
      </c>
      <c r="N93" s="589" t="s">
        <v>251</v>
      </c>
      <c r="O93" s="594">
        <v>45317</v>
      </c>
      <c r="P93" s="593">
        <f t="shared" si="9"/>
        <v>-116</v>
      </c>
      <c r="Q93" s="594">
        <v>45433</v>
      </c>
      <c r="R93" s="593">
        <f t="shared" ca="1" si="10"/>
        <v>8</v>
      </c>
      <c r="S93" s="589" t="str">
        <f>VLOOKUP(Q93,Mapping!L:M,2,0)</f>
        <v>W21_2024</v>
      </c>
      <c r="T93" s="589" t="str">
        <f t="shared" ca="1" si="11"/>
        <v>up to 30 days</v>
      </c>
      <c r="W93" s="591"/>
    </row>
    <row r="94" spans="1:23" s="589" customFormat="1" x14ac:dyDescent="0.2">
      <c r="A94" s="589" t="s">
        <v>56</v>
      </c>
      <c r="B94" s="589" t="s">
        <v>482</v>
      </c>
      <c r="C94" s="590" t="s">
        <v>1118</v>
      </c>
      <c r="D94" s="589" t="s">
        <v>100</v>
      </c>
      <c r="E94" s="589" t="s">
        <v>104</v>
      </c>
      <c r="F94" s="589" t="s">
        <v>112</v>
      </c>
      <c r="G94" s="589" t="s">
        <v>51</v>
      </c>
      <c r="H94" s="589" t="s">
        <v>242</v>
      </c>
      <c r="I94" s="589" t="s">
        <v>1193</v>
      </c>
      <c r="J94" s="589" t="s">
        <v>35</v>
      </c>
      <c r="K94" s="591">
        <v>1350</v>
      </c>
      <c r="L94" s="592">
        <f>IF(J94="TND",1,IF(J94="EUR",Vertical_Cash_flow!$C$16,IF(J94="USD",Vertical_Cash_flow!$F$16,0)))</f>
        <v>1</v>
      </c>
      <c r="M94" s="593">
        <f t="shared" si="8"/>
        <v>1350</v>
      </c>
      <c r="N94" s="589" t="s">
        <v>251</v>
      </c>
      <c r="O94" s="594">
        <v>45317</v>
      </c>
      <c r="P94" s="593">
        <f t="shared" si="9"/>
        <v>-116</v>
      </c>
      <c r="Q94" s="594">
        <v>45433</v>
      </c>
      <c r="R94" s="593">
        <f t="shared" ca="1" si="10"/>
        <v>8</v>
      </c>
      <c r="S94" s="589" t="str">
        <f>VLOOKUP(Q94,Mapping!L:M,2,0)</f>
        <v>W21_2024</v>
      </c>
      <c r="T94" s="589" t="str">
        <f t="shared" ca="1" si="11"/>
        <v>up to 30 days</v>
      </c>
      <c r="W94" s="591"/>
    </row>
    <row r="95" spans="1:23" s="589" customFormat="1" x14ac:dyDescent="0.2">
      <c r="A95" s="589" t="s">
        <v>56</v>
      </c>
      <c r="B95" s="589" t="s">
        <v>722</v>
      </c>
      <c r="C95" s="590" t="s">
        <v>1896</v>
      </c>
      <c r="D95" s="589" t="s">
        <v>100</v>
      </c>
      <c r="E95" s="589" t="s">
        <v>104</v>
      </c>
      <c r="F95" s="589" t="s">
        <v>112</v>
      </c>
      <c r="G95" s="589" t="s">
        <v>51</v>
      </c>
      <c r="H95" s="589" t="s">
        <v>242</v>
      </c>
      <c r="I95" s="589" t="s">
        <v>2250</v>
      </c>
      <c r="J95" s="589" t="s">
        <v>35</v>
      </c>
      <c r="K95" s="591">
        <v>1866.1279999999999</v>
      </c>
      <c r="L95" s="592">
        <f>IF(J95="TND",1,IF(J95="EUR",Vertical_Cash_flow!$C$16,IF(J95="USD",Vertical_Cash_flow!$F$16,0)))</f>
        <v>1</v>
      </c>
      <c r="M95" s="593">
        <f t="shared" si="8"/>
        <v>1866.1279999999999</v>
      </c>
      <c r="N95" s="589" t="s">
        <v>251</v>
      </c>
      <c r="O95" s="594">
        <v>45366</v>
      </c>
      <c r="P95" s="593">
        <f t="shared" si="9"/>
        <v>-67</v>
      </c>
      <c r="Q95" s="594">
        <v>45433</v>
      </c>
      <c r="R95" s="593">
        <f t="shared" ca="1" si="10"/>
        <v>8</v>
      </c>
      <c r="S95" s="589" t="str">
        <f>VLOOKUP(Q95,Mapping!L:M,2,0)</f>
        <v>W21_2024</v>
      </c>
      <c r="T95" s="589" t="str">
        <f t="shared" ca="1" si="11"/>
        <v>up to 30 days</v>
      </c>
      <c r="W95" s="591"/>
    </row>
    <row r="96" spans="1:23" s="589" customFormat="1" x14ac:dyDescent="0.2">
      <c r="A96" s="589" t="s">
        <v>56</v>
      </c>
      <c r="B96" s="589" t="s">
        <v>482</v>
      </c>
      <c r="C96" s="590" t="s">
        <v>1119</v>
      </c>
      <c r="D96" s="589" t="s">
        <v>100</v>
      </c>
      <c r="E96" s="589" t="s">
        <v>104</v>
      </c>
      <c r="F96" s="589" t="s">
        <v>112</v>
      </c>
      <c r="G96" s="589" t="s">
        <v>51</v>
      </c>
      <c r="H96" s="589" t="s">
        <v>242</v>
      </c>
      <c r="I96" s="589" t="s">
        <v>1194</v>
      </c>
      <c r="J96" s="589" t="s">
        <v>35</v>
      </c>
      <c r="K96" s="591">
        <v>1350</v>
      </c>
      <c r="L96" s="592">
        <f>IF(J96="TND",1,IF(J96="EUR",Vertical_Cash_flow!$C$16,IF(J96="USD",Vertical_Cash_flow!$F$16,0)))</f>
        <v>1</v>
      </c>
      <c r="M96" s="593">
        <f t="shared" si="8"/>
        <v>1350</v>
      </c>
      <c r="N96" s="589" t="s">
        <v>251</v>
      </c>
      <c r="O96" s="594">
        <v>45317</v>
      </c>
      <c r="P96" s="593">
        <f t="shared" si="9"/>
        <v>-116</v>
      </c>
      <c r="Q96" s="594">
        <v>45433</v>
      </c>
      <c r="R96" s="593">
        <f t="shared" ca="1" si="10"/>
        <v>8</v>
      </c>
      <c r="S96" s="589" t="str">
        <f>VLOOKUP(Q96,Mapping!L:M,2,0)</f>
        <v>W21_2024</v>
      </c>
      <c r="T96" s="589" t="str">
        <f t="shared" ca="1" si="11"/>
        <v>up to 30 days</v>
      </c>
      <c r="W96" s="591"/>
    </row>
    <row r="97" spans="1:23" s="589" customFormat="1" x14ac:dyDescent="0.2">
      <c r="A97" s="589" t="s">
        <v>56</v>
      </c>
      <c r="B97" s="589" t="s">
        <v>332</v>
      </c>
      <c r="C97" s="590" t="s">
        <v>1350</v>
      </c>
      <c r="D97" s="589" t="s">
        <v>100</v>
      </c>
      <c r="E97" s="589" t="s">
        <v>104</v>
      </c>
      <c r="F97" s="589" t="s">
        <v>112</v>
      </c>
      <c r="G97" s="589" t="s">
        <v>51</v>
      </c>
      <c r="H97" s="589" t="s">
        <v>242</v>
      </c>
      <c r="I97" s="589" t="s">
        <v>1446</v>
      </c>
      <c r="J97" s="589" t="s">
        <v>35</v>
      </c>
      <c r="K97" s="591">
        <v>1425.9949999999999</v>
      </c>
      <c r="L97" s="592">
        <f>IF(J97="TND",1,IF(J97="EUR",Vertical_Cash_flow!$C$16,IF(J97="USD",Vertical_Cash_flow!$F$16,0)))</f>
        <v>1</v>
      </c>
      <c r="M97" s="593">
        <f t="shared" si="8"/>
        <v>1425.9949999999999</v>
      </c>
      <c r="N97" s="589" t="s">
        <v>251</v>
      </c>
      <c r="O97" s="594">
        <v>45335</v>
      </c>
      <c r="P97" s="593">
        <f t="shared" si="9"/>
        <v>-98</v>
      </c>
      <c r="Q97" s="594">
        <v>45433</v>
      </c>
      <c r="R97" s="593">
        <f t="shared" ca="1" si="10"/>
        <v>8</v>
      </c>
      <c r="S97" s="589" t="str">
        <f>VLOOKUP(Q97,Mapping!L:M,2,0)</f>
        <v>W21_2024</v>
      </c>
      <c r="T97" s="589" t="str">
        <f t="shared" ca="1" si="11"/>
        <v>up to 30 days</v>
      </c>
      <c r="W97" s="591"/>
    </row>
    <row r="98" spans="1:23" s="589" customFormat="1" x14ac:dyDescent="0.2">
      <c r="A98" s="589" t="s">
        <v>56</v>
      </c>
      <c r="B98" s="589" t="s">
        <v>375</v>
      </c>
      <c r="C98" s="590" t="s">
        <v>1895</v>
      </c>
      <c r="D98" s="589" t="s">
        <v>100</v>
      </c>
      <c r="E98" s="589" t="s">
        <v>104</v>
      </c>
      <c r="F98" s="589" t="s">
        <v>112</v>
      </c>
      <c r="G98" s="589" t="s">
        <v>51</v>
      </c>
      <c r="H98" s="589" t="s">
        <v>242</v>
      </c>
      <c r="I98" s="589" t="s">
        <v>2249</v>
      </c>
      <c r="J98" s="589" t="s">
        <v>35</v>
      </c>
      <c r="K98" s="591">
        <v>2785</v>
      </c>
      <c r="L98" s="592">
        <f>IF(J98="TND",1,IF(J98="EUR",Vertical_Cash_flow!$C$16,IF(J98="USD",Vertical_Cash_flow!$F$16,0)))</f>
        <v>1</v>
      </c>
      <c r="M98" s="593">
        <f t="shared" si="8"/>
        <v>2785</v>
      </c>
      <c r="N98" s="589" t="s">
        <v>251</v>
      </c>
      <c r="O98" s="594">
        <v>45350</v>
      </c>
      <c r="P98" s="593">
        <f t="shared" si="9"/>
        <v>-83</v>
      </c>
      <c r="Q98" s="594">
        <v>45433</v>
      </c>
      <c r="R98" s="593">
        <f t="shared" ca="1" si="10"/>
        <v>8</v>
      </c>
      <c r="S98" s="589" t="str">
        <f>VLOOKUP(Q98,Mapping!L:M,2,0)</f>
        <v>W21_2024</v>
      </c>
      <c r="T98" s="589" t="str">
        <f t="shared" ca="1" si="11"/>
        <v>up to 30 days</v>
      </c>
      <c r="W98" s="591"/>
    </row>
    <row r="99" spans="1:23" s="589" customFormat="1" x14ac:dyDescent="0.2">
      <c r="A99" s="589" t="s">
        <v>56</v>
      </c>
      <c r="B99" s="589" t="s">
        <v>810</v>
      </c>
      <c r="C99" s="590" t="s">
        <v>1347</v>
      </c>
      <c r="D99" s="589" t="s">
        <v>100</v>
      </c>
      <c r="E99" s="589" t="s">
        <v>104</v>
      </c>
      <c r="F99" s="589" t="s">
        <v>112</v>
      </c>
      <c r="G99" s="589" t="s">
        <v>51</v>
      </c>
      <c r="H99" s="589" t="s">
        <v>242</v>
      </c>
      <c r="I99" s="589" t="s">
        <v>1428</v>
      </c>
      <c r="J99" s="589" t="s">
        <v>35</v>
      </c>
      <c r="K99" s="591">
        <v>2500</v>
      </c>
      <c r="L99" s="592">
        <f>IF(J99="TND",1,IF(J99="EUR",Vertical_Cash_flow!$C$16,IF(J99="USD",Vertical_Cash_flow!$F$16,0)))</f>
        <v>1</v>
      </c>
      <c r="M99" s="593">
        <f t="shared" si="8"/>
        <v>2500</v>
      </c>
      <c r="N99" s="589" t="s">
        <v>251</v>
      </c>
      <c r="O99" s="594">
        <v>45336</v>
      </c>
      <c r="P99" s="593">
        <f t="shared" si="9"/>
        <v>-97</v>
      </c>
      <c r="Q99" s="594">
        <v>45433</v>
      </c>
      <c r="R99" s="593">
        <f t="shared" ca="1" si="10"/>
        <v>8</v>
      </c>
      <c r="S99" s="589" t="str">
        <f>VLOOKUP(Q99,Mapping!L:M,2,0)</f>
        <v>W21_2024</v>
      </c>
      <c r="T99" s="589" t="str">
        <f t="shared" ca="1" si="11"/>
        <v>up to 30 days</v>
      </c>
      <c r="W99" s="591"/>
    </row>
    <row r="100" spans="1:23" s="589" customFormat="1" x14ac:dyDescent="0.2">
      <c r="A100" s="589" t="s">
        <v>56</v>
      </c>
      <c r="B100" s="589" t="s">
        <v>334</v>
      </c>
      <c r="C100" s="590" t="s">
        <v>1349</v>
      </c>
      <c r="D100" s="589" t="s">
        <v>100</v>
      </c>
      <c r="E100" s="589" t="s">
        <v>104</v>
      </c>
      <c r="F100" s="589" t="s">
        <v>112</v>
      </c>
      <c r="G100" s="589" t="s">
        <v>51</v>
      </c>
      <c r="H100" s="589" t="s">
        <v>242</v>
      </c>
      <c r="I100" s="589" t="s">
        <v>1445</v>
      </c>
      <c r="J100" s="589" t="s">
        <v>35</v>
      </c>
      <c r="K100" s="591">
        <v>800</v>
      </c>
      <c r="L100" s="592">
        <f>IF(J100="TND",1,IF(J100="EUR",Vertical_Cash_flow!$C$16,IF(J100="USD",Vertical_Cash_flow!$F$16,0)))</f>
        <v>1</v>
      </c>
      <c r="M100" s="593">
        <f t="shared" si="8"/>
        <v>800</v>
      </c>
      <c r="N100" s="589" t="s">
        <v>251</v>
      </c>
      <c r="O100" s="594">
        <v>45336</v>
      </c>
      <c r="P100" s="593">
        <f t="shared" si="9"/>
        <v>-97</v>
      </c>
      <c r="Q100" s="594">
        <v>45433</v>
      </c>
      <c r="R100" s="593">
        <f t="shared" ca="1" si="10"/>
        <v>8</v>
      </c>
      <c r="S100" s="589" t="str">
        <f>VLOOKUP(Q100,Mapping!L:M,2,0)</f>
        <v>W21_2024</v>
      </c>
      <c r="T100" s="589" t="str">
        <f t="shared" ca="1" si="11"/>
        <v>up to 30 days</v>
      </c>
      <c r="W100" s="591"/>
    </row>
    <row r="101" spans="1:23" s="589" customFormat="1" x14ac:dyDescent="0.2">
      <c r="A101" s="589" t="s">
        <v>56</v>
      </c>
      <c r="B101" s="589" t="s">
        <v>569</v>
      </c>
      <c r="C101" s="590" t="s">
        <v>1894</v>
      </c>
      <c r="D101" s="589" t="s">
        <v>100</v>
      </c>
      <c r="E101" s="589" t="s">
        <v>104</v>
      </c>
      <c r="F101" s="589" t="s">
        <v>112</v>
      </c>
      <c r="G101" s="589" t="s">
        <v>51</v>
      </c>
      <c r="H101" s="589" t="s">
        <v>242</v>
      </c>
      <c r="I101" s="589" t="s">
        <v>2248</v>
      </c>
      <c r="J101" s="589" t="s">
        <v>35</v>
      </c>
      <c r="K101" s="591">
        <v>1282.8820000000001</v>
      </c>
      <c r="L101" s="592">
        <f>IF(J101="TND",1,IF(J101="EUR",Vertical_Cash_flow!$C$16,IF(J101="USD",Vertical_Cash_flow!$F$16,0)))</f>
        <v>1</v>
      </c>
      <c r="M101" s="593">
        <f t="shared" si="8"/>
        <v>1282.8820000000001</v>
      </c>
      <c r="N101" s="589" t="s">
        <v>251</v>
      </c>
      <c r="O101" s="594">
        <v>45358</v>
      </c>
      <c r="P101" s="593">
        <f t="shared" si="9"/>
        <v>-75</v>
      </c>
      <c r="Q101" s="594">
        <v>45433</v>
      </c>
      <c r="R101" s="593">
        <f t="shared" ca="1" si="10"/>
        <v>8</v>
      </c>
      <c r="S101" s="589" t="str">
        <f>VLOOKUP(Q101,Mapping!L:M,2,0)</f>
        <v>W21_2024</v>
      </c>
      <c r="T101" s="589" t="str">
        <f t="shared" ca="1" si="11"/>
        <v>up to 30 days</v>
      </c>
      <c r="W101" s="591"/>
    </row>
    <row r="102" spans="1:23" s="589" customFormat="1" x14ac:dyDescent="0.2">
      <c r="A102" s="589" t="s">
        <v>56</v>
      </c>
      <c r="B102" s="589" t="s">
        <v>508</v>
      </c>
      <c r="C102" s="590" t="s">
        <v>1348</v>
      </c>
      <c r="D102" s="589" t="s">
        <v>100</v>
      </c>
      <c r="E102" s="589" t="s">
        <v>104</v>
      </c>
      <c r="F102" s="589" t="s">
        <v>112</v>
      </c>
      <c r="G102" s="589" t="s">
        <v>51</v>
      </c>
      <c r="H102" s="589" t="s">
        <v>242</v>
      </c>
      <c r="I102" s="589" t="s">
        <v>1444</v>
      </c>
      <c r="J102" s="589" t="s">
        <v>35</v>
      </c>
      <c r="K102" s="591">
        <v>2491.6460000000002</v>
      </c>
      <c r="L102" s="592">
        <f>IF(J102="TND",1,IF(J102="EUR",Vertical_Cash_flow!$C$16,IF(J102="USD",Vertical_Cash_flow!$F$16,0)))</f>
        <v>1</v>
      </c>
      <c r="M102" s="593">
        <f t="shared" si="8"/>
        <v>2491.6460000000002</v>
      </c>
      <c r="N102" s="589" t="s">
        <v>251</v>
      </c>
      <c r="O102" s="594">
        <v>45343</v>
      </c>
      <c r="P102" s="593">
        <f t="shared" si="9"/>
        <v>-90</v>
      </c>
      <c r="Q102" s="594">
        <v>45433</v>
      </c>
      <c r="R102" s="593">
        <f t="shared" ca="1" si="10"/>
        <v>8</v>
      </c>
      <c r="S102" s="589" t="str">
        <f>VLOOKUP(Q102,Mapping!L:M,2,0)</f>
        <v>W21_2024</v>
      </c>
      <c r="T102" s="589" t="str">
        <f t="shared" ca="1" si="11"/>
        <v>up to 30 days</v>
      </c>
      <c r="W102" s="591"/>
    </row>
    <row r="103" spans="1:23" s="589" customFormat="1" x14ac:dyDescent="0.2">
      <c r="A103" s="589" t="s">
        <v>56</v>
      </c>
      <c r="B103" s="589" t="s">
        <v>940</v>
      </c>
      <c r="C103" s="590" t="s">
        <v>1346</v>
      </c>
      <c r="D103" s="589" t="s">
        <v>100</v>
      </c>
      <c r="E103" s="589" t="s">
        <v>104</v>
      </c>
      <c r="F103" s="589" t="s">
        <v>112</v>
      </c>
      <c r="G103" s="589" t="s">
        <v>51</v>
      </c>
      <c r="H103" s="589" t="s">
        <v>242</v>
      </c>
      <c r="I103" s="589" t="s">
        <v>1443</v>
      </c>
      <c r="J103" s="589" t="s">
        <v>35</v>
      </c>
      <c r="K103" s="591">
        <v>3070</v>
      </c>
      <c r="L103" s="592">
        <f>IF(J103="TND",1,IF(J103="EUR",Vertical_Cash_flow!$C$16,IF(J103="USD",Vertical_Cash_flow!$F$16,0)))</f>
        <v>1</v>
      </c>
      <c r="M103" s="593">
        <f t="shared" si="8"/>
        <v>3070</v>
      </c>
      <c r="N103" s="589" t="s">
        <v>251</v>
      </c>
      <c r="O103" s="594">
        <v>45327</v>
      </c>
      <c r="P103" s="593">
        <f t="shared" si="9"/>
        <v>-106</v>
      </c>
      <c r="Q103" s="594">
        <v>45433</v>
      </c>
      <c r="R103" s="593">
        <f t="shared" ca="1" si="10"/>
        <v>8</v>
      </c>
      <c r="S103" s="589" t="str">
        <f>VLOOKUP(Q103,Mapping!L:M,2,0)</f>
        <v>W21_2024</v>
      </c>
      <c r="T103" s="589" t="str">
        <f t="shared" ca="1" si="11"/>
        <v>up to 30 days</v>
      </c>
      <c r="W103" s="591"/>
    </row>
    <row r="104" spans="1:23" s="589" customFormat="1" x14ac:dyDescent="0.2">
      <c r="A104" s="589" t="s">
        <v>56</v>
      </c>
      <c r="B104" s="589" t="s">
        <v>719</v>
      </c>
      <c r="C104" s="590" t="s">
        <v>2635</v>
      </c>
      <c r="D104" s="589" t="s">
        <v>100</v>
      </c>
      <c r="E104" s="589" t="s">
        <v>104</v>
      </c>
      <c r="F104" s="589" t="s">
        <v>112</v>
      </c>
      <c r="G104" s="589" t="s">
        <v>51</v>
      </c>
      <c r="H104" s="589" t="s">
        <v>242</v>
      </c>
      <c r="I104" s="589" t="s">
        <v>2945</v>
      </c>
      <c r="J104" s="589" t="s">
        <v>35</v>
      </c>
      <c r="K104" s="591">
        <v>2921.5590000000002</v>
      </c>
      <c r="L104" s="592">
        <f>IF(J104="TND",1,IF(J104="EUR",Vertical_Cash_flow!$C$16,IF(J104="USD",Vertical_Cash_flow!$F$16,0)))</f>
        <v>1</v>
      </c>
      <c r="M104" s="593">
        <f t="shared" si="8"/>
        <v>2921.5590000000002</v>
      </c>
      <c r="N104" s="589" t="s">
        <v>251</v>
      </c>
      <c r="O104" s="594">
        <v>45404</v>
      </c>
      <c r="P104" s="593">
        <f t="shared" si="9"/>
        <v>-29</v>
      </c>
      <c r="Q104" s="594">
        <v>45433</v>
      </c>
      <c r="R104" s="593">
        <f t="shared" ca="1" si="10"/>
        <v>8</v>
      </c>
      <c r="S104" s="589" t="str">
        <f>VLOOKUP(Q104,Mapping!L:M,2,0)</f>
        <v>W21_2024</v>
      </c>
      <c r="T104" s="589" t="str">
        <f t="shared" ca="1" si="11"/>
        <v>up to 30 days</v>
      </c>
      <c r="W104" s="591"/>
    </row>
    <row r="105" spans="1:23" s="589" customFormat="1" x14ac:dyDescent="0.2">
      <c r="A105" s="589" t="s">
        <v>56</v>
      </c>
      <c r="B105" s="589" t="s">
        <v>403</v>
      </c>
      <c r="C105" s="590" t="s">
        <v>1893</v>
      </c>
      <c r="D105" s="589" t="s">
        <v>100</v>
      </c>
      <c r="E105" s="589" t="s">
        <v>104</v>
      </c>
      <c r="F105" s="589" t="s">
        <v>112</v>
      </c>
      <c r="G105" s="589" t="s">
        <v>51</v>
      </c>
      <c r="H105" s="589" t="s">
        <v>242</v>
      </c>
      <c r="I105" s="589" t="s">
        <v>2247</v>
      </c>
      <c r="J105" s="589" t="s">
        <v>35</v>
      </c>
      <c r="K105" s="591">
        <v>4115.3230000000003</v>
      </c>
      <c r="L105" s="592">
        <f>IF(J105="TND",1,IF(J105="EUR",Vertical_Cash_flow!$C$16,IF(J105="USD",Vertical_Cash_flow!$F$16,0)))</f>
        <v>1</v>
      </c>
      <c r="M105" s="593">
        <f t="shared" si="8"/>
        <v>4115.3230000000003</v>
      </c>
      <c r="N105" s="589" t="s">
        <v>251</v>
      </c>
      <c r="O105" s="594">
        <v>45379</v>
      </c>
      <c r="P105" s="593">
        <f t="shared" si="9"/>
        <v>-54</v>
      </c>
      <c r="Q105" s="594">
        <v>45433</v>
      </c>
      <c r="R105" s="593">
        <f t="shared" ca="1" si="10"/>
        <v>8</v>
      </c>
      <c r="S105" s="589" t="str">
        <f>VLOOKUP(Q105,Mapping!L:M,2,0)</f>
        <v>W21_2024</v>
      </c>
      <c r="T105" s="589" t="str">
        <f t="shared" ca="1" si="11"/>
        <v>up to 30 days</v>
      </c>
      <c r="W105" s="591"/>
    </row>
    <row r="106" spans="1:23" s="589" customFormat="1" x14ac:dyDescent="0.2">
      <c r="A106" s="589" t="s">
        <v>56</v>
      </c>
      <c r="B106" s="589" t="s">
        <v>3421</v>
      </c>
      <c r="C106" s="590" t="s">
        <v>3584</v>
      </c>
      <c r="D106" s="589" t="s">
        <v>100</v>
      </c>
      <c r="E106" s="589" t="s">
        <v>104</v>
      </c>
      <c r="F106" s="589" t="s">
        <v>112</v>
      </c>
      <c r="G106" s="589" t="s">
        <v>51</v>
      </c>
      <c r="H106" s="589" t="s">
        <v>242</v>
      </c>
      <c r="I106" s="589" t="s">
        <v>3727</v>
      </c>
      <c r="J106" s="589" t="s">
        <v>35</v>
      </c>
      <c r="K106" s="591">
        <v>2500</v>
      </c>
      <c r="L106" s="592">
        <f>IF(J106="TND",1,IF(J106="EUR",Vertical_Cash_flow!$C$16,IF(J106="USD",Vertical_Cash_flow!$F$16,0)))</f>
        <v>1</v>
      </c>
      <c r="M106" s="593">
        <f t="shared" si="8"/>
        <v>2500</v>
      </c>
      <c r="N106" s="589" t="s">
        <v>251</v>
      </c>
      <c r="O106" s="594">
        <v>45426</v>
      </c>
      <c r="P106" s="593">
        <f t="shared" si="9"/>
        <v>-7</v>
      </c>
      <c r="Q106" s="594">
        <v>45433</v>
      </c>
      <c r="R106" s="593">
        <f t="shared" ca="1" si="10"/>
        <v>8</v>
      </c>
      <c r="S106" s="589" t="str">
        <f>VLOOKUP(Q106,Mapping!L:M,2,0)</f>
        <v>W21_2024</v>
      </c>
      <c r="T106" s="589" t="str">
        <f t="shared" ca="1" si="11"/>
        <v>up to 30 days</v>
      </c>
      <c r="W106" s="591"/>
    </row>
    <row r="107" spans="1:23" s="589" customFormat="1" x14ac:dyDescent="0.2">
      <c r="A107" s="589" t="s">
        <v>56</v>
      </c>
      <c r="B107" s="589" t="s">
        <v>581</v>
      </c>
      <c r="C107" s="590" t="s">
        <v>2634</v>
      </c>
      <c r="D107" s="589" t="s">
        <v>100</v>
      </c>
      <c r="E107" s="589" t="s">
        <v>104</v>
      </c>
      <c r="F107" s="589" t="s">
        <v>112</v>
      </c>
      <c r="G107" s="589" t="s">
        <v>51</v>
      </c>
      <c r="H107" s="589" t="s">
        <v>242</v>
      </c>
      <c r="I107" s="589" t="s">
        <v>2944</v>
      </c>
      <c r="J107" s="589" t="s">
        <v>35</v>
      </c>
      <c r="K107" s="591">
        <v>1300</v>
      </c>
      <c r="L107" s="592">
        <f>IF(J107="TND",1,IF(J107="EUR",Vertical_Cash_flow!$C$16,IF(J107="USD",Vertical_Cash_flow!$F$16,0)))</f>
        <v>1</v>
      </c>
      <c r="M107" s="593">
        <f t="shared" si="8"/>
        <v>1300</v>
      </c>
      <c r="N107" s="589" t="s">
        <v>251</v>
      </c>
      <c r="O107" s="594">
        <v>45387</v>
      </c>
      <c r="P107" s="593">
        <f t="shared" si="9"/>
        <v>-47</v>
      </c>
      <c r="Q107" s="594">
        <v>45434</v>
      </c>
      <c r="R107" s="593">
        <f t="shared" ca="1" si="10"/>
        <v>7</v>
      </c>
      <c r="S107" s="589" t="str">
        <f>VLOOKUP(Q107,Mapping!L:M,2,0)</f>
        <v>W21_2024</v>
      </c>
      <c r="T107" s="589" t="str">
        <f t="shared" ca="1" si="11"/>
        <v>up to 30 days</v>
      </c>
      <c r="W107" s="591"/>
    </row>
    <row r="108" spans="1:23" s="589" customFormat="1" x14ac:dyDescent="0.2">
      <c r="A108" s="589" t="s">
        <v>56</v>
      </c>
      <c r="B108" s="589" t="s">
        <v>285</v>
      </c>
      <c r="C108" s="590" t="s">
        <v>1345</v>
      </c>
      <c r="D108" s="589" t="s">
        <v>100</v>
      </c>
      <c r="E108" s="589" t="s">
        <v>104</v>
      </c>
      <c r="F108" s="589" t="s">
        <v>112</v>
      </c>
      <c r="G108" s="589" t="s">
        <v>51</v>
      </c>
      <c r="H108" s="589" t="s">
        <v>242</v>
      </c>
      <c r="I108" s="589" t="s">
        <v>1442</v>
      </c>
      <c r="J108" s="589" t="s">
        <v>35</v>
      </c>
      <c r="K108" s="591">
        <v>1505.904</v>
      </c>
      <c r="L108" s="592">
        <f>IF(J108="TND",1,IF(J108="EUR",Vertical_Cash_flow!$C$16,IF(J108="USD",Vertical_Cash_flow!$F$16,0)))</f>
        <v>1</v>
      </c>
      <c r="M108" s="593">
        <f t="shared" si="8"/>
        <v>1505.904</v>
      </c>
      <c r="N108" s="589" t="s">
        <v>251</v>
      </c>
      <c r="O108" s="594">
        <v>45329</v>
      </c>
      <c r="P108" s="593">
        <f t="shared" si="9"/>
        <v>-105</v>
      </c>
      <c r="Q108" s="594">
        <v>45434</v>
      </c>
      <c r="R108" s="593">
        <f t="shared" ca="1" si="10"/>
        <v>7</v>
      </c>
      <c r="S108" s="589" t="str">
        <f>VLOOKUP(Q108,Mapping!L:M,2,0)</f>
        <v>W21_2024</v>
      </c>
      <c r="T108" s="589" t="str">
        <f t="shared" ca="1" si="11"/>
        <v>up to 30 days</v>
      </c>
      <c r="W108" s="591"/>
    </row>
    <row r="109" spans="1:23" s="589" customFormat="1" x14ac:dyDescent="0.2">
      <c r="A109" s="589" t="s">
        <v>56</v>
      </c>
      <c r="B109" s="589" t="s">
        <v>2326</v>
      </c>
      <c r="C109" s="590" t="s">
        <v>2633</v>
      </c>
      <c r="D109" s="589" t="s">
        <v>100</v>
      </c>
      <c r="E109" s="589" t="s">
        <v>104</v>
      </c>
      <c r="F109" s="589" t="s">
        <v>112</v>
      </c>
      <c r="G109" s="589" t="s">
        <v>51</v>
      </c>
      <c r="H109" s="589" t="s">
        <v>242</v>
      </c>
      <c r="I109" s="589" t="s">
        <v>2943</v>
      </c>
      <c r="J109" s="589" t="s">
        <v>35</v>
      </c>
      <c r="K109" s="591">
        <v>925.64800000000002</v>
      </c>
      <c r="L109" s="592">
        <f>IF(J109="TND",1,IF(J109="EUR",Vertical_Cash_flow!$C$16,IF(J109="USD",Vertical_Cash_flow!$F$16,0)))</f>
        <v>1</v>
      </c>
      <c r="M109" s="593">
        <f t="shared" si="8"/>
        <v>925.64800000000002</v>
      </c>
      <c r="N109" s="589" t="s">
        <v>251</v>
      </c>
      <c r="O109" s="594">
        <v>45405</v>
      </c>
      <c r="P109" s="593">
        <f t="shared" si="9"/>
        <v>-29</v>
      </c>
      <c r="Q109" s="594">
        <v>45434</v>
      </c>
      <c r="R109" s="593">
        <f t="shared" ca="1" si="10"/>
        <v>7</v>
      </c>
      <c r="S109" s="589" t="str">
        <f>VLOOKUP(Q109,Mapping!L:M,2,0)</f>
        <v>W21_2024</v>
      </c>
      <c r="T109" s="589" t="str">
        <f t="shared" ca="1" si="11"/>
        <v>up to 30 days</v>
      </c>
      <c r="W109" s="591"/>
    </row>
    <row r="110" spans="1:23" s="589" customFormat="1" x14ac:dyDescent="0.2">
      <c r="A110" s="589" t="s">
        <v>56</v>
      </c>
      <c r="B110" s="589" t="s">
        <v>1488</v>
      </c>
      <c r="C110" s="590" t="s">
        <v>1892</v>
      </c>
      <c r="D110" s="589" t="s">
        <v>100</v>
      </c>
      <c r="E110" s="589" t="s">
        <v>104</v>
      </c>
      <c r="F110" s="589" t="s">
        <v>112</v>
      </c>
      <c r="G110" s="589" t="s">
        <v>51</v>
      </c>
      <c r="H110" s="589" t="s">
        <v>242</v>
      </c>
      <c r="I110" s="589" t="s">
        <v>2246</v>
      </c>
      <c r="J110" s="589" t="s">
        <v>35</v>
      </c>
      <c r="K110" s="591">
        <v>1600</v>
      </c>
      <c r="L110" s="592">
        <f>IF(J110="TND",1,IF(J110="EUR",Vertical_Cash_flow!$C$16,IF(J110="USD",Vertical_Cash_flow!$F$16,0)))</f>
        <v>1</v>
      </c>
      <c r="M110" s="593">
        <f t="shared" si="8"/>
        <v>1600</v>
      </c>
      <c r="N110" s="589" t="s">
        <v>251</v>
      </c>
      <c r="O110" s="594">
        <v>45348</v>
      </c>
      <c r="P110" s="593">
        <f t="shared" si="9"/>
        <v>-86</v>
      </c>
      <c r="Q110" s="594">
        <v>45434</v>
      </c>
      <c r="R110" s="593">
        <f t="shared" ca="1" si="10"/>
        <v>7</v>
      </c>
      <c r="S110" s="589" t="str">
        <f>VLOOKUP(Q110,Mapping!L:M,2,0)</f>
        <v>W21_2024</v>
      </c>
      <c r="T110" s="589" t="str">
        <f t="shared" ca="1" si="11"/>
        <v>up to 30 days</v>
      </c>
      <c r="W110" s="591"/>
    </row>
    <row r="111" spans="1:23" s="589" customFormat="1" x14ac:dyDescent="0.2">
      <c r="A111" s="589" t="s">
        <v>56</v>
      </c>
      <c r="B111" s="589" t="s">
        <v>498</v>
      </c>
      <c r="C111" s="590" t="s">
        <v>1115</v>
      </c>
      <c r="D111" s="589" t="s">
        <v>100</v>
      </c>
      <c r="E111" s="589" t="s">
        <v>104</v>
      </c>
      <c r="F111" s="589" t="s">
        <v>112</v>
      </c>
      <c r="G111" s="589" t="s">
        <v>51</v>
      </c>
      <c r="H111" s="589" t="s">
        <v>242</v>
      </c>
      <c r="I111" s="589" t="s">
        <v>1190</v>
      </c>
      <c r="J111" s="589" t="s">
        <v>35</v>
      </c>
      <c r="K111" s="591">
        <v>8275</v>
      </c>
      <c r="L111" s="592">
        <f>IF(J111="TND",1,IF(J111="EUR",Vertical_Cash_flow!$C$16,IF(J111="USD",Vertical_Cash_flow!$F$16,0)))</f>
        <v>1</v>
      </c>
      <c r="M111" s="593">
        <f t="shared" si="8"/>
        <v>8275</v>
      </c>
      <c r="N111" s="589" t="s">
        <v>251</v>
      </c>
      <c r="O111" s="594">
        <v>45320</v>
      </c>
      <c r="P111" s="593">
        <f t="shared" si="9"/>
        <v>-114</v>
      </c>
      <c r="Q111" s="594">
        <v>45434</v>
      </c>
      <c r="R111" s="593">
        <f t="shared" ca="1" si="10"/>
        <v>7</v>
      </c>
      <c r="S111" s="589" t="str">
        <f>VLOOKUP(Q111,Mapping!L:M,2,0)</f>
        <v>W21_2024</v>
      </c>
      <c r="T111" s="589" t="str">
        <f t="shared" ca="1" si="11"/>
        <v>up to 30 days</v>
      </c>
      <c r="W111" s="591"/>
    </row>
    <row r="112" spans="1:23" s="589" customFormat="1" x14ac:dyDescent="0.2">
      <c r="A112" s="589" t="s">
        <v>56</v>
      </c>
      <c r="B112" s="589" t="s">
        <v>273</v>
      </c>
      <c r="C112" s="590" t="s">
        <v>2632</v>
      </c>
      <c r="D112" s="589" t="s">
        <v>100</v>
      </c>
      <c r="E112" s="589" t="s">
        <v>104</v>
      </c>
      <c r="F112" s="589" t="s">
        <v>112</v>
      </c>
      <c r="G112" s="589" t="s">
        <v>51</v>
      </c>
      <c r="H112" s="589" t="s">
        <v>242</v>
      </c>
      <c r="I112" s="589" t="s">
        <v>2942</v>
      </c>
      <c r="J112" s="589" t="s">
        <v>35</v>
      </c>
      <c r="K112" s="591">
        <v>3520.44</v>
      </c>
      <c r="L112" s="592">
        <f>IF(J112="TND",1,IF(J112="EUR",Vertical_Cash_flow!$C$16,IF(J112="USD",Vertical_Cash_flow!$F$16,0)))</f>
        <v>1</v>
      </c>
      <c r="M112" s="593">
        <f t="shared" si="8"/>
        <v>3520.44</v>
      </c>
      <c r="N112" s="589" t="s">
        <v>251</v>
      </c>
      <c r="O112" s="594">
        <v>45405</v>
      </c>
      <c r="P112" s="593">
        <f t="shared" si="9"/>
        <v>-29</v>
      </c>
      <c r="Q112" s="594">
        <v>45434</v>
      </c>
      <c r="R112" s="593">
        <f t="shared" ca="1" si="10"/>
        <v>7</v>
      </c>
      <c r="S112" s="589" t="str">
        <f>VLOOKUP(Q112,Mapping!L:M,2,0)</f>
        <v>W21_2024</v>
      </c>
      <c r="T112" s="589" t="str">
        <f t="shared" ca="1" si="11"/>
        <v>up to 30 days</v>
      </c>
      <c r="W112" s="591"/>
    </row>
    <row r="113" spans="1:23" s="589" customFormat="1" x14ac:dyDescent="0.2">
      <c r="A113" s="589" t="s">
        <v>56</v>
      </c>
      <c r="B113" s="589" t="s">
        <v>716</v>
      </c>
      <c r="C113" s="590" t="s">
        <v>2631</v>
      </c>
      <c r="D113" s="589" t="s">
        <v>100</v>
      </c>
      <c r="E113" s="589" t="s">
        <v>104</v>
      </c>
      <c r="F113" s="589" t="s">
        <v>112</v>
      </c>
      <c r="G113" s="589" t="s">
        <v>51</v>
      </c>
      <c r="H113" s="589" t="s">
        <v>242</v>
      </c>
      <c r="I113" s="589" t="s">
        <v>2941</v>
      </c>
      <c r="J113" s="589" t="s">
        <v>35</v>
      </c>
      <c r="K113" s="591">
        <v>190</v>
      </c>
      <c r="L113" s="592">
        <f>IF(J113="TND",1,IF(J113="EUR",Vertical_Cash_flow!$C$16,IF(J113="USD",Vertical_Cash_flow!$F$16,0)))</f>
        <v>1</v>
      </c>
      <c r="M113" s="593">
        <f t="shared" si="8"/>
        <v>190</v>
      </c>
      <c r="N113" s="589" t="s">
        <v>251</v>
      </c>
      <c r="O113" s="594">
        <v>45405</v>
      </c>
      <c r="P113" s="593">
        <f t="shared" si="9"/>
        <v>-29</v>
      </c>
      <c r="Q113" s="594">
        <v>45434</v>
      </c>
      <c r="R113" s="593">
        <f t="shared" ca="1" si="10"/>
        <v>7</v>
      </c>
      <c r="S113" s="589" t="str">
        <f>VLOOKUP(Q113,Mapping!L:M,2,0)</f>
        <v>W21_2024</v>
      </c>
      <c r="T113" s="589" t="str">
        <f t="shared" ca="1" si="11"/>
        <v>up to 30 days</v>
      </c>
      <c r="W113" s="591"/>
    </row>
    <row r="114" spans="1:23" s="589" customFormat="1" x14ac:dyDescent="0.2">
      <c r="A114" s="589" t="s">
        <v>56</v>
      </c>
      <c r="B114" s="589" t="s">
        <v>371</v>
      </c>
      <c r="C114" s="590" t="s">
        <v>1344</v>
      </c>
      <c r="D114" s="589" t="s">
        <v>100</v>
      </c>
      <c r="E114" s="589" t="s">
        <v>104</v>
      </c>
      <c r="F114" s="589" t="s">
        <v>112</v>
      </c>
      <c r="G114" s="589" t="s">
        <v>51</v>
      </c>
      <c r="H114" s="589" t="s">
        <v>242</v>
      </c>
      <c r="I114" s="589" t="s">
        <v>1441</v>
      </c>
      <c r="J114" s="589" t="s">
        <v>35</v>
      </c>
      <c r="K114" s="591">
        <v>563.67999999999995</v>
      </c>
      <c r="L114" s="592">
        <f>IF(J114="TND",1,IF(J114="EUR",Vertical_Cash_flow!$C$16,IF(J114="USD",Vertical_Cash_flow!$F$16,0)))</f>
        <v>1</v>
      </c>
      <c r="M114" s="593">
        <f t="shared" si="8"/>
        <v>563.67999999999995</v>
      </c>
      <c r="N114" s="589" t="s">
        <v>251</v>
      </c>
      <c r="O114" s="594">
        <v>45336</v>
      </c>
      <c r="P114" s="593">
        <f t="shared" si="9"/>
        <v>-98</v>
      </c>
      <c r="Q114" s="594">
        <v>45434</v>
      </c>
      <c r="R114" s="593">
        <f t="shared" ca="1" si="10"/>
        <v>7</v>
      </c>
      <c r="S114" s="589" t="str">
        <f>VLOOKUP(Q114,Mapping!L:M,2,0)</f>
        <v>W21_2024</v>
      </c>
      <c r="T114" s="589" t="str">
        <f t="shared" ca="1" si="11"/>
        <v>up to 30 days</v>
      </c>
      <c r="W114" s="591"/>
    </row>
    <row r="115" spans="1:23" s="589" customFormat="1" x14ac:dyDescent="0.2">
      <c r="A115" s="589" t="s">
        <v>56</v>
      </c>
      <c r="B115" s="589" t="s">
        <v>610</v>
      </c>
      <c r="C115" s="590" t="s">
        <v>1343</v>
      </c>
      <c r="D115" s="589" t="s">
        <v>100</v>
      </c>
      <c r="E115" s="589" t="s">
        <v>104</v>
      </c>
      <c r="F115" s="589" t="s">
        <v>112</v>
      </c>
      <c r="G115" s="589" t="s">
        <v>51</v>
      </c>
      <c r="H115" s="589" t="s">
        <v>242</v>
      </c>
      <c r="I115" s="589" t="s">
        <v>644</v>
      </c>
      <c r="J115" s="589" t="s">
        <v>35</v>
      </c>
      <c r="K115" s="591">
        <v>2896.5</v>
      </c>
      <c r="L115" s="592">
        <f>IF(J115="TND",1,IF(J115="EUR",Vertical_Cash_flow!$C$16,IF(J115="USD",Vertical_Cash_flow!$F$16,0)))</f>
        <v>1</v>
      </c>
      <c r="M115" s="593">
        <f t="shared" si="8"/>
        <v>2896.5</v>
      </c>
      <c r="N115" s="589" t="s">
        <v>251</v>
      </c>
      <c r="O115" s="594">
        <v>45342</v>
      </c>
      <c r="P115" s="593">
        <f t="shared" si="9"/>
        <v>-93</v>
      </c>
      <c r="Q115" s="594">
        <v>45435</v>
      </c>
      <c r="R115" s="593">
        <f t="shared" ca="1" si="10"/>
        <v>6</v>
      </c>
      <c r="S115" s="589" t="str">
        <f>VLOOKUP(Q115,Mapping!L:M,2,0)</f>
        <v>W21_2024</v>
      </c>
      <c r="T115" s="589" t="str">
        <f t="shared" ca="1" si="11"/>
        <v>up to 30 days</v>
      </c>
      <c r="W115" s="591"/>
    </row>
    <row r="116" spans="1:23" s="589" customFormat="1" x14ac:dyDescent="0.2">
      <c r="A116" s="589" t="s">
        <v>56</v>
      </c>
      <c r="B116" s="589" t="s">
        <v>369</v>
      </c>
      <c r="C116" s="590" t="s">
        <v>2630</v>
      </c>
      <c r="D116" s="589" t="s">
        <v>100</v>
      </c>
      <c r="E116" s="589" t="s">
        <v>104</v>
      </c>
      <c r="F116" s="589" t="s">
        <v>112</v>
      </c>
      <c r="G116" s="589" t="s">
        <v>51</v>
      </c>
      <c r="H116" s="589" t="s">
        <v>242</v>
      </c>
      <c r="I116" s="589" t="s">
        <v>2940</v>
      </c>
      <c r="J116" s="589" t="s">
        <v>35</v>
      </c>
      <c r="K116" s="591">
        <v>7500</v>
      </c>
      <c r="L116" s="592">
        <f>IF(J116="TND",1,IF(J116="EUR",Vertical_Cash_flow!$C$16,IF(J116="USD",Vertical_Cash_flow!$F$16,0)))</f>
        <v>1</v>
      </c>
      <c r="M116" s="593">
        <f t="shared" si="8"/>
        <v>7500</v>
      </c>
      <c r="N116" s="589" t="s">
        <v>251</v>
      </c>
      <c r="O116" s="594">
        <v>45387</v>
      </c>
      <c r="P116" s="593">
        <f t="shared" si="9"/>
        <v>-48</v>
      </c>
      <c r="Q116" s="594">
        <v>45435</v>
      </c>
      <c r="R116" s="593">
        <f t="shared" ca="1" si="10"/>
        <v>6</v>
      </c>
      <c r="S116" s="589" t="str">
        <f>VLOOKUP(Q116,Mapping!L:M,2,0)</f>
        <v>W21_2024</v>
      </c>
      <c r="T116" s="589" t="str">
        <f t="shared" ca="1" si="11"/>
        <v>up to 30 days</v>
      </c>
      <c r="W116" s="591"/>
    </row>
    <row r="117" spans="1:23" s="589" customFormat="1" x14ac:dyDescent="0.2">
      <c r="A117" s="589" t="s">
        <v>56</v>
      </c>
      <c r="B117" s="589" t="s">
        <v>500</v>
      </c>
      <c r="C117" s="590" t="s">
        <v>1342</v>
      </c>
      <c r="D117" s="589" t="s">
        <v>100</v>
      </c>
      <c r="E117" s="589" t="s">
        <v>104</v>
      </c>
      <c r="F117" s="589" t="s">
        <v>112</v>
      </c>
      <c r="G117" s="589" t="s">
        <v>51</v>
      </c>
      <c r="H117" s="589" t="s">
        <v>242</v>
      </c>
      <c r="I117" s="589" t="s">
        <v>1440</v>
      </c>
      <c r="J117" s="589" t="s">
        <v>35</v>
      </c>
      <c r="K117" s="591">
        <v>2000</v>
      </c>
      <c r="L117" s="592">
        <f>IF(J117="TND",1,IF(J117="EUR",Vertical_Cash_flow!$C$16,IF(J117="USD",Vertical_Cash_flow!$F$16,0)))</f>
        <v>1</v>
      </c>
      <c r="M117" s="593">
        <f t="shared" si="8"/>
        <v>2000</v>
      </c>
      <c r="N117" s="589" t="s">
        <v>251</v>
      </c>
      <c r="O117" s="594">
        <v>45336</v>
      </c>
      <c r="P117" s="593">
        <f t="shared" si="9"/>
        <v>-99</v>
      </c>
      <c r="Q117" s="594">
        <v>45435</v>
      </c>
      <c r="R117" s="593">
        <f t="shared" ca="1" si="10"/>
        <v>6</v>
      </c>
      <c r="S117" s="589" t="str">
        <f>VLOOKUP(Q117,Mapping!L:M,2,0)</f>
        <v>W21_2024</v>
      </c>
      <c r="T117" s="589" t="str">
        <f t="shared" ca="1" si="11"/>
        <v>up to 30 days</v>
      </c>
      <c r="W117" s="591"/>
    </row>
    <row r="118" spans="1:23" s="589" customFormat="1" x14ac:dyDescent="0.2">
      <c r="A118" s="589" t="s">
        <v>56</v>
      </c>
      <c r="B118" s="589" t="s">
        <v>1245</v>
      </c>
      <c r="C118" s="590" t="s">
        <v>1891</v>
      </c>
      <c r="D118" s="589" t="s">
        <v>100</v>
      </c>
      <c r="E118" s="589" t="s">
        <v>104</v>
      </c>
      <c r="F118" s="589" t="s">
        <v>112</v>
      </c>
      <c r="G118" s="589" t="s">
        <v>51</v>
      </c>
      <c r="H118" s="589" t="s">
        <v>242</v>
      </c>
      <c r="I118" s="589" t="s">
        <v>2245</v>
      </c>
      <c r="J118" s="589" t="s">
        <v>35</v>
      </c>
      <c r="K118" s="591">
        <v>2479.547</v>
      </c>
      <c r="L118" s="592">
        <f>IF(J118="TND",1,IF(J118="EUR",Vertical_Cash_flow!$C$16,IF(J118="USD",Vertical_Cash_flow!$F$16,0)))</f>
        <v>1</v>
      </c>
      <c r="M118" s="593">
        <f t="shared" si="8"/>
        <v>2479.547</v>
      </c>
      <c r="N118" s="589" t="s">
        <v>251</v>
      </c>
      <c r="O118" s="594">
        <v>45364</v>
      </c>
      <c r="P118" s="593">
        <f t="shared" si="9"/>
        <v>-71</v>
      </c>
      <c r="Q118" s="594">
        <v>45435</v>
      </c>
      <c r="R118" s="593">
        <f t="shared" ca="1" si="10"/>
        <v>6</v>
      </c>
      <c r="S118" s="589" t="str">
        <f>VLOOKUP(Q118,Mapping!L:M,2,0)</f>
        <v>W21_2024</v>
      </c>
      <c r="T118" s="589" t="str">
        <f t="shared" ca="1" si="11"/>
        <v>up to 30 days</v>
      </c>
      <c r="W118" s="591"/>
    </row>
    <row r="119" spans="1:23" s="589" customFormat="1" x14ac:dyDescent="0.2">
      <c r="A119" s="589" t="s">
        <v>56</v>
      </c>
      <c r="B119" s="589" t="s">
        <v>581</v>
      </c>
      <c r="C119" s="590" t="s">
        <v>2629</v>
      </c>
      <c r="D119" s="589" t="s">
        <v>100</v>
      </c>
      <c r="E119" s="589" t="s">
        <v>104</v>
      </c>
      <c r="F119" s="589" t="s">
        <v>112</v>
      </c>
      <c r="G119" s="589" t="s">
        <v>51</v>
      </c>
      <c r="H119" s="589" t="s">
        <v>242</v>
      </c>
      <c r="I119" s="589" t="s">
        <v>2939</v>
      </c>
      <c r="J119" s="589" t="s">
        <v>35</v>
      </c>
      <c r="K119" s="591">
        <v>1300</v>
      </c>
      <c r="L119" s="592">
        <f>IF(J119="TND",1,IF(J119="EUR",Vertical_Cash_flow!$C$16,IF(J119="USD",Vertical_Cash_flow!$F$16,0)))</f>
        <v>1</v>
      </c>
      <c r="M119" s="593">
        <f t="shared" si="8"/>
        <v>1300</v>
      </c>
      <c r="N119" s="589" t="s">
        <v>251</v>
      </c>
      <c r="O119" s="594">
        <v>45387</v>
      </c>
      <c r="P119" s="593">
        <f t="shared" si="9"/>
        <v>-49</v>
      </c>
      <c r="Q119" s="594">
        <v>45436</v>
      </c>
      <c r="R119" s="593">
        <f t="shared" ca="1" si="10"/>
        <v>5</v>
      </c>
      <c r="S119" s="589" t="str">
        <f>VLOOKUP(Q119,Mapping!L:M,2,0)</f>
        <v>W21_2024</v>
      </c>
      <c r="T119" s="589" t="str">
        <f t="shared" ca="1" si="11"/>
        <v>up to 30 days</v>
      </c>
      <c r="W119" s="591"/>
    </row>
    <row r="120" spans="1:23" s="589" customFormat="1" x14ac:dyDescent="0.2">
      <c r="A120" s="589" t="s">
        <v>56</v>
      </c>
      <c r="B120" s="589" t="s">
        <v>1487</v>
      </c>
      <c r="C120" s="590" t="s">
        <v>1890</v>
      </c>
      <c r="D120" s="589" t="s">
        <v>100</v>
      </c>
      <c r="E120" s="589" t="s">
        <v>104</v>
      </c>
      <c r="F120" s="589" t="s">
        <v>112</v>
      </c>
      <c r="G120" s="589" t="s">
        <v>51</v>
      </c>
      <c r="H120" s="589" t="s">
        <v>242</v>
      </c>
      <c r="I120" s="589" t="s">
        <v>2244</v>
      </c>
      <c r="J120" s="589" t="s">
        <v>35</v>
      </c>
      <c r="K120" s="591">
        <v>1500</v>
      </c>
      <c r="L120" s="592">
        <f>IF(J120="TND",1,IF(J120="EUR",Vertical_Cash_flow!$C$16,IF(J120="USD",Vertical_Cash_flow!$F$16,0)))</f>
        <v>1</v>
      </c>
      <c r="M120" s="593">
        <f t="shared" si="8"/>
        <v>1500</v>
      </c>
      <c r="N120" s="589" t="s">
        <v>251</v>
      </c>
      <c r="O120" s="594">
        <v>45378</v>
      </c>
      <c r="P120" s="593">
        <f t="shared" si="9"/>
        <v>-58</v>
      </c>
      <c r="Q120" s="594">
        <v>45436</v>
      </c>
      <c r="R120" s="593">
        <f t="shared" ca="1" si="10"/>
        <v>5</v>
      </c>
      <c r="S120" s="589" t="str">
        <f>VLOOKUP(Q120,Mapping!L:M,2,0)</f>
        <v>W21_2024</v>
      </c>
      <c r="T120" s="589" t="str">
        <f t="shared" ca="1" si="11"/>
        <v>up to 30 days</v>
      </c>
      <c r="W120" s="591"/>
    </row>
    <row r="121" spans="1:23" s="589" customFormat="1" x14ac:dyDescent="0.2">
      <c r="A121" s="589" t="s">
        <v>56</v>
      </c>
      <c r="B121" s="589" t="s">
        <v>289</v>
      </c>
      <c r="C121" s="590" t="s">
        <v>1889</v>
      </c>
      <c r="D121" s="589" t="s">
        <v>100</v>
      </c>
      <c r="E121" s="589" t="s">
        <v>104</v>
      </c>
      <c r="F121" s="589" t="s">
        <v>112</v>
      </c>
      <c r="G121" s="589" t="s">
        <v>51</v>
      </c>
      <c r="H121" s="589" t="s">
        <v>242</v>
      </c>
      <c r="I121" s="589" t="s">
        <v>2243</v>
      </c>
      <c r="J121" s="589" t="s">
        <v>35</v>
      </c>
      <c r="K121" s="591">
        <v>1180.2539999999999</v>
      </c>
      <c r="L121" s="592">
        <f>IF(J121="TND",1,IF(J121="EUR",Vertical_Cash_flow!$C$16,IF(J121="USD",Vertical_Cash_flow!$F$16,0)))</f>
        <v>1</v>
      </c>
      <c r="M121" s="593">
        <f t="shared" si="8"/>
        <v>1180.2539999999999</v>
      </c>
      <c r="N121" s="589" t="s">
        <v>251</v>
      </c>
      <c r="O121" s="594">
        <v>45351</v>
      </c>
      <c r="P121" s="593">
        <f t="shared" si="9"/>
        <v>-85</v>
      </c>
      <c r="Q121" s="594">
        <v>45436</v>
      </c>
      <c r="R121" s="593">
        <f t="shared" ca="1" si="10"/>
        <v>5</v>
      </c>
      <c r="S121" s="589" t="str">
        <f>VLOOKUP(Q121,Mapping!L:M,2,0)</f>
        <v>W21_2024</v>
      </c>
      <c r="T121" s="589" t="str">
        <f t="shared" ca="1" si="11"/>
        <v>up to 30 days</v>
      </c>
      <c r="W121" s="591"/>
    </row>
    <row r="122" spans="1:23" s="589" customFormat="1" x14ac:dyDescent="0.2">
      <c r="A122" s="589" t="s">
        <v>56</v>
      </c>
      <c r="B122" s="589" t="s">
        <v>278</v>
      </c>
      <c r="C122" s="590" t="s">
        <v>952</v>
      </c>
      <c r="D122" s="589" t="s">
        <v>100</v>
      </c>
      <c r="E122" s="589" t="s">
        <v>104</v>
      </c>
      <c r="F122" s="589" t="s">
        <v>112</v>
      </c>
      <c r="G122" s="589" t="s">
        <v>51</v>
      </c>
      <c r="H122" s="589" t="s">
        <v>242</v>
      </c>
      <c r="I122" s="589" t="s">
        <v>960</v>
      </c>
      <c r="J122" s="589" t="s">
        <v>35</v>
      </c>
      <c r="K122" s="591">
        <v>1812.93</v>
      </c>
      <c r="L122" s="592">
        <f>IF(J122="TND",1,IF(J122="EUR",Vertical_Cash_flow!$C$16,IF(J122="USD",Vertical_Cash_flow!$F$16,0)))</f>
        <v>1</v>
      </c>
      <c r="M122" s="593">
        <f t="shared" si="8"/>
        <v>1812.93</v>
      </c>
      <c r="N122" s="589" t="s">
        <v>251</v>
      </c>
      <c r="O122" s="594">
        <v>45252</v>
      </c>
      <c r="P122" s="593">
        <f t="shared" si="9"/>
        <v>-184</v>
      </c>
      <c r="Q122" s="594">
        <v>45436</v>
      </c>
      <c r="R122" s="593">
        <f t="shared" ca="1" si="10"/>
        <v>5</v>
      </c>
      <c r="S122" s="589" t="str">
        <f>VLOOKUP(Q122,Mapping!L:M,2,0)</f>
        <v>W21_2024</v>
      </c>
      <c r="T122" s="589" t="str">
        <f t="shared" ca="1" si="11"/>
        <v>up to 30 days</v>
      </c>
      <c r="W122" s="591"/>
    </row>
    <row r="123" spans="1:23" s="589" customFormat="1" x14ac:dyDescent="0.2">
      <c r="A123" s="589" t="s">
        <v>56</v>
      </c>
      <c r="B123" s="589" t="s">
        <v>388</v>
      </c>
      <c r="C123" s="590" t="s">
        <v>1114</v>
      </c>
      <c r="D123" s="589" t="s">
        <v>100</v>
      </c>
      <c r="E123" s="589" t="s">
        <v>104</v>
      </c>
      <c r="F123" s="589" t="s">
        <v>112</v>
      </c>
      <c r="G123" s="589" t="s">
        <v>51</v>
      </c>
      <c r="H123" s="589" t="s">
        <v>242</v>
      </c>
      <c r="I123" s="589" t="s">
        <v>1189</v>
      </c>
      <c r="J123" s="589" t="s">
        <v>35</v>
      </c>
      <c r="K123" s="591">
        <v>4504</v>
      </c>
      <c r="L123" s="592">
        <f>IF(J123="TND",1,IF(J123="EUR",Vertical_Cash_flow!$C$16,IF(J123="USD",Vertical_Cash_flow!$F$16,0)))</f>
        <v>1</v>
      </c>
      <c r="M123" s="593">
        <f t="shared" si="8"/>
        <v>4504</v>
      </c>
      <c r="N123" s="589" t="s">
        <v>251</v>
      </c>
      <c r="O123" s="594">
        <v>45322</v>
      </c>
      <c r="P123" s="593">
        <f t="shared" si="9"/>
        <v>-114</v>
      </c>
      <c r="Q123" s="594">
        <v>45436</v>
      </c>
      <c r="R123" s="593">
        <f t="shared" ca="1" si="10"/>
        <v>5</v>
      </c>
      <c r="S123" s="589" t="str">
        <f>VLOOKUP(Q123,Mapping!L:M,2,0)</f>
        <v>W21_2024</v>
      </c>
      <c r="T123" s="589" t="str">
        <f t="shared" ca="1" si="11"/>
        <v>up to 30 days</v>
      </c>
      <c r="W123" s="591"/>
    </row>
    <row r="124" spans="1:23" s="589" customFormat="1" x14ac:dyDescent="0.2">
      <c r="A124" s="589" t="s">
        <v>56</v>
      </c>
      <c r="B124" s="589" t="s">
        <v>3421</v>
      </c>
      <c r="C124" s="590" t="s">
        <v>3583</v>
      </c>
      <c r="D124" s="589" t="s">
        <v>100</v>
      </c>
      <c r="E124" s="589" t="s">
        <v>104</v>
      </c>
      <c r="F124" s="589" t="s">
        <v>112</v>
      </c>
      <c r="G124" s="589" t="s">
        <v>51</v>
      </c>
      <c r="H124" s="589" t="s">
        <v>242</v>
      </c>
      <c r="I124" s="589" t="s">
        <v>3726</v>
      </c>
      <c r="J124" s="589" t="s">
        <v>35</v>
      </c>
      <c r="K124" s="591">
        <v>2500</v>
      </c>
      <c r="L124" s="592">
        <f>IF(J124="TND",1,IF(J124="EUR",Vertical_Cash_flow!$C$16,IF(J124="USD",Vertical_Cash_flow!$F$16,0)))</f>
        <v>1</v>
      </c>
      <c r="M124" s="593">
        <f t="shared" si="8"/>
        <v>2500</v>
      </c>
      <c r="N124" s="589" t="s">
        <v>251</v>
      </c>
      <c r="O124" s="594">
        <v>45426</v>
      </c>
      <c r="P124" s="593">
        <f t="shared" si="9"/>
        <v>-10</v>
      </c>
      <c r="Q124" s="594">
        <v>45436</v>
      </c>
      <c r="R124" s="593">
        <f t="shared" ca="1" si="10"/>
        <v>5</v>
      </c>
      <c r="S124" s="589" t="str">
        <f>VLOOKUP(Q124,Mapping!L:M,2,0)</f>
        <v>W21_2024</v>
      </c>
      <c r="T124" s="589" t="str">
        <f t="shared" ca="1" si="11"/>
        <v>up to 30 days</v>
      </c>
      <c r="W124" s="591"/>
    </row>
    <row r="125" spans="1:23" s="589" customFormat="1" x14ac:dyDescent="0.2">
      <c r="A125" s="589" t="s">
        <v>56</v>
      </c>
      <c r="B125" s="589" t="s">
        <v>903</v>
      </c>
      <c r="C125" s="590" t="s">
        <v>2628</v>
      </c>
      <c r="D125" s="589" t="s">
        <v>100</v>
      </c>
      <c r="E125" s="589" t="s">
        <v>104</v>
      </c>
      <c r="F125" s="589" t="s">
        <v>112</v>
      </c>
      <c r="G125" s="589" t="s">
        <v>51</v>
      </c>
      <c r="H125" s="589" t="s">
        <v>242</v>
      </c>
      <c r="I125" s="589" t="s">
        <v>2938</v>
      </c>
      <c r="J125" s="589" t="s">
        <v>35</v>
      </c>
      <c r="K125" s="591">
        <v>2000</v>
      </c>
      <c r="L125" s="592">
        <f>IF(J125="TND",1,IF(J125="EUR",Vertical_Cash_flow!$C$16,IF(J125="USD",Vertical_Cash_flow!$F$16,0)))</f>
        <v>1</v>
      </c>
      <c r="M125" s="593">
        <f t="shared" si="8"/>
        <v>2000</v>
      </c>
      <c r="N125" s="589" t="s">
        <v>251</v>
      </c>
      <c r="O125" s="594">
        <v>45407</v>
      </c>
      <c r="P125" s="593">
        <f t="shared" si="9"/>
        <v>-30</v>
      </c>
      <c r="Q125" s="594">
        <v>45437</v>
      </c>
      <c r="R125" s="593">
        <f t="shared" ca="1" si="10"/>
        <v>4</v>
      </c>
      <c r="S125" s="589" t="str">
        <f>VLOOKUP(Q125,Mapping!L:M,2,0)</f>
        <v>W22_2024</v>
      </c>
      <c r="T125" s="589" t="str">
        <f t="shared" ca="1" si="11"/>
        <v>up to 30 days</v>
      </c>
      <c r="W125" s="591"/>
    </row>
    <row r="126" spans="1:23" s="589" customFormat="1" x14ac:dyDescent="0.2">
      <c r="A126" s="589" t="s">
        <v>56</v>
      </c>
      <c r="B126" s="589" t="s">
        <v>1034</v>
      </c>
      <c r="C126" s="590" t="s">
        <v>1884</v>
      </c>
      <c r="D126" s="589" t="s">
        <v>100</v>
      </c>
      <c r="E126" s="589" t="s">
        <v>104</v>
      </c>
      <c r="F126" s="589" t="s">
        <v>112</v>
      </c>
      <c r="G126" s="589" t="s">
        <v>51</v>
      </c>
      <c r="H126" s="589" t="s">
        <v>242</v>
      </c>
      <c r="I126" s="589" t="s">
        <v>1457</v>
      </c>
      <c r="J126" s="589" t="s">
        <v>35</v>
      </c>
      <c r="K126" s="591">
        <v>1236.3109999999999</v>
      </c>
      <c r="L126" s="592">
        <f>IF(J126="TND",1,IF(J126="EUR",Vertical_Cash_flow!$C$16,IF(J126="USD",Vertical_Cash_flow!$F$16,0)))</f>
        <v>1</v>
      </c>
      <c r="M126" s="593">
        <f t="shared" si="8"/>
        <v>1236.3109999999999</v>
      </c>
      <c r="N126" s="589" t="s">
        <v>251</v>
      </c>
      <c r="O126" s="594">
        <v>45365</v>
      </c>
      <c r="P126" s="593">
        <f t="shared" si="9"/>
        <v>-72</v>
      </c>
      <c r="Q126" s="594">
        <v>45437</v>
      </c>
      <c r="R126" s="593">
        <f t="shared" ca="1" si="10"/>
        <v>4</v>
      </c>
      <c r="S126" s="589" t="str">
        <f>VLOOKUP(Q126,Mapping!L:M,2,0)</f>
        <v>W22_2024</v>
      </c>
      <c r="T126" s="589" t="str">
        <f t="shared" ca="1" si="11"/>
        <v>up to 30 days</v>
      </c>
      <c r="W126" s="591"/>
    </row>
    <row r="127" spans="1:23" s="589" customFormat="1" x14ac:dyDescent="0.2">
      <c r="A127" s="589" t="s">
        <v>56</v>
      </c>
      <c r="B127" s="589" t="s">
        <v>892</v>
      </c>
      <c r="C127" s="590" t="s">
        <v>1886</v>
      </c>
      <c r="D127" s="589" t="s">
        <v>100</v>
      </c>
      <c r="E127" s="589" t="s">
        <v>104</v>
      </c>
      <c r="F127" s="589" t="s">
        <v>112</v>
      </c>
      <c r="G127" s="589" t="s">
        <v>51</v>
      </c>
      <c r="H127" s="589" t="s">
        <v>242</v>
      </c>
      <c r="I127" s="589" t="s">
        <v>895</v>
      </c>
      <c r="J127" s="589" t="s">
        <v>35</v>
      </c>
      <c r="K127" s="591">
        <v>2494.1680000000001</v>
      </c>
      <c r="L127" s="592">
        <f>IF(J127="TND",1,IF(J127="EUR",Vertical_Cash_flow!$C$16,IF(J127="USD",Vertical_Cash_flow!$F$16,0)))</f>
        <v>1</v>
      </c>
      <c r="M127" s="593">
        <f t="shared" si="8"/>
        <v>2494.1680000000001</v>
      </c>
      <c r="N127" s="589" t="s">
        <v>251</v>
      </c>
      <c r="O127" s="594">
        <v>45357</v>
      </c>
      <c r="P127" s="593">
        <f t="shared" si="9"/>
        <v>-80</v>
      </c>
      <c r="Q127" s="594">
        <v>45437</v>
      </c>
      <c r="R127" s="593">
        <f t="shared" ca="1" si="10"/>
        <v>4</v>
      </c>
      <c r="S127" s="589" t="str">
        <f>VLOOKUP(Q127,Mapping!L:M,2,0)</f>
        <v>W22_2024</v>
      </c>
      <c r="T127" s="589" t="str">
        <f t="shared" ca="1" si="11"/>
        <v>up to 30 days</v>
      </c>
      <c r="W127" s="591"/>
    </row>
    <row r="128" spans="1:23" s="589" customFormat="1" x14ac:dyDescent="0.2">
      <c r="A128" s="589" t="s">
        <v>56</v>
      </c>
      <c r="B128" s="589" t="s">
        <v>358</v>
      </c>
      <c r="C128" s="590" t="s">
        <v>1339</v>
      </c>
      <c r="D128" s="589" t="s">
        <v>100</v>
      </c>
      <c r="E128" s="589" t="s">
        <v>104</v>
      </c>
      <c r="F128" s="589" t="s">
        <v>112</v>
      </c>
      <c r="G128" s="589" t="s">
        <v>51</v>
      </c>
      <c r="H128" s="589" t="s">
        <v>242</v>
      </c>
      <c r="I128" s="589" t="s">
        <v>1420</v>
      </c>
      <c r="J128" s="589" t="s">
        <v>35</v>
      </c>
      <c r="K128" s="591">
        <v>2370.663</v>
      </c>
      <c r="L128" s="592">
        <f>IF(J128="TND",1,IF(J128="EUR",Vertical_Cash_flow!$C$16,IF(J128="USD",Vertical_Cash_flow!$F$16,0)))</f>
        <v>1</v>
      </c>
      <c r="M128" s="593">
        <f t="shared" si="8"/>
        <v>2370.663</v>
      </c>
      <c r="N128" s="589" t="s">
        <v>251</v>
      </c>
      <c r="O128" s="594">
        <v>45342</v>
      </c>
      <c r="P128" s="593">
        <f t="shared" si="9"/>
        <v>-95</v>
      </c>
      <c r="Q128" s="594">
        <v>45437</v>
      </c>
      <c r="R128" s="593">
        <f t="shared" ca="1" si="10"/>
        <v>4</v>
      </c>
      <c r="S128" s="589" t="str">
        <f>VLOOKUP(Q128,Mapping!L:M,2,0)</f>
        <v>W22_2024</v>
      </c>
      <c r="T128" s="589" t="str">
        <f t="shared" ca="1" si="11"/>
        <v>up to 30 days</v>
      </c>
      <c r="W128" s="591"/>
    </row>
    <row r="129" spans="1:23" s="589" customFormat="1" x14ac:dyDescent="0.2">
      <c r="A129" s="589" t="s">
        <v>56</v>
      </c>
      <c r="B129" s="589" t="s">
        <v>294</v>
      </c>
      <c r="C129" s="590" t="s">
        <v>1341</v>
      </c>
      <c r="D129" s="589" t="s">
        <v>100</v>
      </c>
      <c r="E129" s="589" t="s">
        <v>104</v>
      </c>
      <c r="F129" s="589" t="s">
        <v>112</v>
      </c>
      <c r="G129" s="589" t="s">
        <v>51</v>
      </c>
      <c r="H129" s="589" t="s">
        <v>242</v>
      </c>
      <c r="I129" s="589" t="s">
        <v>1439</v>
      </c>
      <c r="J129" s="589" t="s">
        <v>35</v>
      </c>
      <c r="K129" s="591">
        <v>1000</v>
      </c>
      <c r="L129" s="592">
        <f>IF(J129="TND",1,IF(J129="EUR",Vertical_Cash_flow!$C$16,IF(J129="USD",Vertical_Cash_flow!$F$16,0)))</f>
        <v>1</v>
      </c>
      <c r="M129" s="593">
        <f t="shared" si="8"/>
        <v>1000</v>
      </c>
      <c r="N129" s="589" t="s">
        <v>251</v>
      </c>
      <c r="O129" s="594">
        <v>45338</v>
      </c>
      <c r="P129" s="593">
        <f t="shared" si="9"/>
        <v>-99</v>
      </c>
      <c r="Q129" s="594">
        <v>45437</v>
      </c>
      <c r="R129" s="593">
        <f t="shared" ca="1" si="10"/>
        <v>4</v>
      </c>
      <c r="S129" s="589" t="str">
        <f>VLOOKUP(Q129,Mapping!L:M,2,0)</f>
        <v>W22_2024</v>
      </c>
      <c r="T129" s="589" t="str">
        <f t="shared" ca="1" si="11"/>
        <v>up to 30 days</v>
      </c>
      <c r="W129" s="591"/>
    </row>
    <row r="130" spans="1:23" s="589" customFormat="1" x14ac:dyDescent="0.2">
      <c r="A130" s="589" t="s">
        <v>56</v>
      </c>
      <c r="B130" s="589" t="s">
        <v>846</v>
      </c>
      <c r="C130" s="590" t="s">
        <v>1340</v>
      </c>
      <c r="D130" s="589" t="s">
        <v>100</v>
      </c>
      <c r="E130" s="589" t="s">
        <v>104</v>
      </c>
      <c r="F130" s="589" t="s">
        <v>112</v>
      </c>
      <c r="G130" s="589" t="s">
        <v>51</v>
      </c>
      <c r="H130" s="589" t="s">
        <v>242</v>
      </c>
      <c r="I130" s="589" t="s">
        <v>1438</v>
      </c>
      <c r="J130" s="589" t="s">
        <v>35</v>
      </c>
      <c r="K130" s="591">
        <v>6929.3230000000003</v>
      </c>
      <c r="L130" s="592">
        <f>IF(J130="TND",1,IF(J130="EUR",Vertical_Cash_flow!$C$16,IF(J130="USD",Vertical_Cash_flow!$F$16,0)))</f>
        <v>1</v>
      </c>
      <c r="M130" s="593">
        <f t="shared" si="8"/>
        <v>6929.3230000000003</v>
      </c>
      <c r="N130" s="589" t="s">
        <v>251</v>
      </c>
      <c r="O130" s="594">
        <v>45337</v>
      </c>
      <c r="P130" s="593">
        <f t="shared" si="9"/>
        <v>-100</v>
      </c>
      <c r="Q130" s="594">
        <v>45437</v>
      </c>
      <c r="R130" s="593">
        <f t="shared" ca="1" si="10"/>
        <v>4</v>
      </c>
      <c r="S130" s="589" t="str">
        <f>VLOOKUP(Q130,Mapping!L:M,2,0)</f>
        <v>W22_2024</v>
      </c>
      <c r="T130" s="589" t="str">
        <f t="shared" ca="1" si="11"/>
        <v>up to 30 days</v>
      </c>
      <c r="W130" s="591"/>
    </row>
    <row r="131" spans="1:23" s="589" customFormat="1" x14ac:dyDescent="0.2">
      <c r="A131" s="589" t="s">
        <v>56</v>
      </c>
      <c r="B131" s="589" t="s">
        <v>795</v>
      </c>
      <c r="C131" s="590" t="s">
        <v>988</v>
      </c>
      <c r="D131" s="589" t="s">
        <v>100</v>
      </c>
      <c r="E131" s="589" t="s">
        <v>104</v>
      </c>
      <c r="F131" s="589" t="s">
        <v>112</v>
      </c>
      <c r="G131" s="589" t="s">
        <v>51</v>
      </c>
      <c r="H131" s="589" t="s">
        <v>242</v>
      </c>
      <c r="I131" s="589" t="s">
        <v>962</v>
      </c>
      <c r="J131" s="589" t="s">
        <v>35</v>
      </c>
      <c r="K131" s="591">
        <v>10435.083000000001</v>
      </c>
      <c r="L131" s="592">
        <f>IF(J131="TND",1,IF(J131="EUR",Vertical_Cash_flow!$C$16,IF(J131="USD",Vertical_Cash_flow!$F$16,0)))</f>
        <v>1</v>
      </c>
      <c r="M131" s="593">
        <f t="shared" si="8"/>
        <v>10435.083000000001</v>
      </c>
      <c r="N131" s="589" t="s">
        <v>251</v>
      </c>
      <c r="O131" s="594">
        <v>45288</v>
      </c>
      <c r="P131" s="593">
        <f t="shared" si="9"/>
        <v>-149</v>
      </c>
      <c r="Q131" s="594">
        <v>45437</v>
      </c>
      <c r="R131" s="593">
        <f t="shared" ca="1" si="10"/>
        <v>4</v>
      </c>
      <c r="S131" s="589" t="str">
        <f>VLOOKUP(Q131,Mapping!L:M,2,0)</f>
        <v>W22_2024</v>
      </c>
      <c r="T131" s="589" t="str">
        <f t="shared" ca="1" si="11"/>
        <v>up to 30 days</v>
      </c>
      <c r="W131" s="591"/>
    </row>
    <row r="132" spans="1:23" s="589" customFormat="1" x14ac:dyDescent="0.2">
      <c r="A132" s="589" t="s">
        <v>56</v>
      </c>
      <c r="B132" s="589" t="s">
        <v>299</v>
      </c>
      <c r="C132" s="590" t="s">
        <v>1887</v>
      </c>
      <c r="D132" s="589" t="s">
        <v>100</v>
      </c>
      <c r="E132" s="589" t="s">
        <v>104</v>
      </c>
      <c r="F132" s="589" t="s">
        <v>112</v>
      </c>
      <c r="G132" s="589" t="s">
        <v>51</v>
      </c>
      <c r="H132" s="589" t="s">
        <v>242</v>
      </c>
      <c r="I132" s="589" t="s">
        <v>2035</v>
      </c>
      <c r="J132" s="589" t="s">
        <v>35</v>
      </c>
      <c r="K132" s="591">
        <v>1100</v>
      </c>
      <c r="L132" s="592">
        <f>IF(J132="TND",1,IF(J132="EUR",Vertical_Cash_flow!$C$16,IF(J132="USD",Vertical_Cash_flow!$F$16,0)))</f>
        <v>1</v>
      </c>
      <c r="M132" s="593">
        <f t="shared" si="8"/>
        <v>1100</v>
      </c>
      <c r="N132" s="589" t="s">
        <v>251</v>
      </c>
      <c r="O132" s="594">
        <v>45380</v>
      </c>
      <c r="P132" s="593">
        <f t="shared" si="9"/>
        <v>-57</v>
      </c>
      <c r="Q132" s="594">
        <v>45437</v>
      </c>
      <c r="R132" s="593">
        <f t="shared" ca="1" si="10"/>
        <v>4</v>
      </c>
      <c r="S132" s="589" t="str">
        <f>VLOOKUP(Q132,Mapping!L:M,2,0)</f>
        <v>W22_2024</v>
      </c>
      <c r="T132" s="589" t="str">
        <f t="shared" ca="1" si="11"/>
        <v>up to 30 days</v>
      </c>
      <c r="W132" s="591"/>
    </row>
    <row r="133" spans="1:23" s="589" customFormat="1" x14ac:dyDescent="0.2">
      <c r="A133" s="589" t="s">
        <v>56</v>
      </c>
      <c r="B133" s="589" t="s">
        <v>891</v>
      </c>
      <c r="C133" s="590" t="s">
        <v>1888</v>
      </c>
      <c r="D133" s="589" t="s">
        <v>100</v>
      </c>
      <c r="E133" s="589" t="s">
        <v>104</v>
      </c>
      <c r="F133" s="589" t="s">
        <v>112</v>
      </c>
      <c r="G133" s="589" t="s">
        <v>51</v>
      </c>
      <c r="H133" s="589" t="s">
        <v>242</v>
      </c>
      <c r="I133" s="589" t="s">
        <v>2242</v>
      </c>
      <c r="J133" s="589" t="s">
        <v>35</v>
      </c>
      <c r="K133" s="591">
        <v>273.5</v>
      </c>
      <c r="L133" s="592">
        <f>IF(J133="TND",1,IF(J133="EUR",Vertical_Cash_flow!$C$16,IF(J133="USD",Vertical_Cash_flow!$F$16,0)))</f>
        <v>1</v>
      </c>
      <c r="M133" s="593">
        <f t="shared" si="8"/>
        <v>273.5</v>
      </c>
      <c r="N133" s="589" t="s">
        <v>251</v>
      </c>
      <c r="O133" s="594">
        <v>45351</v>
      </c>
      <c r="P133" s="593">
        <f t="shared" si="9"/>
        <v>-86</v>
      </c>
      <c r="Q133" s="594">
        <v>45437</v>
      </c>
      <c r="R133" s="593">
        <f t="shared" ca="1" si="10"/>
        <v>4</v>
      </c>
      <c r="S133" s="589" t="str">
        <f>VLOOKUP(Q133,Mapping!L:M,2,0)</f>
        <v>W22_2024</v>
      </c>
      <c r="T133" s="589" t="str">
        <f t="shared" ca="1" si="11"/>
        <v>up to 30 days</v>
      </c>
      <c r="W133" s="591"/>
    </row>
    <row r="134" spans="1:23" s="589" customFormat="1" x14ac:dyDescent="0.2">
      <c r="A134" s="589" t="s">
        <v>56</v>
      </c>
      <c r="B134" s="589" t="s">
        <v>894</v>
      </c>
      <c r="C134" s="590" t="s">
        <v>1885</v>
      </c>
      <c r="D134" s="589" t="s">
        <v>100</v>
      </c>
      <c r="E134" s="589" t="s">
        <v>104</v>
      </c>
      <c r="F134" s="589" t="s">
        <v>112</v>
      </c>
      <c r="G134" s="589" t="s">
        <v>51</v>
      </c>
      <c r="H134" s="589" t="s">
        <v>242</v>
      </c>
      <c r="I134" s="589" t="s">
        <v>2241</v>
      </c>
      <c r="J134" s="589" t="s">
        <v>35</v>
      </c>
      <c r="K134" s="591">
        <v>1200</v>
      </c>
      <c r="L134" s="592">
        <f>IF(J134="TND",1,IF(J134="EUR",Vertical_Cash_flow!$C$16,IF(J134="USD",Vertical_Cash_flow!$F$16,0)))</f>
        <v>1</v>
      </c>
      <c r="M134" s="593">
        <f t="shared" si="8"/>
        <v>1200</v>
      </c>
      <c r="N134" s="589" t="s">
        <v>251</v>
      </c>
      <c r="O134" s="594">
        <v>45380</v>
      </c>
      <c r="P134" s="593">
        <f t="shared" si="9"/>
        <v>-57</v>
      </c>
      <c r="Q134" s="594">
        <v>45437</v>
      </c>
      <c r="R134" s="593">
        <f t="shared" ca="1" si="10"/>
        <v>4</v>
      </c>
      <c r="S134" s="589" t="str">
        <f>VLOOKUP(Q134,Mapping!L:M,2,0)</f>
        <v>W22_2024</v>
      </c>
      <c r="T134" s="589" t="str">
        <f t="shared" ca="1" si="11"/>
        <v>up to 30 days</v>
      </c>
      <c r="W134" s="591"/>
    </row>
    <row r="135" spans="1:23" s="589" customFormat="1" x14ac:dyDescent="0.2">
      <c r="A135" s="589" t="s">
        <v>56</v>
      </c>
      <c r="B135" s="589" t="s">
        <v>2328</v>
      </c>
      <c r="C135" s="590" t="s">
        <v>2622</v>
      </c>
      <c r="D135" s="589" t="s">
        <v>100</v>
      </c>
      <c r="E135" s="589" t="s">
        <v>104</v>
      </c>
      <c r="F135" s="589" t="s">
        <v>112</v>
      </c>
      <c r="G135" s="589" t="s">
        <v>51</v>
      </c>
      <c r="H135" s="589" t="s">
        <v>242</v>
      </c>
      <c r="I135" s="589" t="s">
        <v>2932</v>
      </c>
      <c r="J135" s="589" t="s">
        <v>35</v>
      </c>
      <c r="K135" s="591">
        <v>11000</v>
      </c>
      <c r="L135" s="592">
        <f>IF(J135="TND",1,IF(J135="EUR",Vertical_Cash_flow!$C$16,IF(J135="USD",Vertical_Cash_flow!$F$16,0)))</f>
        <v>1</v>
      </c>
      <c r="M135" s="593">
        <f t="shared" si="8"/>
        <v>11000</v>
      </c>
      <c r="N135" s="589" t="s">
        <v>251</v>
      </c>
      <c r="O135" s="594">
        <v>45406</v>
      </c>
      <c r="P135" s="593">
        <f t="shared" si="9"/>
        <v>-31</v>
      </c>
      <c r="Q135" s="594">
        <v>45437</v>
      </c>
      <c r="R135" s="593">
        <f t="shared" ca="1" si="10"/>
        <v>4</v>
      </c>
      <c r="S135" s="589" t="str">
        <f>VLOOKUP(Q135,Mapping!L:M,2,0)</f>
        <v>W22_2024</v>
      </c>
      <c r="T135" s="589" t="str">
        <f t="shared" ca="1" si="11"/>
        <v>up to 30 days</v>
      </c>
      <c r="W135" s="591"/>
    </row>
    <row r="136" spans="1:23" s="589" customFormat="1" x14ac:dyDescent="0.2">
      <c r="A136" s="589" t="s">
        <v>56</v>
      </c>
      <c r="B136" s="589" t="s">
        <v>519</v>
      </c>
      <c r="C136" s="590" t="s">
        <v>2623</v>
      </c>
      <c r="D136" s="589" t="s">
        <v>100</v>
      </c>
      <c r="E136" s="589" t="s">
        <v>104</v>
      </c>
      <c r="F136" s="589" t="s">
        <v>112</v>
      </c>
      <c r="G136" s="589" t="s">
        <v>51</v>
      </c>
      <c r="H136" s="589" t="s">
        <v>242</v>
      </c>
      <c r="I136" s="589" t="s">
        <v>2933</v>
      </c>
      <c r="J136" s="589" t="s">
        <v>35</v>
      </c>
      <c r="K136" s="591">
        <v>2373.5410000000002</v>
      </c>
      <c r="L136" s="592">
        <f>IF(J136="TND",1,IF(J136="EUR",Vertical_Cash_flow!$C$16,IF(J136="USD",Vertical_Cash_flow!$F$16,0)))</f>
        <v>1</v>
      </c>
      <c r="M136" s="593">
        <f t="shared" si="8"/>
        <v>2373.5410000000002</v>
      </c>
      <c r="N136" s="589" t="s">
        <v>251</v>
      </c>
      <c r="O136" s="594">
        <v>45401</v>
      </c>
      <c r="P136" s="593">
        <f t="shared" si="9"/>
        <v>-36</v>
      </c>
      <c r="Q136" s="594">
        <v>45437</v>
      </c>
      <c r="R136" s="593">
        <f t="shared" ca="1" si="10"/>
        <v>4</v>
      </c>
      <c r="S136" s="589" t="str">
        <f>VLOOKUP(Q136,Mapping!L:M,2,0)</f>
        <v>W22_2024</v>
      </c>
      <c r="T136" s="589" t="str">
        <f t="shared" ca="1" si="11"/>
        <v>up to 30 days</v>
      </c>
      <c r="W136" s="591"/>
    </row>
    <row r="137" spans="1:23" s="589" customFormat="1" x14ac:dyDescent="0.2">
      <c r="A137" s="589" t="s">
        <v>56</v>
      </c>
      <c r="B137" s="589" t="s">
        <v>351</v>
      </c>
      <c r="C137" s="590" t="s">
        <v>2625</v>
      </c>
      <c r="D137" s="589" t="s">
        <v>100</v>
      </c>
      <c r="E137" s="589" t="s">
        <v>104</v>
      </c>
      <c r="F137" s="589" t="s">
        <v>112</v>
      </c>
      <c r="G137" s="589" t="s">
        <v>51</v>
      </c>
      <c r="H137" s="589" t="s">
        <v>242</v>
      </c>
      <c r="I137" s="589" t="s">
        <v>2935</v>
      </c>
      <c r="J137" s="589" t="s">
        <v>35</v>
      </c>
      <c r="K137" s="591">
        <v>2083.2570000000001</v>
      </c>
      <c r="L137" s="592">
        <f>IF(J137="TND",1,IF(J137="EUR",Vertical_Cash_flow!$C$16,IF(J137="USD",Vertical_Cash_flow!$F$16,0)))</f>
        <v>1</v>
      </c>
      <c r="M137" s="593">
        <f t="shared" si="8"/>
        <v>2083.2570000000001</v>
      </c>
      <c r="N137" s="589" t="s">
        <v>251</v>
      </c>
      <c r="O137" s="594">
        <v>45401</v>
      </c>
      <c r="P137" s="593">
        <f t="shared" si="9"/>
        <v>-36</v>
      </c>
      <c r="Q137" s="594">
        <v>45437</v>
      </c>
      <c r="R137" s="593">
        <f t="shared" ca="1" si="10"/>
        <v>4</v>
      </c>
      <c r="S137" s="589" t="str">
        <f>VLOOKUP(Q137,Mapping!L:M,2,0)</f>
        <v>W22_2024</v>
      </c>
      <c r="T137" s="589" t="str">
        <f t="shared" ca="1" si="11"/>
        <v>up to 30 days</v>
      </c>
      <c r="W137" s="591"/>
    </row>
    <row r="138" spans="1:23" s="589" customFormat="1" x14ac:dyDescent="0.2">
      <c r="A138" s="589" t="s">
        <v>56</v>
      </c>
      <c r="B138" s="589" t="s">
        <v>523</v>
      </c>
      <c r="C138" s="590" t="s">
        <v>2624</v>
      </c>
      <c r="D138" s="589" t="s">
        <v>100</v>
      </c>
      <c r="E138" s="589" t="s">
        <v>104</v>
      </c>
      <c r="F138" s="589" t="s">
        <v>112</v>
      </c>
      <c r="G138" s="589" t="s">
        <v>51</v>
      </c>
      <c r="H138" s="589" t="s">
        <v>242</v>
      </c>
      <c r="I138" s="589" t="s">
        <v>2934</v>
      </c>
      <c r="J138" s="589" t="s">
        <v>35</v>
      </c>
      <c r="K138" s="591">
        <v>1224</v>
      </c>
      <c r="L138" s="592">
        <f>IF(J138="TND",1,IF(J138="EUR",Vertical_Cash_flow!$C$16,IF(J138="USD",Vertical_Cash_flow!$F$16,0)))</f>
        <v>1</v>
      </c>
      <c r="M138" s="593">
        <f t="shared" si="8"/>
        <v>1224</v>
      </c>
      <c r="N138" s="589" t="s">
        <v>251</v>
      </c>
      <c r="O138" s="594">
        <v>45401</v>
      </c>
      <c r="P138" s="593">
        <f t="shared" si="9"/>
        <v>-36</v>
      </c>
      <c r="Q138" s="594">
        <v>45437</v>
      </c>
      <c r="R138" s="593">
        <f t="shared" ca="1" si="10"/>
        <v>4</v>
      </c>
      <c r="S138" s="589" t="str">
        <f>VLOOKUP(Q138,Mapping!L:M,2,0)</f>
        <v>W22_2024</v>
      </c>
      <c r="T138" s="589" t="str">
        <f t="shared" ca="1" si="11"/>
        <v>up to 30 days</v>
      </c>
      <c r="W138" s="591"/>
    </row>
    <row r="139" spans="1:23" s="589" customFormat="1" x14ac:dyDescent="0.2">
      <c r="A139" s="589" t="s">
        <v>56</v>
      </c>
      <c r="B139" s="589" t="s">
        <v>2327</v>
      </c>
      <c r="C139" s="590" t="s">
        <v>2626</v>
      </c>
      <c r="D139" s="589" t="s">
        <v>100</v>
      </c>
      <c r="E139" s="589" t="s">
        <v>104</v>
      </c>
      <c r="F139" s="589" t="s">
        <v>112</v>
      </c>
      <c r="G139" s="589" t="s">
        <v>51</v>
      </c>
      <c r="H139" s="589" t="s">
        <v>242</v>
      </c>
      <c r="I139" s="589" t="s">
        <v>2936</v>
      </c>
      <c r="J139" s="589" t="s">
        <v>35</v>
      </c>
      <c r="K139" s="591">
        <v>7043.5240000000003</v>
      </c>
      <c r="L139" s="592">
        <f>IF(J139="TND",1,IF(J139="EUR",Vertical_Cash_flow!$C$16,IF(J139="USD",Vertical_Cash_flow!$F$16,0)))</f>
        <v>1</v>
      </c>
      <c r="M139" s="593">
        <f t="shared" si="8"/>
        <v>7043.5240000000003</v>
      </c>
      <c r="N139" s="589" t="s">
        <v>251</v>
      </c>
      <c r="O139" s="594">
        <v>45397</v>
      </c>
      <c r="P139" s="593">
        <f t="shared" si="9"/>
        <v>-40</v>
      </c>
      <c r="Q139" s="594">
        <v>45437</v>
      </c>
      <c r="R139" s="593">
        <f t="shared" ca="1" si="10"/>
        <v>4</v>
      </c>
      <c r="S139" s="589" t="str">
        <f>VLOOKUP(Q139,Mapping!L:M,2,0)</f>
        <v>W22_2024</v>
      </c>
      <c r="T139" s="589" t="str">
        <f t="shared" ca="1" si="11"/>
        <v>up to 30 days</v>
      </c>
      <c r="W139" s="591"/>
    </row>
    <row r="140" spans="1:23" s="589" customFormat="1" x14ac:dyDescent="0.2">
      <c r="A140" s="589" t="s">
        <v>56</v>
      </c>
      <c r="B140" s="589" t="s">
        <v>1482</v>
      </c>
      <c r="C140" s="590" t="s">
        <v>2627</v>
      </c>
      <c r="D140" s="589" t="s">
        <v>100</v>
      </c>
      <c r="E140" s="589" t="s">
        <v>104</v>
      </c>
      <c r="F140" s="589" t="s">
        <v>112</v>
      </c>
      <c r="G140" s="589" t="s">
        <v>51</v>
      </c>
      <c r="H140" s="589" t="s">
        <v>242</v>
      </c>
      <c r="I140" s="589" t="s">
        <v>2937</v>
      </c>
      <c r="J140" s="589" t="s">
        <v>35</v>
      </c>
      <c r="K140" s="591">
        <v>1555.5519999999999</v>
      </c>
      <c r="L140" s="592">
        <f>IF(J140="TND",1,IF(J140="EUR",Vertical_Cash_flow!$C$16,IF(J140="USD",Vertical_Cash_flow!$F$16,0)))</f>
        <v>1</v>
      </c>
      <c r="M140" s="593">
        <f t="shared" si="8"/>
        <v>1555.5519999999999</v>
      </c>
      <c r="N140" s="589" t="s">
        <v>251</v>
      </c>
      <c r="O140" s="594">
        <v>45386</v>
      </c>
      <c r="P140" s="593">
        <f t="shared" si="9"/>
        <v>-51</v>
      </c>
      <c r="Q140" s="594">
        <v>45437</v>
      </c>
      <c r="R140" s="593">
        <f t="shared" ca="1" si="10"/>
        <v>4</v>
      </c>
      <c r="S140" s="589" t="str">
        <f>VLOOKUP(Q140,Mapping!L:M,2,0)</f>
        <v>W22_2024</v>
      </c>
      <c r="T140" s="589" t="str">
        <f t="shared" ca="1" si="11"/>
        <v>up to 30 days</v>
      </c>
      <c r="W140" s="591"/>
    </row>
    <row r="141" spans="1:23" s="589" customFormat="1" x14ac:dyDescent="0.2">
      <c r="A141" s="589" t="s">
        <v>56</v>
      </c>
      <c r="B141" s="589" t="s">
        <v>808</v>
      </c>
      <c r="C141" s="590" t="s">
        <v>1039</v>
      </c>
      <c r="D141" s="589" t="s">
        <v>100</v>
      </c>
      <c r="E141" s="589" t="s">
        <v>104</v>
      </c>
      <c r="F141" s="589" t="s">
        <v>112</v>
      </c>
      <c r="G141" s="589" t="s">
        <v>51</v>
      </c>
      <c r="H141" s="589" t="s">
        <v>242</v>
      </c>
      <c r="I141" s="589" t="s">
        <v>1044</v>
      </c>
      <c r="J141" s="589" t="s">
        <v>35</v>
      </c>
      <c r="K141" s="591">
        <v>3000</v>
      </c>
      <c r="L141" s="592">
        <f>IF(J141="TND",1,IF(J141="EUR",Vertical_Cash_flow!$C$16,IF(J141="USD",Vertical_Cash_flow!$F$16,0)))</f>
        <v>1</v>
      </c>
      <c r="M141" s="593">
        <f t="shared" si="8"/>
        <v>3000</v>
      </c>
      <c r="N141" s="589" t="s">
        <v>251</v>
      </c>
      <c r="O141" s="594">
        <v>45301</v>
      </c>
      <c r="P141" s="593">
        <f t="shared" si="9"/>
        <v>-136</v>
      </c>
      <c r="Q141" s="594">
        <v>45437</v>
      </c>
      <c r="R141" s="593">
        <f t="shared" ca="1" si="10"/>
        <v>4</v>
      </c>
      <c r="S141" s="589" t="str">
        <f>VLOOKUP(Q141,Mapping!L:M,2,0)</f>
        <v>W22_2024</v>
      </c>
      <c r="T141" s="589" t="str">
        <f t="shared" ca="1" si="11"/>
        <v>up to 30 days</v>
      </c>
      <c r="W141" s="591"/>
    </row>
    <row r="142" spans="1:23" s="589" customFormat="1" x14ac:dyDescent="0.2">
      <c r="A142" s="589" t="s">
        <v>56</v>
      </c>
      <c r="B142" s="589" t="s">
        <v>396</v>
      </c>
      <c r="C142" s="590" t="s">
        <v>1883</v>
      </c>
      <c r="D142" s="589" t="s">
        <v>100</v>
      </c>
      <c r="E142" s="589" t="s">
        <v>104</v>
      </c>
      <c r="F142" s="589" t="s">
        <v>112</v>
      </c>
      <c r="G142" s="589" t="s">
        <v>51</v>
      </c>
      <c r="H142" s="589" t="s">
        <v>242</v>
      </c>
      <c r="I142" s="589" t="s">
        <v>2240</v>
      </c>
      <c r="J142" s="589" t="s">
        <v>35</v>
      </c>
      <c r="K142" s="591">
        <v>790</v>
      </c>
      <c r="L142" s="592">
        <f>IF(J142="TND",1,IF(J142="EUR",Vertical_Cash_flow!$C$16,IF(J142="USD",Vertical_Cash_flow!$F$16,0)))</f>
        <v>1</v>
      </c>
      <c r="M142" s="593">
        <f t="shared" si="8"/>
        <v>790</v>
      </c>
      <c r="N142" s="589" t="s">
        <v>251</v>
      </c>
      <c r="O142" s="594">
        <v>45350</v>
      </c>
      <c r="P142" s="593">
        <f t="shared" si="9"/>
        <v>-87</v>
      </c>
      <c r="Q142" s="594">
        <v>45437</v>
      </c>
      <c r="R142" s="593">
        <f t="shared" ca="1" si="10"/>
        <v>4</v>
      </c>
      <c r="S142" s="589" t="str">
        <f>VLOOKUP(Q142,Mapping!L:M,2,0)</f>
        <v>W22_2024</v>
      </c>
      <c r="T142" s="589" t="str">
        <f t="shared" ca="1" si="11"/>
        <v>up to 30 days</v>
      </c>
      <c r="W142" s="591"/>
    </row>
    <row r="143" spans="1:23" s="589" customFormat="1" x14ac:dyDescent="0.2">
      <c r="A143" s="589" t="s">
        <v>56</v>
      </c>
      <c r="B143" s="589" t="s">
        <v>387</v>
      </c>
      <c r="C143" s="590" t="s">
        <v>1338</v>
      </c>
      <c r="D143" s="589" t="s">
        <v>100</v>
      </c>
      <c r="E143" s="589" t="s">
        <v>104</v>
      </c>
      <c r="F143" s="589" t="s">
        <v>112</v>
      </c>
      <c r="G143" s="589" t="s">
        <v>51</v>
      </c>
      <c r="H143" s="589" t="s">
        <v>242</v>
      </c>
      <c r="I143" s="589" t="s">
        <v>1437</v>
      </c>
      <c r="J143" s="589" t="s">
        <v>35</v>
      </c>
      <c r="K143" s="591">
        <v>1125.702</v>
      </c>
      <c r="L143" s="592">
        <f>IF(J143="TND",1,IF(J143="EUR",Vertical_Cash_flow!$C$16,IF(J143="USD",Vertical_Cash_flow!$F$16,0)))</f>
        <v>1</v>
      </c>
      <c r="M143" s="593">
        <f t="shared" si="8"/>
        <v>1125.702</v>
      </c>
      <c r="N143" s="589" t="s">
        <v>251</v>
      </c>
      <c r="O143" s="594">
        <v>45328</v>
      </c>
      <c r="P143" s="593">
        <f t="shared" si="9"/>
        <v>-109</v>
      </c>
      <c r="Q143" s="594">
        <v>45437</v>
      </c>
      <c r="R143" s="593">
        <f t="shared" ca="1" si="10"/>
        <v>4</v>
      </c>
      <c r="S143" s="589" t="str">
        <f>VLOOKUP(Q143,Mapping!L:M,2,0)</f>
        <v>W22_2024</v>
      </c>
      <c r="T143" s="589" t="str">
        <f t="shared" ca="1" si="11"/>
        <v>up to 30 days</v>
      </c>
      <c r="W143" s="591"/>
    </row>
    <row r="144" spans="1:23" s="589" customFormat="1" x14ac:dyDescent="0.2">
      <c r="A144" s="589" t="s">
        <v>56</v>
      </c>
      <c r="B144" s="589" t="s">
        <v>386</v>
      </c>
      <c r="C144" s="590" t="s">
        <v>1038</v>
      </c>
      <c r="D144" s="589" t="s">
        <v>100</v>
      </c>
      <c r="E144" s="589" t="s">
        <v>104</v>
      </c>
      <c r="F144" s="589" t="s">
        <v>112</v>
      </c>
      <c r="G144" s="589" t="s">
        <v>51</v>
      </c>
      <c r="H144" s="589" t="s">
        <v>242</v>
      </c>
      <c r="I144" s="589" t="s">
        <v>1043</v>
      </c>
      <c r="J144" s="589" t="s">
        <v>35</v>
      </c>
      <c r="K144" s="591">
        <v>3931.3519999999999</v>
      </c>
      <c r="L144" s="592">
        <f>IF(J144="TND",1,IF(J144="EUR",Vertical_Cash_flow!$C$16,IF(J144="USD",Vertical_Cash_flow!$F$16,0)))</f>
        <v>1</v>
      </c>
      <c r="M144" s="593">
        <f t="shared" si="8"/>
        <v>3931.3519999999999</v>
      </c>
      <c r="N144" s="589" t="s">
        <v>251</v>
      </c>
      <c r="O144" s="594">
        <v>45307</v>
      </c>
      <c r="P144" s="593">
        <f t="shared" si="9"/>
        <v>-130</v>
      </c>
      <c r="Q144" s="594">
        <v>45437</v>
      </c>
      <c r="R144" s="593">
        <f t="shared" ca="1" si="10"/>
        <v>4</v>
      </c>
      <c r="S144" s="589" t="str">
        <f>VLOOKUP(Q144,Mapping!L:M,2,0)</f>
        <v>W22_2024</v>
      </c>
      <c r="T144" s="589" t="str">
        <f t="shared" ca="1" si="11"/>
        <v>up to 30 days</v>
      </c>
      <c r="W144" s="591"/>
    </row>
    <row r="145" spans="1:23" s="589" customFormat="1" x14ac:dyDescent="0.2">
      <c r="A145" s="589" t="s">
        <v>56</v>
      </c>
      <c r="B145" s="589" t="s">
        <v>273</v>
      </c>
      <c r="C145" s="590" t="s">
        <v>1113</v>
      </c>
      <c r="D145" s="589" t="s">
        <v>100</v>
      </c>
      <c r="E145" s="589" t="s">
        <v>104</v>
      </c>
      <c r="F145" s="589" t="s">
        <v>112</v>
      </c>
      <c r="G145" s="589" t="s">
        <v>51</v>
      </c>
      <c r="H145" s="589" t="s">
        <v>242</v>
      </c>
      <c r="I145" s="589" t="s">
        <v>1188</v>
      </c>
      <c r="J145" s="589" t="s">
        <v>35</v>
      </c>
      <c r="K145" s="591">
        <v>500</v>
      </c>
      <c r="L145" s="592">
        <f>IF(J145="TND",1,IF(J145="EUR",Vertical_Cash_flow!$C$16,IF(J145="USD",Vertical_Cash_flow!$F$16,0)))</f>
        <v>1</v>
      </c>
      <c r="M145" s="593">
        <f t="shared" si="8"/>
        <v>500</v>
      </c>
      <c r="N145" s="589" t="s">
        <v>251</v>
      </c>
      <c r="O145" s="594">
        <v>45320</v>
      </c>
      <c r="P145" s="593">
        <f t="shared" si="9"/>
        <v>-117</v>
      </c>
      <c r="Q145" s="594">
        <v>45437</v>
      </c>
      <c r="R145" s="593">
        <f t="shared" ca="1" si="10"/>
        <v>4</v>
      </c>
      <c r="S145" s="589" t="str">
        <f>VLOOKUP(Q145,Mapping!L:M,2,0)</f>
        <v>W22_2024</v>
      </c>
      <c r="T145" s="589" t="str">
        <f t="shared" ca="1" si="11"/>
        <v>up to 30 days</v>
      </c>
      <c r="W145" s="591"/>
    </row>
    <row r="146" spans="1:23" s="589" customFormat="1" x14ac:dyDescent="0.2">
      <c r="A146" s="589" t="s">
        <v>56</v>
      </c>
      <c r="B146" s="589" t="s">
        <v>273</v>
      </c>
      <c r="C146" s="590" t="s">
        <v>3582</v>
      </c>
      <c r="D146" s="589" t="s">
        <v>100</v>
      </c>
      <c r="E146" s="589" t="s">
        <v>104</v>
      </c>
      <c r="F146" s="589" t="s">
        <v>112</v>
      </c>
      <c r="G146" s="589" t="s">
        <v>51</v>
      </c>
      <c r="H146" s="589" t="s">
        <v>242</v>
      </c>
      <c r="I146" s="589" t="s">
        <v>3725</v>
      </c>
      <c r="J146" s="589" t="s">
        <v>35</v>
      </c>
      <c r="K146" s="591">
        <v>700</v>
      </c>
      <c r="L146" s="592">
        <f>IF(J146="TND",1,IF(J146="EUR",Vertical_Cash_flow!$C$16,IF(J146="USD",Vertical_Cash_flow!$F$16,0)))</f>
        <v>1</v>
      </c>
      <c r="M146" s="593">
        <f t="shared" si="8"/>
        <v>700</v>
      </c>
      <c r="N146" s="589" t="s">
        <v>251</v>
      </c>
      <c r="O146" s="594">
        <v>45427</v>
      </c>
      <c r="P146" s="593">
        <f t="shared" si="9"/>
        <v>-10</v>
      </c>
      <c r="Q146" s="594">
        <v>45437</v>
      </c>
      <c r="R146" s="593">
        <f t="shared" ca="1" si="10"/>
        <v>4</v>
      </c>
      <c r="S146" s="589" t="str">
        <f>VLOOKUP(Q146,Mapping!L:M,2,0)</f>
        <v>W22_2024</v>
      </c>
      <c r="T146" s="589" t="str">
        <f t="shared" ca="1" si="11"/>
        <v>up to 30 days</v>
      </c>
      <c r="W146" s="591"/>
    </row>
    <row r="147" spans="1:23" s="589" customFormat="1" x14ac:dyDescent="0.2">
      <c r="A147" s="589" t="s">
        <v>56</v>
      </c>
      <c r="B147" s="589" t="s">
        <v>1480</v>
      </c>
      <c r="C147" s="590" t="s">
        <v>3581</v>
      </c>
      <c r="D147" s="589" t="s">
        <v>100</v>
      </c>
      <c r="E147" s="589" t="s">
        <v>104</v>
      </c>
      <c r="F147" s="589" t="s">
        <v>112</v>
      </c>
      <c r="G147" s="589" t="s">
        <v>51</v>
      </c>
      <c r="H147" s="589" t="s">
        <v>242</v>
      </c>
      <c r="I147" s="589" t="s">
        <v>3724</v>
      </c>
      <c r="J147" s="589" t="s">
        <v>35</v>
      </c>
      <c r="K147" s="591">
        <v>670.375</v>
      </c>
      <c r="L147" s="592">
        <f>IF(J147="TND",1,IF(J147="EUR",Vertical_Cash_flow!$C$16,IF(J147="USD",Vertical_Cash_flow!$F$16,0)))</f>
        <v>1</v>
      </c>
      <c r="M147" s="593">
        <f t="shared" si="8"/>
        <v>670.375</v>
      </c>
      <c r="N147" s="589" t="s">
        <v>251</v>
      </c>
      <c r="O147" s="594">
        <v>45426</v>
      </c>
      <c r="P147" s="593">
        <f t="shared" si="9"/>
        <v>-11</v>
      </c>
      <c r="Q147" s="594">
        <v>45437</v>
      </c>
      <c r="R147" s="593">
        <f t="shared" ca="1" si="10"/>
        <v>4</v>
      </c>
      <c r="S147" s="589" t="str">
        <f>VLOOKUP(Q147,Mapping!L:M,2,0)</f>
        <v>W22_2024</v>
      </c>
      <c r="T147" s="589" t="str">
        <f t="shared" ca="1" si="11"/>
        <v>up to 30 days</v>
      </c>
      <c r="W147" s="591"/>
    </row>
    <row r="148" spans="1:23" s="589" customFormat="1" x14ac:dyDescent="0.2">
      <c r="A148" s="589" t="s">
        <v>56</v>
      </c>
      <c r="B148" s="589" t="s">
        <v>720</v>
      </c>
      <c r="C148" s="590" t="s">
        <v>3207</v>
      </c>
      <c r="D148" s="589" t="s">
        <v>100</v>
      </c>
      <c r="E148" s="589" t="s">
        <v>104</v>
      </c>
      <c r="F148" s="589" t="s">
        <v>112</v>
      </c>
      <c r="G148" s="589" t="s">
        <v>51</v>
      </c>
      <c r="H148" s="589" t="s">
        <v>242</v>
      </c>
      <c r="I148" s="589" t="s">
        <v>3379</v>
      </c>
      <c r="J148" s="589" t="s">
        <v>35</v>
      </c>
      <c r="K148" s="591">
        <v>504.37099999999998</v>
      </c>
      <c r="L148" s="592">
        <f>IF(J148="TND",1,IF(J148="EUR",Vertical_Cash_flow!$C$16,IF(J148="USD",Vertical_Cash_flow!$F$16,0)))</f>
        <v>1</v>
      </c>
      <c r="M148" s="593">
        <f t="shared" si="8"/>
        <v>504.37099999999998</v>
      </c>
      <c r="N148" s="589" t="s">
        <v>251</v>
      </c>
      <c r="O148" s="594">
        <v>45419</v>
      </c>
      <c r="P148" s="593">
        <f t="shared" si="9"/>
        <v>-18</v>
      </c>
      <c r="Q148" s="594">
        <v>45437</v>
      </c>
      <c r="R148" s="593">
        <f t="shared" ca="1" si="10"/>
        <v>4</v>
      </c>
      <c r="S148" s="589" t="str">
        <f>VLOOKUP(Q148,Mapping!L:M,2,0)</f>
        <v>W22_2024</v>
      </c>
      <c r="T148" s="589" t="str">
        <f t="shared" ca="1" si="11"/>
        <v>up to 30 days</v>
      </c>
      <c r="W148" s="591"/>
    </row>
    <row r="149" spans="1:23" s="589" customFormat="1" x14ac:dyDescent="0.2">
      <c r="A149" s="589" t="s">
        <v>56</v>
      </c>
      <c r="B149" s="589" t="s">
        <v>482</v>
      </c>
      <c r="C149" s="590" t="s">
        <v>1110</v>
      </c>
      <c r="D149" s="589" t="s">
        <v>100</v>
      </c>
      <c r="E149" s="589" t="s">
        <v>104</v>
      </c>
      <c r="F149" s="589" t="s">
        <v>112</v>
      </c>
      <c r="G149" s="589" t="s">
        <v>51</v>
      </c>
      <c r="H149" s="589" t="s">
        <v>242</v>
      </c>
      <c r="I149" s="589" t="s">
        <v>1185</v>
      </c>
      <c r="J149" s="589" t="s">
        <v>35</v>
      </c>
      <c r="K149" s="591">
        <v>1011.06</v>
      </c>
      <c r="L149" s="592">
        <f>IF(J149="TND",1,IF(J149="EUR",Vertical_Cash_flow!$C$16,IF(J149="USD",Vertical_Cash_flow!$F$16,0)))</f>
        <v>1</v>
      </c>
      <c r="M149" s="593">
        <f t="shared" ref="M149:M212" si="12">K149/L149</f>
        <v>1011.06</v>
      </c>
      <c r="N149" s="589" t="s">
        <v>251</v>
      </c>
      <c r="O149" s="594">
        <v>45317</v>
      </c>
      <c r="P149" s="593">
        <f t="shared" ref="P149:P212" si="13">O149-Q149</f>
        <v>-120</v>
      </c>
      <c r="Q149" s="594">
        <v>45437</v>
      </c>
      <c r="R149" s="593">
        <f t="shared" ref="R149:R212" ca="1" si="14">$W$1-Q149</f>
        <v>4</v>
      </c>
      <c r="S149" s="589" t="str">
        <f>VLOOKUP(Q149,Mapping!L:M,2,0)</f>
        <v>W22_2024</v>
      </c>
      <c r="T149" s="589" t="str">
        <f t="shared" ref="T149:T212" ca="1" si="15">IF(R149="","",IF(R149&lt;0,"Not Due",IF(AND(R149&gt;=0,R149&lt;=30),"up to 30 days",IF(AND(R149&gt;30,R149&lt;=60),"30-60 days",IF(AND(R149&gt;60,R149&lt;=90),"60-90 days",IF(AND(R149&gt;90,R149&lt;=120),"90-120 days",IF(AND(R149&gt;120,R149&lt;=180),"120-180 days",IF(AND(R149&gt;180,R149&lt;=360),"180-360 days",IF(R149&gt;360,"more than 360 days","ok")))))))))</f>
        <v>up to 30 days</v>
      </c>
      <c r="W149" s="591"/>
    </row>
    <row r="150" spans="1:23" s="589" customFormat="1" x14ac:dyDescent="0.2">
      <c r="A150" s="589" t="s">
        <v>56</v>
      </c>
      <c r="B150" s="589" t="s">
        <v>482</v>
      </c>
      <c r="C150" s="590" t="s">
        <v>1112</v>
      </c>
      <c r="D150" s="589" t="s">
        <v>100</v>
      </c>
      <c r="E150" s="589" t="s">
        <v>104</v>
      </c>
      <c r="F150" s="589" t="s">
        <v>112</v>
      </c>
      <c r="G150" s="589" t="s">
        <v>51</v>
      </c>
      <c r="H150" s="589" t="s">
        <v>242</v>
      </c>
      <c r="I150" s="589" t="s">
        <v>1187</v>
      </c>
      <c r="J150" s="589" t="s">
        <v>35</v>
      </c>
      <c r="K150" s="591">
        <v>1350</v>
      </c>
      <c r="L150" s="592">
        <f>IF(J150="TND",1,IF(J150="EUR",Vertical_Cash_flow!$C$16,IF(J150="USD",Vertical_Cash_flow!$F$16,0)))</f>
        <v>1</v>
      </c>
      <c r="M150" s="593">
        <f t="shared" si="12"/>
        <v>1350</v>
      </c>
      <c r="N150" s="589" t="s">
        <v>251</v>
      </c>
      <c r="O150" s="594">
        <v>45317</v>
      </c>
      <c r="P150" s="593">
        <f t="shared" si="13"/>
        <v>-120</v>
      </c>
      <c r="Q150" s="594">
        <v>45437</v>
      </c>
      <c r="R150" s="593">
        <f t="shared" ca="1" si="14"/>
        <v>4</v>
      </c>
      <c r="S150" s="589" t="str">
        <f>VLOOKUP(Q150,Mapping!L:M,2,0)</f>
        <v>W22_2024</v>
      </c>
      <c r="T150" s="589" t="str">
        <f t="shared" ca="1" si="15"/>
        <v>up to 30 days</v>
      </c>
      <c r="W150" s="591"/>
    </row>
    <row r="151" spans="1:23" s="589" customFormat="1" x14ac:dyDescent="0.2">
      <c r="A151" s="589" t="s">
        <v>56</v>
      </c>
      <c r="B151" s="589" t="s">
        <v>1243</v>
      </c>
      <c r="C151" s="590" t="s">
        <v>1337</v>
      </c>
      <c r="D151" s="589" t="s">
        <v>100</v>
      </c>
      <c r="E151" s="589" t="s">
        <v>104</v>
      </c>
      <c r="F151" s="589" t="s">
        <v>112</v>
      </c>
      <c r="G151" s="589" t="s">
        <v>51</v>
      </c>
      <c r="H151" s="589" t="s">
        <v>242</v>
      </c>
      <c r="I151" s="589" t="s">
        <v>1436</v>
      </c>
      <c r="J151" s="589" t="s">
        <v>35</v>
      </c>
      <c r="K151" s="591">
        <v>2088.0529999999999</v>
      </c>
      <c r="L151" s="592">
        <f>IF(J151="TND",1,IF(J151="EUR",Vertical_Cash_flow!$C$16,IF(J151="USD",Vertical_Cash_flow!$F$16,0)))</f>
        <v>1</v>
      </c>
      <c r="M151" s="593">
        <f t="shared" si="12"/>
        <v>2088.0529999999999</v>
      </c>
      <c r="N151" s="589" t="s">
        <v>251</v>
      </c>
      <c r="O151" s="594">
        <v>45336</v>
      </c>
      <c r="P151" s="593">
        <f t="shared" si="13"/>
        <v>-101</v>
      </c>
      <c r="Q151" s="594">
        <v>45437</v>
      </c>
      <c r="R151" s="593">
        <f t="shared" ca="1" si="14"/>
        <v>4</v>
      </c>
      <c r="S151" s="589" t="str">
        <f>VLOOKUP(Q151,Mapping!L:M,2,0)</f>
        <v>W22_2024</v>
      </c>
      <c r="T151" s="589" t="str">
        <f t="shared" ca="1" si="15"/>
        <v>up to 30 days</v>
      </c>
      <c r="W151" s="591"/>
    </row>
    <row r="152" spans="1:23" s="589" customFormat="1" x14ac:dyDescent="0.2">
      <c r="A152" s="589" t="s">
        <v>56</v>
      </c>
      <c r="B152" s="589" t="s">
        <v>482</v>
      </c>
      <c r="C152" s="590" t="s">
        <v>1111</v>
      </c>
      <c r="D152" s="589" t="s">
        <v>100</v>
      </c>
      <c r="E152" s="589" t="s">
        <v>104</v>
      </c>
      <c r="F152" s="589" t="s">
        <v>112</v>
      </c>
      <c r="G152" s="589" t="s">
        <v>51</v>
      </c>
      <c r="H152" s="589" t="s">
        <v>242</v>
      </c>
      <c r="I152" s="589" t="s">
        <v>1186</v>
      </c>
      <c r="J152" s="589" t="s">
        <v>35</v>
      </c>
      <c r="K152" s="591">
        <v>1350</v>
      </c>
      <c r="L152" s="592">
        <f>IF(J152="TND",1,IF(J152="EUR",Vertical_Cash_flow!$C$16,IF(J152="USD",Vertical_Cash_flow!$F$16,0)))</f>
        <v>1</v>
      </c>
      <c r="M152" s="593">
        <f t="shared" si="12"/>
        <v>1350</v>
      </c>
      <c r="N152" s="589" t="s">
        <v>251</v>
      </c>
      <c r="O152" s="594">
        <v>45317</v>
      </c>
      <c r="P152" s="593">
        <f t="shared" si="13"/>
        <v>-120</v>
      </c>
      <c r="Q152" s="594">
        <v>45437</v>
      </c>
      <c r="R152" s="593">
        <f t="shared" ca="1" si="14"/>
        <v>4</v>
      </c>
      <c r="S152" s="589" t="str">
        <f>VLOOKUP(Q152,Mapping!L:M,2,0)</f>
        <v>W22_2024</v>
      </c>
      <c r="T152" s="589" t="str">
        <f t="shared" ca="1" si="15"/>
        <v>up to 30 days</v>
      </c>
      <c r="W152" s="591"/>
    </row>
    <row r="153" spans="1:23" s="589" customFormat="1" x14ac:dyDescent="0.2">
      <c r="A153" s="589" t="s">
        <v>56</v>
      </c>
      <c r="B153" s="589" t="s">
        <v>328</v>
      </c>
      <c r="C153" s="590" t="s">
        <v>1336</v>
      </c>
      <c r="D153" s="589" t="s">
        <v>100</v>
      </c>
      <c r="E153" s="589" t="s">
        <v>104</v>
      </c>
      <c r="F153" s="589" t="s">
        <v>112</v>
      </c>
      <c r="G153" s="589" t="s">
        <v>51</v>
      </c>
      <c r="H153" s="589" t="s">
        <v>242</v>
      </c>
      <c r="I153" s="589" t="s">
        <v>1435</v>
      </c>
      <c r="J153" s="589" t="s">
        <v>35</v>
      </c>
      <c r="K153" s="591">
        <v>1214.76</v>
      </c>
      <c r="L153" s="592">
        <f>IF(J153="TND",1,IF(J153="EUR",Vertical_Cash_flow!$C$16,IF(J153="USD",Vertical_Cash_flow!$F$16,0)))</f>
        <v>1</v>
      </c>
      <c r="M153" s="593">
        <f t="shared" si="12"/>
        <v>1214.76</v>
      </c>
      <c r="N153" s="589" t="s">
        <v>251</v>
      </c>
      <c r="O153" s="594">
        <v>45337</v>
      </c>
      <c r="P153" s="593">
        <f t="shared" si="13"/>
        <v>-100</v>
      </c>
      <c r="Q153" s="594">
        <v>45437</v>
      </c>
      <c r="R153" s="593">
        <f t="shared" ca="1" si="14"/>
        <v>4</v>
      </c>
      <c r="S153" s="589" t="str">
        <f>VLOOKUP(Q153,Mapping!L:M,2,0)</f>
        <v>W22_2024</v>
      </c>
      <c r="T153" s="589" t="str">
        <f t="shared" ca="1" si="15"/>
        <v>up to 30 days</v>
      </c>
      <c r="W153" s="591"/>
    </row>
    <row r="154" spans="1:23" s="589" customFormat="1" x14ac:dyDescent="0.2">
      <c r="A154" s="589" t="s">
        <v>56</v>
      </c>
      <c r="B154" s="589" t="s">
        <v>617</v>
      </c>
      <c r="C154" s="590" t="s">
        <v>1882</v>
      </c>
      <c r="D154" s="589" t="s">
        <v>100</v>
      </c>
      <c r="E154" s="589" t="s">
        <v>104</v>
      </c>
      <c r="F154" s="589" t="s">
        <v>112</v>
      </c>
      <c r="G154" s="589" t="s">
        <v>51</v>
      </c>
      <c r="H154" s="589" t="s">
        <v>242</v>
      </c>
      <c r="I154" s="589" t="s">
        <v>2239</v>
      </c>
      <c r="J154" s="589" t="s">
        <v>35</v>
      </c>
      <c r="K154" s="591">
        <v>1553.0350000000001</v>
      </c>
      <c r="L154" s="592">
        <f>IF(J154="TND",1,IF(J154="EUR",Vertical_Cash_flow!$C$16,IF(J154="USD",Vertical_Cash_flow!$F$16,0)))</f>
        <v>1</v>
      </c>
      <c r="M154" s="593">
        <f t="shared" si="12"/>
        <v>1553.0350000000001</v>
      </c>
      <c r="N154" s="589" t="s">
        <v>251</v>
      </c>
      <c r="O154" s="594">
        <v>45359</v>
      </c>
      <c r="P154" s="593">
        <f t="shared" si="13"/>
        <v>-78</v>
      </c>
      <c r="Q154" s="594">
        <v>45437</v>
      </c>
      <c r="R154" s="593">
        <f t="shared" ca="1" si="14"/>
        <v>4</v>
      </c>
      <c r="S154" s="589" t="str">
        <f>VLOOKUP(Q154,Mapping!L:M,2,0)</f>
        <v>W22_2024</v>
      </c>
      <c r="T154" s="589" t="str">
        <f t="shared" ca="1" si="15"/>
        <v>up to 30 days</v>
      </c>
      <c r="W154" s="591"/>
    </row>
    <row r="155" spans="1:23" s="589" customFormat="1" x14ac:dyDescent="0.2">
      <c r="A155" s="589" t="s">
        <v>56</v>
      </c>
      <c r="B155" s="589" t="s">
        <v>980</v>
      </c>
      <c r="C155" s="590" t="s">
        <v>2621</v>
      </c>
      <c r="D155" s="589" t="s">
        <v>100</v>
      </c>
      <c r="E155" s="589" t="s">
        <v>104</v>
      </c>
      <c r="F155" s="589" t="s">
        <v>112</v>
      </c>
      <c r="G155" s="589" t="s">
        <v>51</v>
      </c>
      <c r="H155" s="589" t="s">
        <v>242</v>
      </c>
      <c r="I155" s="589" t="s">
        <v>2270</v>
      </c>
      <c r="J155" s="589" t="s">
        <v>35</v>
      </c>
      <c r="K155" s="591">
        <v>2389.77</v>
      </c>
      <c r="L155" s="592">
        <f>IF(J155="TND",1,IF(J155="EUR",Vertical_Cash_flow!$C$16,IF(J155="USD",Vertical_Cash_flow!$F$16,0)))</f>
        <v>1</v>
      </c>
      <c r="M155" s="593">
        <f t="shared" si="12"/>
        <v>2389.77</v>
      </c>
      <c r="N155" s="589" t="s">
        <v>251</v>
      </c>
      <c r="O155" s="594">
        <v>45399</v>
      </c>
      <c r="P155" s="593">
        <f t="shared" si="13"/>
        <v>-38</v>
      </c>
      <c r="Q155" s="594">
        <v>45437</v>
      </c>
      <c r="R155" s="593">
        <f t="shared" ca="1" si="14"/>
        <v>4</v>
      </c>
      <c r="S155" s="589" t="str">
        <f>VLOOKUP(Q155,Mapping!L:M,2,0)</f>
        <v>W22_2024</v>
      </c>
      <c r="T155" s="589" t="str">
        <f t="shared" ca="1" si="15"/>
        <v>up to 30 days</v>
      </c>
      <c r="W155" s="591"/>
    </row>
    <row r="156" spans="1:23" s="589" customFormat="1" x14ac:dyDescent="0.2">
      <c r="A156" s="589" t="s">
        <v>56</v>
      </c>
      <c r="B156" s="589" t="s">
        <v>729</v>
      </c>
      <c r="C156" s="590" t="s">
        <v>3206</v>
      </c>
      <c r="D156" s="589" t="s">
        <v>100</v>
      </c>
      <c r="E156" s="589" t="s">
        <v>104</v>
      </c>
      <c r="F156" s="589" t="s">
        <v>112</v>
      </c>
      <c r="G156" s="589" t="s">
        <v>51</v>
      </c>
      <c r="H156" s="589" t="s">
        <v>242</v>
      </c>
      <c r="I156" s="589" t="s">
        <v>3378</v>
      </c>
      <c r="J156" s="589" t="s">
        <v>35</v>
      </c>
      <c r="K156" s="591">
        <v>1281.2909999999999</v>
      </c>
      <c r="L156" s="592">
        <f>IF(J156="TND",1,IF(J156="EUR",Vertical_Cash_flow!$C$16,IF(J156="USD",Vertical_Cash_flow!$F$16,0)))</f>
        <v>1</v>
      </c>
      <c r="M156" s="593">
        <f t="shared" si="12"/>
        <v>1281.2909999999999</v>
      </c>
      <c r="N156" s="589" t="s">
        <v>251</v>
      </c>
      <c r="O156" s="594">
        <v>45418</v>
      </c>
      <c r="P156" s="593">
        <f t="shared" si="13"/>
        <v>-19</v>
      </c>
      <c r="Q156" s="594">
        <v>45437</v>
      </c>
      <c r="R156" s="593">
        <f t="shared" ca="1" si="14"/>
        <v>4</v>
      </c>
      <c r="S156" s="589" t="str">
        <f>VLOOKUP(Q156,Mapping!L:M,2,0)</f>
        <v>W22_2024</v>
      </c>
      <c r="T156" s="589" t="str">
        <f t="shared" ca="1" si="15"/>
        <v>up to 30 days</v>
      </c>
      <c r="W156" s="591"/>
    </row>
    <row r="157" spans="1:23" s="589" customFormat="1" x14ac:dyDescent="0.2">
      <c r="A157" s="589" t="s">
        <v>56</v>
      </c>
      <c r="B157" s="589" t="s">
        <v>570</v>
      </c>
      <c r="C157" s="590" t="s">
        <v>987</v>
      </c>
      <c r="D157" s="589" t="s">
        <v>100</v>
      </c>
      <c r="E157" s="589" t="s">
        <v>104</v>
      </c>
      <c r="F157" s="589" t="s">
        <v>112</v>
      </c>
      <c r="G157" s="589" t="s">
        <v>51</v>
      </c>
      <c r="H157" s="589" t="s">
        <v>242</v>
      </c>
      <c r="I157" s="589" t="s">
        <v>998</v>
      </c>
      <c r="J157" s="589" t="s">
        <v>35</v>
      </c>
      <c r="K157" s="591">
        <v>33791.406999999999</v>
      </c>
      <c r="L157" s="592">
        <f>IF(J157="TND",1,IF(J157="EUR",Vertical_Cash_flow!$C$16,IF(J157="USD",Vertical_Cash_flow!$F$16,0)))</f>
        <v>1</v>
      </c>
      <c r="M157" s="593">
        <f t="shared" si="12"/>
        <v>33791.406999999999</v>
      </c>
      <c r="N157" s="589" t="s">
        <v>251</v>
      </c>
      <c r="O157" s="594">
        <v>45272</v>
      </c>
      <c r="P157" s="593">
        <f t="shared" si="13"/>
        <v>-166</v>
      </c>
      <c r="Q157" s="594">
        <v>45438</v>
      </c>
      <c r="R157" s="593">
        <f t="shared" ca="1" si="14"/>
        <v>3</v>
      </c>
      <c r="S157" s="589" t="str">
        <f>VLOOKUP(Q157,Mapping!L:M,2,0)</f>
        <v>W22_2024</v>
      </c>
      <c r="T157" s="589" t="str">
        <f t="shared" ca="1" si="15"/>
        <v>up to 30 days</v>
      </c>
      <c r="W157" s="591"/>
    </row>
    <row r="158" spans="1:23" s="589" customFormat="1" x14ac:dyDescent="0.2">
      <c r="A158" s="589" t="s">
        <v>56</v>
      </c>
      <c r="B158" s="589" t="s">
        <v>274</v>
      </c>
      <c r="C158" s="590" t="s">
        <v>1109</v>
      </c>
      <c r="D158" s="589" t="s">
        <v>100</v>
      </c>
      <c r="E158" s="589" t="s">
        <v>104</v>
      </c>
      <c r="F158" s="589" t="s">
        <v>112</v>
      </c>
      <c r="G158" s="589" t="s">
        <v>51</v>
      </c>
      <c r="H158" s="589" t="s">
        <v>242</v>
      </c>
      <c r="I158" s="589" t="s">
        <v>1184</v>
      </c>
      <c r="J158" s="589" t="s">
        <v>35</v>
      </c>
      <c r="K158" s="591">
        <v>845</v>
      </c>
      <c r="L158" s="592">
        <f>IF(J158="TND",1,IF(J158="EUR",Vertical_Cash_flow!$C$16,IF(J158="USD",Vertical_Cash_flow!$F$16,0)))</f>
        <v>1</v>
      </c>
      <c r="M158" s="593">
        <f t="shared" si="12"/>
        <v>845</v>
      </c>
      <c r="N158" s="589" t="s">
        <v>251</v>
      </c>
      <c r="O158" s="594">
        <v>45316</v>
      </c>
      <c r="P158" s="593">
        <f t="shared" si="13"/>
        <v>-122</v>
      </c>
      <c r="Q158" s="594">
        <v>45438</v>
      </c>
      <c r="R158" s="593">
        <f t="shared" ca="1" si="14"/>
        <v>3</v>
      </c>
      <c r="S158" s="589" t="str">
        <f>VLOOKUP(Q158,Mapping!L:M,2,0)</f>
        <v>W22_2024</v>
      </c>
      <c r="T158" s="589" t="str">
        <f t="shared" ca="1" si="15"/>
        <v>up to 30 days</v>
      </c>
      <c r="W158" s="591"/>
    </row>
    <row r="159" spans="1:23" s="589" customFormat="1" x14ac:dyDescent="0.2">
      <c r="A159" s="589" t="s">
        <v>56</v>
      </c>
      <c r="B159" s="589" t="s">
        <v>544</v>
      </c>
      <c r="C159" s="590" t="s">
        <v>1881</v>
      </c>
      <c r="D159" s="589" t="s">
        <v>100</v>
      </c>
      <c r="E159" s="589" t="s">
        <v>104</v>
      </c>
      <c r="F159" s="589" t="s">
        <v>112</v>
      </c>
      <c r="G159" s="589" t="s">
        <v>51</v>
      </c>
      <c r="H159" s="589" t="s">
        <v>242</v>
      </c>
      <c r="I159" s="589" t="s">
        <v>2238</v>
      </c>
      <c r="J159" s="589" t="s">
        <v>35</v>
      </c>
      <c r="K159" s="591">
        <v>2198.8409999999999</v>
      </c>
      <c r="L159" s="592">
        <f>IF(J159="TND",1,IF(J159="EUR",Vertical_Cash_flow!$C$16,IF(J159="USD",Vertical_Cash_flow!$F$16,0)))</f>
        <v>1</v>
      </c>
      <c r="M159" s="593">
        <f t="shared" si="12"/>
        <v>2198.8409999999999</v>
      </c>
      <c r="N159" s="589" t="s">
        <v>251</v>
      </c>
      <c r="O159" s="594">
        <v>45381</v>
      </c>
      <c r="P159" s="593">
        <f t="shared" si="13"/>
        <v>-57</v>
      </c>
      <c r="Q159" s="594">
        <v>45438</v>
      </c>
      <c r="R159" s="593">
        <f t="shared" ca="1" si="14"/>
        <v>3</v>
      </c>
      <c r="S159" s="589" t="str">
        <f>VLOOKUP(Q159,Mapping!L:M,2,0)</f>
        <v>W22_2024</v>
      </c>
      <c r="T159" s="589" t="str">
        <f t="shared" ca="1" si="15"/>
        <v>up to 30 days</v>
      </c>
      <c r="W159" s="591"/>
    </row>
    <row r="160" spans="1:23" s="589" customFormat="1" x14ac:dyDescent="0.2">
      <c r="A160" s="589" t="s">
        <v>56</v>
      </c>
      <c r="B160" s="589" t="s">
        <v>498</v>
      </c>
      <c r="C160" s="590" t="s">
        <v>1108</v>
      </c>
      <c r="D160" s="589" t="s">
        <v>100</v>
      </c>
      <c r="E160" s="589" t="s">
        <v>104</v>
      </c>
      <c r="F160" s="589" t="s">
        <v>112</v>
      </c>
      <c r="G160" s="589" t="s">
        <v>51</v>
      </c>
      <c r="H160" s="589" t="s">
        <v>242</v>
      </c>
      <c r="I160" s="589" t="s">
        <v>1183</v>
      </c>
      <c r="J160" s="589" t="s">
        <v>35</v>
      </c>
      <c r="K160" s="591">
        <v>8275</v>
      </c>
      <c r="L160" s="592">
        <f>IF(J160="TND",1,IF(J160="EUR",Vertical_Cash_flow!$C$16,IF(J160="USD",Vertical_Cash_flow!$F$16,0)))</f>
        <v>1</v>
      </c>
      <c r="M160" s="593">
        <f t="shared" si="12"/>
        <v>8275</v>
      </c>
      <c r="N160" s="589" t="s">
        <v>251</v>
      </c>
      <c r="O160" s="594">
        <v>45320</v>
      </c>
      <c r="P160" s="593">
        <f t="shared" si="13"/>
        <v>-118</v>
      </c>
      <c r="Q160" s="594">
        <v>45438</v>
      </c>
      <c r="R160" s="593">
        <f t="shared" ca="1" si="14"/>
        <v>3</v>
      </c>
      <c r="S160" s="589" t="str">
        <f>VLOOKUP(Q160,Mapping!L:M,2,0)</f>
        <v>W22_2024</v>
      </c>
      <c r="T160" s="589" t="str">
        <f t="shared" ca="1" si="15"/>
        <v>up to 30 days</v>
      </c>
      <c r="W160" s="591"/>
    </row>
    <row r="161" spans="1:23" s="589" customFormat="1" x14ac:dyDescent="0.2">
      <c r="A161" s="589" t="s">
        <v>56</v>
      </c>
      <c r="B161" s="589" t="s">
        <v>1035</v>
      </c>
      <c r="C161" s="590" t="s">
        <v>2620</v>
      </c>
      <c r="D161" s="589" t="s">
        <v>100</v>
      </c>
      <c r="E161" s="589" t="s">
        <v>104</v>
      </c>
      <c r="F161" s="589" t="s">
        <v>112</v>
      </c>
      <c r="G161" s="589" t="s">
        <v>51</v>
      </c>
      <c r="H161" s="589" t="s">
        <v>242</v>
      </c>
      <c r="I161" s="589" t="s">
        <v>2931</v>
      </c>
      <c r="J161" s="589" t="s">
        <v>35</v>
      </c>
      <c r="K161" s="591">
        <v>2004.903</v>
      </c>
      <c r="L161" s="592">
        <f>IF(J161="TND",1,IF(J161="EUR",Vertical_Cash_flow!$C$16,IF(J161="USD",Vertical_Cash_flow!$F$16,0)))</f>
        <v>1</v>
      </c>
      <c r="M161" s="593">
        <f t="shared" si="12"/>
        <v>2004.903</v>
      </c>
      <c r="N161" s="589" t="s">
        <v>251</v>
      </c>
      <c r="O161" s="594">
        <v>45387</v>
      </c>
      <c r="P161" s="593">
        <f t="shared" si="13"/>
        <v>-52</v>
      </c>
      <c r="Q161" s="594">
        <v>45439</v>
      </c>
      <c r="R161" s="593">
        <f t="shared" ca="1" si="14"/>
        <v>2</v>
      </c>
      <c r="S161" s="589" t="str">
        <f>VLOOKUP(Q161,Mapping!L:M,2,0)</f>
        <v>W22_2024</v>
      </c>
      <c r="T161" s="589" t="str">
        <f t="shared" ca="1" si="15"/>
        <v>up to 30 days</v>
      </c>
      <c r="W161" s="591"/>
    </row>
    <row r="162" spans="1:23" s="589" customFormat="1" x14ac:dyDescent="0.2">
      <c r="A162" s="589" t="s">
        <v>56</v>
      </c>
      <c r="B162" s="589" t="s">
        <v>285</v>
      </c>
      <c r="C162" s="590" t="s">
        <v>1335</v>
      </c>
      <c r="D162" s="589" t="s">
        <v>100</v>
      </c>
      <c r="E162" s="589" t="s">
        <v>104</v>
      </c>
      <c r="F162" s="589" t="s">
        <v>112</v>
      </c>
      <c r="G162" s="589" t="s">
        <v>51</v>
      </c>
      <c r="H162" s="589" t="s">
        <v>242</v>
      </c>
      <c r="I162" s="589" t="s">
        <v>1434</v>
      </c>
      <c r="J162" s="589" t="s">
        <v>35</v>
      </c>
      <c r="K162" s="591">
        <v>1505.904</v>
      </c>
      <c r="L162" s="592">
        <f>IF(J162="TND",1,IF(J162="EUR",Vertical_Cash_flow!$C$16,IF(J162="USD",Vertical_Cash_flow!$F$16,0)))</f>
        <v>1</v>
      </c>
      <c r="M162" s="593">
        <f t="shared" si="12"/>
        <v>1505.904</v>
      </c>
      <c r="N162" s="589" t="s">
        <v>251</v>
      </c>
      <c r="O162" s="594">
        <v>45329</v>
      </c>
      <c r="P162" s="593">
        <f t="shared" si="13"/>
        <v>-110</v>
      </c>
      <c r="Q162" s="594">
        <v>45439</v>
      </c>
      <c r="R162" s="593">
        <f t="shared" ca="1" si="14"/>
        <v>2</v>
      </c>
      <c r="S162" s="589" t="str">
        <f>VLOOKUP(Q162,Mapping!L:M,2,0)</f>
        <v>W22_2024</v>
      </c>
      <c r="T162" s="589" t="str">
        <f t="shared" ca="1" si="15"/>
        <v>up to 30 days</v>
      </c>
      <c r="W162" s="591"/>
    </row>
    <row r="163" spans="1:23" s="589" customFormat="1" x14ac:dyDescent="0.2">
      <c r="A163" s="589" t="s">
        <v>56</v>
      </c>
      <c r="B163" s="589" t="s">
        <v>477</v>
      </c>
      <c r="C163" s="590" t="s">
        <v>1880</v>
      </c>
      <c r="D163" s="589" t="s">
        <v>100</v>
      </c>
      <c r="E163" s="589" t="s">
        <v>104</v>
      </c>
      <c r="F163" s="589" t="s">
        <v>112</v>
      </c>
      <c r="G163" s="589" t="s">
        <v>51</v>
      </c>
      <c r="H163" s="589" t="s">
        <v>242</v>
      </c>
      <c r="I163" s="589" t="s">
        <v>895</v>
      </c>
      <c r="J163" s="589" t="s">
        <v>35</v>
      </c>
      <c r="K163" s="591">
        <v>1900</v>
      </c>
      <c r="L163" s="592">
        <f>IF(J163="TND",1,IF(J163="EUR",Vertical_Cash_flow!$C$16,IF(J163="USD",Vertical_Cash_flow!$F$16,0)))</f>
        <v>1</v>
      </c>
      <c r="M163" s="593">
        <f t="shared" si="12"/>
        <v>1900</v>
      </c>
      <c r="N163" s="589" t="s">
        <v>251</v>
      </c>
      <c r="O163" s="594">
        <v>45357</v>
      </c>
      <c r="P163" s="593">
        <f t="shared" si="13"/>
        <v>-82</v>
      </c>
      <c r="Q163" s="594">
        <v>45439</v>
      </c>
      <c r="R163" s="593">
        <f t="shared" ca="1" si="14"/>
        <v>2</v>
      </c>
      <c r="S163" s="589" t="str">
        <f>VLOOKUP(Q163,Mapping!L:M,2,0)</f>
        <v>W22_2024</v>
      </c>
      <c r="T163" s="589" t="str">
        <f t="shared" ca="1" si="15"/>
        <v>up to 30 days</v>
      </c>
      <c r="W163" s="591"/>
    </row>
    <row r="164" spans="1:23" s="589" customFormat="1" x14ac:dyDescent="0.2">
      <c r="A164" s="589" t="s">
        <v>56</v>
      </c>
      <c r="B164" s="589" t="s">
        <v>274</v>
      </c>
      <c r="C164" s="590" t="s">
        <v>1107</v>
      </c>
      <c r="D164" s="589" t="s">
        <v>100</v>
      </c>
      <c r="E164" s="589" t="s">
        <v>104</v>
      </c>
      <c r="F164" s="589" t="s">
        <v>112</v>
      </c>
      <c r="G164" s="589" t="s">
        <v>51</v>
      </c>
      <c r="H164" s="589" t="s">
        <v>242</v>
      </c>
      <c r="I164" s="589" t="s">
        <v>1182</v>
      </c>
      <c r="J164" s="589" t="s">
        <v>35</v>
      </c>
      <c r="K164" s="591">
        <v>850</v>
      </c>
      <c r="L164" s="592">
        <f>IF(J164="TND",1,IF(J164="EUR",Vertical_Cash_flow!$C$16,IF(J164="USD",Vertical_Cash_flow!$F$16,0)))</f>
        <v>1</v>
      </c>
      <c r="M164" s="593">
        <f t="shared" si="12"/>
        <v>850</v>
      </c>
      <c r="N164" s="589" t="s">
        <v>251</v>
      </c>
      <c r="O164" s="594">
        <v>45316</v>
      </c>
      <c r="P164" s="593">
        <f t="shared" si="13"/>
        <v>-123</v>
      </c>
      <c r="Q164" s="594">
        <v>45439</v>
      </c>
      <c r="R164" s="593">
        <f t="shared" ca="1" si="14"/>
        <v>2</v>
      </c>
      <c r="S164" s="589" t="str">
        <f>VLOOKUP(Q164,Mapping!L:M,2,0)</f>
        <v>W22_2024</v>
      </c>
      <c r="T164" s="589" t="str">
        <f t="shared" ca="1" si="15"/>
        <v>up to 30 days</v>
      </c>
      <c r="W164" s="591"/>
    </row>
    <row r="165" spans="1:23" s="589" customFormat="1" x14ac:dyDescent="0.2">
      <c r="A165" s="589" t="s">
        <v>56</v>
      </c>
      <c r="B165" s="589" t="s">
        <v>905</v>
      </c>
      <c r="C165" s="590" t="s">
        <v>2618</v>
      </c>
      <c r="D165" s="589" t="s">
        <v>100</v>
      </c>
      <c r="E165" s="589" t="s">
        <v>104</v>
      </c>
      <c r="F165" s="589" t="s">
        <v>112</v>
      </c>
      <c r="G165" s="589" t="s">
        <v>51</v>
      </c>
      <c r="H165" s="589" t="s">
        <v>242</v>
      </c>
      <c r="I165" s="589" t="s">
        <v>2929</v>
      </c>
      <c r="J165" s="589" t="s">
        <v>35</v>
      </c>
      <c r="K165" s="591">
        <v>1630.55</v>
      </c>
      <c r="L165" s="592">
        <f>IF(J165="TND",1,IF(J165="EUR",Vertical_Cash_flow!$C$16,IF(J165="USD",Vertical_Cash_flow!$F$16,0)))</f>
        <v>1</v>
      </c>
      <c r="M165" s="593">
        <f t="shared" si="12"/>
        <v>1630.55</v>
      </c>
      <c r="N165" s="589" t="s">
        <v>251</v>
      </c>
      <c r="O165" s="594">
        <v>45399</v>
      </c>
      <c r="P165" s="593">
        <f t="shared" si="13"/>
        <v>-40</v>
      </c>
      <c r="Q165" s="594">
        <v>45439</v>
      </c>
      <c r="R165" s="593">
        <f t="shared" ca="1" si="14"/>
        <v>2</v>
      </c>
      <c r="S165" s="589" t="str">
        <f>VLOOKUP(Q165,Mapping!L:M,2,0)</f>
        <v>W22_2024</v>
      </c>
      <c r="T165" s="589" t="str">
        <f t="shared" ca="1" si="15"/>
        <v>up to 30 days</v>
      </c>
      <c r="W165" s="591"/>
    </row>
    <row r="166" spans="1:23" s="589" customFormat="1" x14ac:dyDescent="0.2">
      <c r="A166" s="589" t="s">
        <v>56</v>
      </c>
      <c r="B166" s="589" t="s">
        <v>369</v>
      </c>
      <c r="C166" s="590" t="s">
        <v>2619</v>
      </c>
      <c r="D166" s="589" t="s">
        <v>100</v>
      </c>
      <c r="E166" s="589" t="s">
        <v>104</v>
      </c>
      <c r="F166" s="589" t="s">
        <v>112</v>
      </c>
      <c r="G166" s="589" t="s">
        <v>51</v>
      </c>
      <c r="H166" s="589" t="s">
        <v>242</v>
      </c>
      <c r="I166" s="589" t="s">
        <v>2930</v>
      </c>
      <c r="J166" s="589" t="s">
        <v>35</v>
      </c>
      <c r="K166" s="591">
        <v>7500</v>
      </c>
      <c r="L166" s="592">
        <f>IF(J166="TND",1,IF(J166="EUR",Vertical_Cash_flow!$C$16,IF(J166="USD",Vertical_Cash_flow!$F$16,0)))</f>
        <v>1</v>
      </c>
      <c r="M166" s="593">
        <f t="shared" si="12"/>
        <v>7500</v>
      </c>
      <c r="N166" s="589" t="s">
        <v>251</v>
      </c>
      <c r="O166" s="594">
        <v>45387</v>
      </c>
      <c r="P166" s="593">
        <f t="shared" si="13"/>
        <v>-52</v>
      </c>
      <c r="Q166" s="594">
        <v>45439</v>
      </c>
      <c r="R166" s="593">
        <f t="shared" ca="1" si="14"/>
        <v>2</v>
      </c>
      <c r="S166" s="589" t="str">
        <f>VLOOKUP(Q166,Mapping!L:M,2,0)</f>
        <v>W22_2024</v>
      </c>
      <c r="T166" s="589" t="str">
        <f t="shared" ca="1" si="15"/>
        <v>up to 30 days</v>
      </c>
      <c r="W166" s="591"/>
    </row>
    <row r="167" spans="1:23" s="589" customFormat="1" x14ac:dyDescent="0.2">
      <c r="A167" s="589" t="s">
        <v>56</v>
      </c>
      <c r="B167" s="589" t="s">
        <v>403</v>
      </c>
      <c r="C167" s="590" t="s">
        <v>2616</v>
      </c>
      <c r="D167" s="589" t="s">
        <v>100</v>
      </c>
      <c r="E167" s="589" t="s">
        <v>104</v>
      </c>
      <c r="F167" s="589" t="s">
        <v>112</v>
      </c>
      <c r="G167" s="589" t="s">
        <v>51</v>
      </c>
      <c r="H167" s="589" t="s">
        <v>242</v>
      </c>
      <c r="I167" s="589" t="s">
        <v>2927</v>
      </c>
      <c r="J167" s="589" t="s">
        <v>35</v>
      </c>
      <c r="K167" s="591">
        <v>2500</v>
      </c>
      <c r="L167" s="592">
        <f>IF(J167="TND",1,IF(J167="EUR",Vertical_Cash_flow!$C$16,IF(J167="USD",Vertical_Cash_flow!$F$16,0)))</f>
        <v>1</v>
      </c>
      <c r="M167" s="593">
        <f t="shared" si="12"/>
        <v>2500</v>
      </c>
      <c r="N167" s="589" t="s">
        <v>251</v>
      </c>
      <c r="O167" s="594">
        <v>45401</v>
      </c>
      <c r="P167" s="593">
        <f t="shared" si="13"/>
        <v>-38</v>
      </c>
      <c r="Q167" s="594">
        <v>45439</v>
      </c>
      <c r="R167" s="593">
        <f t="shared" ca="1" si="14"/>
        <v>2</v>
      </c>
      <c r="S167" s="589" t="str">
        <f>VLOOKUP(Q167,Mapping!L:M,2,0)</f>
        <v>W22_2024</v>
      </c>
      <c r="T167" s="589" t="str">
        <f t="shared" ca="1" si="15"/>
        <v>up to 30 days</v>
      </c>
      <c r="W167" s="591"/>
    </row>
    <row r="168" spans="1:23" s="589" customFormat="1" x14ac:dyDescent="0.2">
      <c r="A168" s="589" t="s">
        <v>56</v>
      </c>
      <c r="B168" s="589" t="s">
        <v>405</v>
      </c>
      <c r="C168" s="590" t="s">
        <v>2617</v>
      </c>
      <c r="D168" s="589" t="s">
        <v>100</v>
      </c>
      <c r="E168" s="589" t="s">
        <v>104</v>
      </c>
      <c r="F168" s="589" t="s">
        <v>112</v>
      </c>
      <c r="G168" s="589" t="s">
        <v>51</v>
      </c>
      <c r="H168" s="589" t="s">
        <v>242</v>
      </c>
      <c r="I168" s="589" t="s">
        <v>2928</v>
      </c>
      <c r="J168" s="589" t="s">
        <v>35</v>
      </c>
      <c r="K168" s="591">
        <v>1031</v>
      </c>
      <c r="L168" s="592">
        <f>IF(J168="TND",1,IF(J168="EUR",Vertical_Cash_flow!$C$16,IF(J168="USD",Vertical_Cash_flow!$F$16,0)))</f>
        <v>1</v>
      </c>
      <c r="M168" s="593">
        <f t="shared" si="12"/>
        <v>1031</v>
      </c>
      <c r="N168" s="589" t="s">
        <v>251</v>
      </c>
      <c r="O168" s="594">
        <v>45397</v>
      </c>
      <c r="P168" s="593">
        <f t="shared" si="13"/>
        <v>-42</v>
      </c>
      <c r="Q168" s="594">
        <v>45439</v>
      </c>
      <c r="R168" s="593">
        <f t="shared" ca="1" si="14"/>
        <v>2</v>
      </c>
      <c r="S168" s="589" t="str">
        <f>VLOOKUP(Q168,Mapping!L:M,2,0)</f>
        <v>W22_2024</v>
      </c>
      <c r="T168" s="589" t="str">
        <f t="shared" ca="1" si="15"/>
        <v>up to 30 days</v>
      </c>
      <c r="W168" s="591"/>
    </row>
    <row r="169" spans="1:23" s="589" customFormat="1" x14ac:dyDescent="0.2">
      <c r="A169" s="589" t="s">
        <v>56</v>
      </c>
      <c r="B169" s="589" t="s">
        <v>348</v>
      </c>
      <c r="C169" s="590" t="s">
        <v>1106</v>
      </c>
      <c r="D169" s="589" t="s">
        <v>100</v>
      </c>
      <c r="E169" s="589" t="s">
        <v>104</v>
      </c>
      <c r="F169" s="589" t="s">
        <v>112</v>
      </c>
      <c r="G169" s="589" t="s">
        <v>51</v>
      </c>
      <c r="H169" s="589" t="s">
        <v>242</v>
      </c>
      <c r="I169" s="589" t="s">
        <v>1181</v>
      </c>
      <c r="J169" s="589" t="s">
        <v>35</v>
      </c>
      <c r="K169" s="591">
        <v>4000</v>
      </c>
      <c r="L169" s="592">
        <f>IF(J169="TND",1,IF(J169="EUR",Vertical_Cash_flow!$C$16,IF(J169="USD",Vertical_Cash_flow!$F$16,0)))</f>
        <v>1</v>
      </c>
      <c r="M169" s="593">
        <f t="shared" si="12"/>
        <v>4000</v>
      </c>
      <c r="N169" s="589" t="s">
        <v>251</v>
      </c>
      <c r="O169" s="594">
        <v>45310</v>
      </c>
      <c r="P169" s="593">
        <f t="shared" si="13"/>
        <v>-129</v>
      </c>
      <c r="Q169" s="594">
        <v>45439</v>
      </c>
      <c r="R169" s="593">
        <f t="shared" ca="1" si="14"/>
        <v>2</v>
      </c>
      <c r="S169" s="589" t="str">
        <f>VLOOKUP(Q169,Mapping!L:M,2,0)</f>
        <v>W22_2024</v>
      </c>
      <c r="T169" s="589" t="str">
        <f t="shared" ca="1" si="15"/>
        <v>up to 30 days</v>
      </c>
      <c r="W169" s="591"/>
    </row>
    <row r="170" spans="1:23" s="589" customFormat="1" x14ac:dyDescent="0.2">
      <c r="A170" s="589" t="s">
        <v>56</v>
      </c>
      <c r="B170" s="589" t="s">
        <v>277</v>
      </c>
      <c r="C170" s="590" t="s">
        <v>986</v>
      </c>
      <c r="D170" s="589" t="s">
        <v>100</v>
      </c>
      <c r="E170" s="589" t="s">
        <v>104</v>
      </c>
      <c r="F170" s="589" t="s">
        <v>112</v>
      </c>
      <c r="G170" s="589" t="s">
        <v>51</v>
      </c>
      <c r="H170" s="589" t="s">
        <v>242</v>
      </c>
      <c r="I170" s="589" t="s">
        <v>997</v>
      </c>
      <c r="J170" s="589" t="s">
        <v>35</v>
      </c>
      <c r="K170" s="591">
        <v>17957.32</v>
      </c>
      <c r="L170" s="592">
        <f>IF(J170="TND",1,IF(J170="EUR",Vertical_Cash_flow!$C$16,IF(J170="USD",Vertical_Cash_flow!$F$16,0)))</f>
        <v>1</v>
      </c>
      <c r="M170" s="593">
        <f t="shared" si="12"/>
        <v>17957.32</v>
      </c>
      <c r="N170" s="589" t="s">
        <v>251</v>
      </c>
      <c r="O170" s="594">
        <v>45286</v>
      </c>
      <c r="P170" s="593">
        <f t="shared" si="13"/>
        <v>-153</v>
      </c>
      <c r="Q170" s="594">
        <v>45439</v>
      </c>
      <c r="R170" s="593">
        <f t="shared" ca="1" si="14"/>
        <v>2</v>
      </c>
      <c r="S170" s="589" t="str">
        <f>VLOOKUP(Q170,Mapping!L:M,2,0)</f>
        <v>W22_2024</v>
      </c>
      <c r="T170" s="589" t="str">
        <f t="shared" ca="1" si="15"/>
        <v>up to 30 days</v>
      </c>
      <c r="W170" s="591"/>
    </row>
    <row r="171" spans="1:23" s="589" customFormat="1" x14ac:dyDescent="0.2">
      <c r="A171" s="589" t="s">
        <v>56</v>
      </c>
      <c r="B171" s="589" t="s">
        <v>721</v>
      </c>
      <c r="C171" s="590" t="s">
        <v>3580</v>
      </c>
      <c r="D171" s="589" t="s">
        <v>100</v>
      </c>
      <c r="E171" s="589" t="s">
        <v>104</v>
      </c>
      <c r="F171" s="589" t="s">
        <v>112</v>
      </c>
      <c r="G171" s="589" t="s">
        <v>51</v>
      </c>
      <c r="H171" s="589" t="s">
        <v>242</v>
      </c>
      <c r="I171" s="589" t="s">
        <v>3723</v>
      </c>
      <c r="J171" s="589" t="s">
        <v>35</v>
      </c>
      <c r="K171" s="591">
        <v>647.08000000000004</v>
      </c>
      <c r="L171" s="592">
        <f>IF(J171="TND",1,IF(J171="EUR",Vertical_Cash_flow!$C$16,IF(J171="USD",Vertical_Cash_flow!$F$16,0)))</f>
        <v>1</v>
      </c>
      <c r="M171" s="593">
        <f t="shared" si="12"/>
        <v>647.08000000000004</v>
      </c>
      <c r="N171" s="589" t="s">
        <v>251</v>
      </c>
      <c r="O171" s="594">
        <v>45426</v>
      </c>
      <c r="P171" s="593">
        <f t="shared" si="13"/>
        <v>-13</v>
      </c>
      <c r="Q171" s="594">
        <v>45439</v>
      </c>
      <c r="R171" s="593">
        <f t="shared" ca="1" si="14"/>
        <v>2</v>
      </c>
      <c r="S171" s="589" t="str">
        <f>VLOOKUP(Q171,Mapping!L:M,2,0)</f>
        <v>W22_2024</v>
      </c>
      <c r="T171" s="589" t="str">
        <f t="shared" ca="1" si="15"/>
        <v>up to 30 days</v>
      </c>
      <c r="W171" s="591"/>
    </row>
    <row r="172" spans="1:23" s="589" customFormat="1" x14ac:dyDescent="0.2">
      <c r="A172" s="589" t="s">
        <v>56</v>
      </c>
      <c r="B172" s="589" t="s">
        <v>902</v>
      </c>
      <c r="C172" s="590" t="s">
        <v>1879</v>
      </c>
      <c r="D172" s="589" t="s">
        <v>100</v>
      </c>
      <c r="E172" s="589" t="s">
        <v>104</v>
      </c>
      <c r="F172" s="589" t="s">
        <v>112</v>
      </c>
      <c r="G172" s="589" t="s">
        <v>51</v>
      </c>
      <c r="H172" s="589" t="s">
        <v>242</v>
      </c>
      <c r="I172" s="589" t="s">
        <v>2237</v>
      </c>
      <c r="J172" s="589" t="s">
        <v>35</v>
      </c>
      <c r="K172" s="591">
        <v>1787.2270000000001</v>
      </c>
      <c r="L172" s="592">
        <f>IF(J172="TND",1,IF(J172="EUR",Vertical_Cash_flow!$C$16,IF(J172="USD",Vertical_Cash_flow!$F$16,0)))</f>
        <v>1</v>
      </c>
      <c r="M172" s="593">
        <f t="shared" si="12"/>
        <v>1787.2270000000001</v>
      </c>
      <c r="N172" s="589" t="s">
        <v>251</v>
      </c>
      <c r="O172" s="594">
        <v>45364</v>
      </c>
      <c r="P172" s="593">
        <f t="shared" si="13"/>
        <v>-75</v>
      </c>
      <c r="Q172" s="594">
        <v>45439</v>
      </c>
      <c r="R172" s="593">
        <f t="shared" ca="1" si="14"/>
        <v>2</v>
      </c>
      <c r="S172" s="589" t="str">
        <f>VLOOKUP(Q172,Mapping!L:M,2,0)</f>
        <v>W22_2024</v>
      </c>
      <c r="T172" s="589" t="str">
        <f t="shared" ca="1" si="15"/>
        <v>up to 30 days</v>
      </c>
      <c r="W172" s="591"/>
    </row>
    <row r="173" spans="1:23" s="589" customFormat="1" x14ac:dyDescent="0.2">
      <c r="A173" s="589" t="s">
        <v>56</v>
      </c>
      <c r="B173" s="589" t="s">
        <v>527</v>
      </c>
      <c r="C173" s="590" t="s">
        <v>1878</v>
      </c>
      <c r="D173" s="589" t="s">
        <v>100</v>
      </c>
      <c r="E173" s="589" t="s">
        <v>104</v>
      </c>
      <c r="F173" s="589" t="s">
        <v>112</v>
      </c>
      <c r="G173" s="589" t="s">
        <v>51</v>
      </c>
      <c r="H173" s="589" t="s">
        <v>242</v>
      </c>
      <c r="I173" s="589" t="s">
        <v>1003</v>
      </c>
      <c r="J173" s="589" t="s">
        <v>35</v>
      </c>
      <c r="K173" s="591">
        <v>2000</v>
      </c>
      <c r="L173" s="592">
        <f>IF(J173="TND",1,IF(J173="EUR",Vertical_Cash_flow!$C$16,IF(J173="USD",Vertical_Cash_flow!$F$16,0)))</f>
        <v>1</v>
      </c>
      <c r="M173" s="593">
        <f t="shared" si="12"/>
        <v>2000</v>
      </c>
      <c r="N173" s="589" t="s">
        <v>251</v>
      </c>
      <c r="O173" s="594">
        <v>45350</v>
      </c>
      <c r="P173" s="593">
        <f t="shared" si="13"/>
        <v>-89</v>
      </c>
      <c r="Q173" s="594">
        <v>45439</v>
      </c>
      <c r="R173" s="593">
        <f t="shared" ca="1" si="14"/>
        <v>2</v>
      </c>
      <c r="S173" s="589" t="str">
        <f>VLOOKUP(Q173,Mapping!L:M,2,0)</f>
        <v>W22_2024</v>
      </c>
      <c r="T173" s="589" t="str">
        <f t="shared" ca="1" si="15"/>
        <v>up to 30 days</v>
      </c>
      <c r="W173" s="591"/>
    </row>
    <row r="174" spans="1:23" s="589" customFormat="1" x14ac:dyDescent="0.2">
      <c r="A174" s="589" t="s">
        <v>56</v>
      </c>
      <c r="B174" s="589" t="s">
        <v>570</v>
      </c>
      <c r="C174" s="590" t="s">
        <v>1876</v>
      </c>
      <c r="D174" s="589" t="s">
        <v>100</v>
      </c>
      <c r="E174" s="589" t="s">
        <v>104</v>
      </c>
      <c r="F174" s="589" t="s">
        <v>112</v>
      </c>
      <c r="G174" s="589" t="s">
        <v>51</v>
      </c>
      <c r="H174" s="589" t="s">
        <v>242</v>
      </c>
      <c r="I174" s="589" t="s">
        <v>2235</v>
      </c>
      <c r="J174" s="589" t="s">
        <v>35</v>
      </c>
      <c r="K174" s="591">
        <v>28632.269</v>
      </c>
      <c r="L174" s="592">
        <f>IF(J174="TND",1,IF(J174="EUR",Vertical_Cash_flow!$C$16,IF(J174="USD",Vertical_Cash_flow!$F$16,0)))</f>
        <v>1</v>
      </c>
      <c r="M174" s="593">
        <f t="shared" si="12"/>
        <v>28632.269</v>
      </c>
      <c r="N174" s="589" t="s">
        <v>251</v>
      </c>
      <c r="O174" s="594">
        <v>45370</v>
      </c>
      <c r="P174" s="593">
        <f t="shared" si="13"/>
        <v>-70</v>
      </c>
      <c r="Q174" s="594">
        <v>45440</v>
      </c>
      <c r="R174" s="593">
        <f t="shared" ca="1" si="14"/>
        <v>1</v>
      </c>
      <c r="S174" s="589" t="str">
        <f>VLOOKUP(Q174,Mapping!L:M,2,0)</f>
        <v>W22_2024</v>
      </c>
      <c r="T174" s="589" t="str">
        <f t="shared" ca="1" si="15"/>
        <v>up to 30 days</v>
      </c>
      <c r="W174" s="591"/>
    </row>
    <row r="175" spans="1:23" s="589" customFormat="1" x14ac:dyDescent="0.2">
      <c r="A175" s="589" t="s">
        <v>56</v>
      </c>
      <c r="B175" s="589" t="s">
        <v>581</v>
      </c>
      <c r="C175" s="590" t="s">
        <v>2615</v>
      </c>
      <c r="D175" s="589" t="s">
        <v>100</v>
      </c>
      <c r="E175" s="589" t="s">
        <v>104</v>
      </c>
      <c r="F175" s="589" t="s">
        <v>112</v>
      </c>
      <c r="G175" s="589" t="s">
        <v>51</v>
      </c>
      <c r="H175" s="589" t="s">
        <v>242</v>
      </c>
      <c r="I175" s="589" t="s">
        <v>2926</v>
      </c>
      <c r="J175" s="589" t="s">
        <v>35</v>
      </c>
      <c r="K175" s="591">
        <v>1198.8879999999999</v>
      </c>
      <c r="L175" s="592">
        <f>IF(J175="TND",1,IF(J175="EUR",Vertical_Cash_flow!$C$16,IF(J175="USD",Vertical_Cash_flow!$F$16,0)))</f>
        <v>1</v>
      </c>
      <c r="M175" s="593">
        <f t="shared" si="12"/>
        <v>1198.8879999999999</v>
      </c>
      <c r="N175" s="589" t="s">
        <v>251</v>
      </c>
      <c r="O175" s="594">
        <v>45387</v>
      </c>
      <c r="P175" s="593">
        <f t="shared" si="13"/>
        <v>-53</v>
      </c>
      <c r="Q175" s="594">
        <v>45440</v>
      </c>
      <c r="R175" s="593">
        <f t="shared" ca="1" si="14"/>
        <v>1</v>
      </c>
      <c r="S175" s="589" t="str">
        <f>VLOOKUP(Q175,Mapping!L:M,2,0)</f>
        <v>W22_2024</v>
      </c>
      <c r="T175" s="589" t="str">
        <f t="shared" ca="1" si="15"/>
        <v>up to 30 days</v>
      </c>
      <c r="W175" s="591"/>
    </row>
    <row r="176" spans="1:23" s="589" customFormat="1" x14ac:dyDescent="0.2">
      <c r="A176" s="589" t="s">
        <v>56</v>
      </c>
      <c r="B176" s="589" t="s">
        <v>800</v>
      </c>
      <c r="C176" s="590" t="s">
        <v>3205</v>
      </c>
      <c r="D176" s="589" t="s">
        <v>100</v>
      </c>
      <c r="E176" s="589" t="s">
        <v>104</v>
      </c>
      <c r="F176" s="589" t="s">
        <v>112</v>
      </c>
      <c r="G176" s="589" t="s">
        <v>51</v>
      </c>
      <c r="H176" s="589" t="s">
        <v>242</v>
      </c>
      <c r="I176" s="589" t="s">
        <v>3377</v>
      </c>
      <c r="J176" s="589" t="s">
        <v>35</v>
      </c>
      <c r="K176" s="591">
        <v>2450.056</v>
      </c>
      <c r="L176" s="592">
        <f>IF(J176="TND",1,IF(J176="EUR",Vertical_Cash_flow!$C$16,IF(J176="USD",Vertical_Cash_flow!$F$16,0)))</f>
        <v>1</v>
      </c>
      <c r="M176" s="593">
        <f t="shared" si="12"/>
        <v>2450.056</v>
      </c>
      <c r="N176" s="589" t="s">
        <v>251</v>
      </c>
      <c r="O176" s="594">
        <v>45412</v>
      </c>
      <c r="P176" s="593">
        <f t="shared" si="13"/>
        <v>-28</v>
      </c>
      <c r="Q176" s="594">
        <v>45440</v>
      </c>
      <c r="R176" s="593">
        <f t="shared" ca="1" si="14"/>
        <v>1</v>
      </c>
      <c r="S176" s="589" t="str">
        <f>VLOOKUP(Q176,Mapping!L:M,2,0)</f>
        <v>W22_2024</v>
      </c>
      <c r="T176" s="589" t="str">
        <f t="shared" ca="1" si="15"/>
        <v>up to 30 days</v>
      </c>
      <c r="W176" s="591"/>
    </row>
    <row r="177" spans="1:23" s="589" customFormat="1" x14ac:dyDescent="0.2">
      <c r="A177" s="589" t="s">
        <v>56</v>
      </c>
      <c r="B177" s="589" t="s">
        <v>927</v>
      </c>
      <c r="C177" s="590" t="s">
        <v>1877</v>
      </c>
      <c r="D177" s="589" t="s">
        <v>100</v>
      </c>
      <c r="E177" s="589" t="s">
        <v>104</v>
      </c>
      <c r="F177" s="589" t="s">
        <v>112</v>
      </c>
      <c r="G177" s="589" t="s">
        <v>51</v>
      </c>
      <c r="H177" s="589" t="s">
        <v>242</v>
      </c>
      <c r="I177" s="589" t="s">
        <v>2236</v>
      </c>
      <c r="J177" s="589" t="s">
        <v>35</v>
      </c>
      <c r="K177" s="591">
        <v>1981.895</v>
      </c>
      <c r="L177" s="592">
        <f>IF(J177="TND",1,IF(J177="EUR",Vertical_Cash_flow!$C$16,IF(J177="USD",Vertical_Cash_flow!$F$16,0)))</f>
        <v>1</v>
      </c>
      <c r="M177" s="593">
        <f t="shared" si="12"/>
        <v>1981.895</v>
      </c>
      <c r="N177" s="589" t="s">
        <v>251</v>
      </c>
      <c r="O177" s="594">
        <v>45376</v>
      </c>
      <c r="P177" s="593">
        <f t="shared" si="13"/>
        <v>-64</v>
      </c>
      <c r="Q177" s="594">
        <v>45440</v>
      </c>
      <c r="R177" s="593">
        <f t="shared" ca="1" si="14"/>
        <v>1</v>
      </c>
      <c r="S177" s="589" t="str">
        <f>VLOOKUP(Q177,Mapping!L:M,2,0)</f>
        <v>W22_2024</v>
      </c>
      <c r="T177" s="589" t="str">
        <f t="shared" ca="1" si="15"/>
        <v>up to 30 days</v>
      </c>
      <c r="W177" s="591"/>
    </row>
    <row r="178" spans="1:23" s="589" customFormat="1" x14ac:dyDescent="0.2">
      <c r="A178" s="589" t="s">
        <v>56</v>
      </c>
      <c r="B178" s="589" t="s">
        <v>274</v>
      </c>
      <c r="C178" s="590" t="s">
        <v>1105</v>
      </c>
      <c r="D178" s="589" t="s">
        <v>100</v>
      </c>
      <c r="E178" s="589" t="s">
        <v>104</v>
      </c>
      <c r="F178" s="589" t="s">
        <v>112</v>
      </c>
      <c r="G178" s="589" t="s">
        <v>51</v>
      </c>
      <c r="H178" s="589" t="s">
        <v>242</v>
      </c>
      <c r="I178" s="589" t="s">
        <v>1180</v>
      </c>
      <c r="J178" s="589" t="s">
        <v>35</v>
      </c>
      <c r="K178" s="591">
        <v>840</v>
      </c>
      <c r="L178" s="592">
        <f>IF(J178="TND",1,IF(J178="EUR",Vertical_Cash_flow!$C$16,IF(J178="USD",Vertical_Cash_flow!$F$16,0)))</f>
        <v>1</v>
      </c>
      <c r="M178" s="593">
        <f t="shared" si="12"/>
        <v>840</v>
      </c>
      <c r="N178" s="589" t="s">
        <v>251</v>
      </c>
      <c r="O178" s="594">
        <v>45316</v>
      </c>
      <c r="P178" s="593">
        <f t="shared" si="13"/>
        <v>-124</v>
      </c>
      <c r="Q178" s="594">
        <v>45440</v>
      </c>
      <c r="R178" s="593">
        <f t="shared" ca="1" si="14"/>
        <v>1</v>
      </c>
      <c r="S178" s="589" t="str">
        <f>VLOOKUP(Q178,Mapping!L:M,2,0)</f>
        <v>W22_2024</v>
      </c>
      <c r="T178" s="589" t="str">
        <f t="shared" ca="1" si="15"/>
        <v>up to 30 days</v>
      </c>
      <c r="W178" s="591"/>
    </row>
    <row r="179" spans="1:23" s="589" customFormat="1" x14ac:dyDescent="0.2">
      <c r="A179" s="589" t="s">
        <v>56</v>
      </c>
      <c r="B179" s="589" t="s">
        <v>481</v>
      </c>
      <c r="C179" s="590" t="s">
        <v>1103</v>
      </c>
      <c r="D179" s="589" t="s">
        <v>100</v>
      </c>
      <c r="E179" s="589" t="s">
        <v>104</v>
      </c>
      <c r="F179" s="589" t="s">
        <v>112</v>
      </c>
      <c r="G179" s="589" t="s">
        <v>51</v>
      </c>
      <c r="H179" s="589" t="s">
        <v>242</v>
      </c>
      <c r="I179" s="589" t="s">
        <v>1178</v>
      </c>
      <c r="J179" s="589" t="s">
        <v>35</v>
      </c>
      <c r="K179" s="591">
        <v>5920</v>
      </c>
      <c r="L179" s="592">
        <f>IF(J179="TND",1,IF(J179="EUR",Vertical_Cash_flow!$C$16,IF(J179="USD",Vertical_Cash_flow!$F$16,0)))</f>
        <v>1</v>
      </c>
      <c r="M179" s="593">
        <f t="shared" si="12"/>
        <v>5920</v>
      </c>
      <c r="N179" s="589" t="s">
        <v>251</v>
      </c>
      <c r="O179" s="594">
        <v>45324</v>
      </c>
      <c r="P179" s="593">
        <f t="shared" si="13"/>
        <v>-116</v>
      </c>
      <c r="Q179" s="594">
        <v>45440</v>
      </c>
      <c r="R179" s="593">
        <f t="shared" ca="1" si="14"/>
        <v>1</v>
      </c>
      <c r="S179" s="589" t="str">
        <f>VLOOKUP(Q179,Mapping!L:M,2,0)</f>
        <v>W22_2024</v>
      </c>
      <c r="T179" s="589" t="str">
        <f t="shared" ca="1" si="15"/>
        <v>up to 30 days</v>
      </c>
      <c r="W179" s="591"/>
    </row>
    <row r="180" spans="1:23" s="589" customFormat="1" x14ac:dyDescent="0.2">
      <c r="A180" s="589" t="s">
        <v>56</v>
      </c>
      <c r="B180" s="589" t="s">
        <v>481</v>
      </c>
      <c r="C180" s="590" t="s">
        <v>1104</v>
      </c>
      <c r="D180" s="589" t="s">
        <v>100</v>
      </c>
      <c r="E180" s="589" t="s">
        <v>104</v>
      </c>
      <c r="F180" s="589" t="s">
        <v>112</v>
      </c>
      <c r="G180" s="589" t="s">
        <v>51</v>
      </c>
      <c r="H180" s="589" t="s">
        <v>242</v>
      </c>
      <c r="I180" s="589" t="s">
        <v>1179</v>
      </c>
      <c r="J180" s="589" t="s">
        <v>35</v>
      </c>
      <c r="K180" s="591">
        <v>5920</v>
      </c>
      <c r="L180" s="592">
        <f>IF(J180="TND",1,IF(J180="EUR",Vertical_Cash_flow!$C$16,IF(J180="USD",Vertical_Cash_flow!$F$16,0)))</f>
        <v>1</v>
      </c>
      <c r="M180" s="593">
        <f t="shared" si="12"/>
        <v>5920</v>
      </c>
      <c r="N180" s="589" t="s">
        <v>251</v>
      </c>
      <c r="O180" s="594">
        <v>45324</v>
      </c>
      <c r="P180" s="593">
        <f t="shared" si="13"/>
        <v>-116</v>
      </c>
      <c r="Q180" s="594">
        <v>45440</v>
      </c>
      <c r="R180" s="593">
        <f t="shared" ca="1" si="14"/>
        <v>1</v>
      </c>
      <c r="S180" s="589" t="str">
        <f>VLOOKUP(Q180,Mapping!L:M,2,0)</f>
        <v>W22_2024</v>
      </c>
      <c r="T180" s="589" t="str">
        <f t="shared" ca="1" si="15"/>
        <v>up to 30 days</v>
      </c>
      <c r="W180" s="591"/>
    </row>
    <row r="181" spans="1:23" s="589" customFormat="1" x14ac:dyDescent="0.2">
      <c r="A181" s="589" t="s">
        <v>56</v>
      </c>
      <c r="B181" s="589" t="s">
        <v>528</v>
      </c>
      <c r="C181" s="590" t="s">
        <v>1334</v>
      </c>
      <c r="D181" s="589" t="s">
        <v>100</v>
      </c>
      <c r="E181" s="589" t="s">
        <v>104</v>
      </c>
      <c r="F181" s="589" t="s">
        <v>112</v>
      </c>
      <c r="G181" s="589" t="s">
        <v>51</v>
      </c>
      <c r="H181" s="589" t="s">
        <v>242</v>
      </c>
      <c r="I181" s="589" t="s">
        <v>1433</v>
      </c>
      <c r="J181" s="589" t="s">
        <v>35</v>
      </c>
      <c r="K181" s="591">
        <v>2000</v>
      </c>
      <c r="L181" s="592">
        <f>IF(J181="TND",1,IF(J181="EUR",Vertical_Cash_flow!$C$16,IF(J181="USD",Vertical_Cash_flow!$F$16,0)))</f>
        <v>1</v>
      </c>
      <c r="M181" s="593">
        <f t="shared" si="12"/>
        <v>2000</v>
      </c>
      <c r="N181" s="589" t="s">
        <v>251</v>
      </c>
      <c r="O181" s="594">
        <v>45345</v>
      </c>
      <c r="P181" s="593">
        <f t="shared" si="13"/>
        <v>-95</v>
      </c>
      <c r="Q181" s="594">
        <v>45440</v>
      </c>
      <c r="R181" s="593">
        <f t="shared" ca="1" si="14"/>
        <v>1</v>
      </c>
      <c r="S181" s="589" t="str">
        <f>VLOOKUP(Q181,Mapping!L:M,2,0)</f>
        <v>W22_2024</v>
      </c>
      <c r="T181" s="589" t="str">
        <f t="shared" ca="1" si="15"/>
        <v>up to 30 days</v>
      </c>
      <c r="W181" s="591"/>
    </row>
    <row r="182" spans="1:23" s="589" customFormat="1" x14ac:dyDescent="0.2">
      <c r="A182" s="589" t="s">
        <v>56</v>
      </c>
      <c r="B182" s="589" t="s">
        <v>1491</v>
      </c>
      <c r="C182" s="590" t="s">
        <v>1874</v>
      </c>
      <c r="D182" s="589" t="s">
        <v>100</v>
      </c>
      <c r="E182" s="589" t="s">
        <v>104</v>
      </c>
      <c r="F182" s="589" t="s">
        <v>112</v>
      </c>
      <c r="G182" s="589" t="s">
        <v>51</v>
      </c>
      <c r="H182" s="589" t="s">
        <v>242</v>
      </c>
      <c r="I182" s="589" t="s">
        <v>2233</v>
      </c>
      <c r="J182" s="589" t="s">
        <v>35</v>
      </c>
      <c r="K182" s="591">
        <v>2000</v>
      </c>
      <c r="L182" s="592">
        <f>IF(J182="TND",1,IF(J182="EUR",Vertical_Cash_flow!$C$16,IF(J182="USD",Vertical_Cash_flow!$F$16,0)))</f>
        <v>1</v>
      </c>
      <c r="M182" s="593">
        <f t="shared" si="12"/>
        <v>2000</v>
      </c>
      <c r="N182" s="589" t="s">
        <v>251</v>
      </c>
      <c r="O182" s="594">
        <v>45380</v>
      </c>
      <c r="P182" s="593">
        <f t="shared" si="13"/>
        <v>-60</v>
      </c>
      <c r="Q182" s="594">
        <v>45440</v>
      </c>
      <c r="R182" s="593">
        <f t="shared" ca="1" si="14"/>
        <v>1</v>
      </c>
      <c r="S182" s="589" t="str">
        <f>VLOOKUP(Q182,Mapping!L:M,2,0)</f>
        <v>W22_2024</v>
      </c>
      <c r="T182" s="589" t="str">
        <f t="shared" ca="1" si="15"/>
        <v>up to 30 days</v>
      </c>
      <c r="W182" s="591"/>
    </row>
    <row r="183" spans="1:23" s="589" customFormat="1" x14ac:dyDescent="0.2">
      <c r="A183" s="589" t="s">
        <v>56</v>
      </c>
      <c r="B183" s="589" t="s">
        <v>723</v>
      </c>
      <c r="C183" s="590" t="s">
        <v>1875</v>
      </c>
      <c r="D183" s="589" t="s">
        <v>100</v>
      </c>
      <c r="E183" s="589" t="s">
        <v>104</v>
      </c>
      <c r="F183" s="589" t="s">
        <v>112</v>
      </c>
      <c r="G183" s="589" t="s">
        <v>51</v>
      </c>
      <c r="H183" s="589" t="s">
        <v>242</v>
      </c>
      <c r="I183" s="589" t="s">
        <v>2234</v>
      </c>
      <c r="J183" s="589" t="s">
        <v>35</v>
      </c>
      <c r="K183" s="591">
        <v>1244.7449999999999</v>
      </c>
      <c r="L183" s="592">
        <f>IF(J183="TND",1,IF(J183="EUR",Vertical_Cash_flow!$C$16,IF(J183="USD",Vertical_Cash_flow!$F$16,0)))</f>
        <v>1</v>
      </c>
      <c r="M183" s="593">
        <f t="shared" si="12"/>
        <v>1244.7449999999999</v>
      </c>
      <c r="N183" s="589" t="s">
        <v>251</v>
      </c>
      <c r="O183" s="594">
        <v>45351</v>
      </c>
      <c r="P183" s="593">
        <f t="shared" si="13"/>
        <v>-89</v>
      </c>
      <c r="Q183" s="594">
        <v>45440</v>
      </c>
      <c r="R183" s="593">
        <f t="shared" ca="1" si="14"/>
        <v>1</v>
      </c>
      <c r="S183" s="589" t="str">
        <f>VLOOKUP(Q183,Mapping!L:M,2,0)</f>
        <v>W22_2024</v>
      </c>
      <c r="T183" s="589" t="str">
        <f t="shared" ca="1" si="15"/>
        <v>up to 30 days</v>
      </c>
      <c r="W183" s="591"/>
    </row>
    <row r="184" spans="1:23" s="589" customFormat="1" x14ac:dyDescent="0.2">
      <c r="A184" s="589" t="s">
        <v>56</v>
      </c>
      <c r="B184" s="589" t="s">
        <v>278</v>
      </c>
      <c r="C184" s="590" t="s">
        <v>993</v>
      </c>
      <c r="D184" s="589" t="s">
        <v>100</v>
      </c>
      <c r="E184" s="589" t="s">
        <v>104</v>
      </c>
      <c r="F184" s="589" t="s">
        <v>112</v>
      </c>
      <c r="G184" s="589" t="s">
        <v>51</v>
      </c>
      <c r="H184" s="589" t="s">
        <v>242</v>
      </c>
      <c r="I184" s="589" t="s">
        <v>995</v>
      </c>
      <c r="J184" s="589" t="s">
        <v>35</v>
      </c>
      <c r="K184" s="591">
        <v>1500</v>
      </c>
      <c r="L184" s="592">
        <f>IF(J184="TND",1,IF(J184="EUR",Vertical_Cash_flow!$C$16,IF(J184="USD",Vertical_Cash_flow!$F$16,0)))</f>
        <v>1</v>
      </c>
      <c r="M184" s="593">
        <f t="shared" si="12"/>
        <v>1500</v>
      </c>
      <c r="N184" s="589" t="s">
        <v>251</v>
      </c>
      <c r="O184" s="594">
        <v>45287</v>
      </c>
      <c r="P184" s="593">
        <f t="shared" si="13"/>
        <v>-153</v>
      </c>
      <c r="Q184" s="594">
        <v>45440</v>
      </c>
      <c r="R184" s="593">
        <f t="shared" ca="1" si="14"/>
        <v>1</v>
      </c>
      <c r="S184" s="589" t="str">
        <f>VLOOKUP(Q184,Mapping!L:M,2,0)</f>
        <v>W22_2024</v>
      </c>
      <c r="T184" s="589" t="str">
        <f t="shared" ca="1" si="15"/>
        <v>up to 30 days</v>
      </c>
      <c r="W184" s="591"/>
    </row>
    <row r="185" spans="1:23" s="589" customFormat="1" x14ac:dyDescent="0.2">
      <c r="A185" s="589" t="s">
        <v>56</v>
      </c>
      <c r="B185" s="589" t="s">
        <v>500</v>
      </c>
      <c r="C185" s="590" t="s">
        <v>1333</v>
      </c>
      <c r="D185" s="589" t="s">
        <v>100</v>
      </c>
      <c r="E185" s="589" t="s">
        <v>104</v>
      </c>
      <c r="F185" s="589" t="s">
        <v>112</v>
      </c>
      <c r="G185" s="589" t="s">
        <v>51</v>
      </c>
      <c r="H185" s="589" t="s">
        <v>242</v>
      </c>
      <c r="I185" s="589" t="s">
        <v>1005</v>
      </c>
      <c r="J185" s="589" t="s">
        <v>35</v>
      </c>
      <c r="K185" s="591">
        <v>2000</v>
      </c>
      <c r="L185" s="592">
        <f>IF(J185="TND",1,IF(J185="EUR",Vertical_Cash_flow!$C$16,IF(J185="USD",Vertical_Cash_flow!$F$16,0)))</f>
        <v>1</v>
      </c>
      <c r="M185" s="593">
        <f t="shared" si="12"/>
        <v>2000</v>
      </c>
      <c r="N185" s="589" t="s">
        <v>251</v>
      </c>
      <c r="O185" s="594">
        <v>45336</v>
      </c>
      <c r="P185" s="593">
        <f t="shared" si="13"/>
        <v>-104</v>
      </c>
      <c r="Q185" s="594">
        <v>45440</v>
      </c>
      <c r="R185" s="593">
        <f t="shared" ca="1" si="14"/>
        <v>1</v>
      </c>
      <c r="S185" s="589" t="str">
        <f>VLOOKUP(Q185,Mapping!L:M,2,0)</f>
        <v>W22_2024</v>
      </c>
      <c r="T185" s="589" t="str">
        <f t="shared" ca="1" si="15"/>
        <v>up to 30 days</v>
      </c>
      <c r="W185" s="591"/>
    </row>
    <row r="186" spans="1:23" s="589" customFormat="1" x14ac:dyDescent="0.2">
      <c r="A186" s="589" t="s">
        <v>56</v>
      </c>
      <c r="B186" s="589" t="s">
        <v>3409</v>
      </c>
      <c r="C186" s="590" t="s">
        <v>3579</v>
      </c>
      <c r="D186" s="589" t="s">
        <v>100</v>
      </c>
      <c r="E186" s="589" t="s">
        <v>104</v>
      </c>
      <c r="F186" s="589" t="s">
        <v>112</v>
      </c>
      <c r="G186" s="589" t="s">
        <v>51</v>
      </c>
      <c r="H186" s="589" t="s">
        <v>242</v>
      </c>
      <c r="I186" s="589" t="s">
        <v>3680</v>
      </c>
      <c r="J186" s="589" t="s">
        <v>35</v>
      </c>
      <c r="K186" s="591">
        <v>1221.816</v>
      </c>
      <c r="L186" s="592">
        <f>IF(J186="TND",1,IF(J186="EUR",Vertical_Cash_flow!$C$16,IF(J186="USD",Vertical_Cash_flow!$F$16,0)))</f>
        <v>1</v>
      </c>
      <c r="M186" s="593">
        <f t="shared" si="12"/>
        <v>1221.816</v>
      </c>
      <c r="N186" s="589" t="s">
        <v>251</v>
      </c>
      <c r="O186" s="594">
        <v>45423</v>
      </c>
      <c r="P186" s="593">
        <f t="shared" si="13"/>
        <v>-17</v>
      </c>
      <c r="Q186" s="594">
        <v>45440</v>
      </c>
      <c r="R186" s="593">
        <f t="shared" ca="1" si="14"/>
        <v>1</v>
      </c>
      <c r="S186" s="589" t="str">
        <f>VLOOKUP(Q186,Mapping!L:M,2,0)</f>
        <v>W22_2024</v>
      </c>
      <c r="T186" s="589" t="str">
        <f t="shared" ca="1" si="15"/>
        <v>up to 30 days</v>
      </c>
      <c r="W186" s="591"/>
    </row>
    <row r="187" spans="1:23" s="589" customFormat="1" x14ac:dyDescent="0.2">
      <c r="A187" s="589" t="s">
        <v>56</v>
      </c>
      <c r="B187" s="589" t="s">
        <v>573</v>
      </c>
      <c r="C187" s="590" t="s">
        <v>1873</v>
      </c>
      <c r="D187" s="589" t="s">
        <v>100</v>
      </c>
      <c r="E187" s="589" t="s">
        <v>104</v>
      </c>
      <c r="F187" s="589" t="s">
        <v>112</v>
      </c>
      <c r="G187" s="589" t="s">
        <v>51</v>
      </c>
      <c r="H187" s="589" t="s">
        <v>242</v>
      </c>
      <c r="I187" s="589" t="s">
        <v>861</v>
      </c>
      <c r="J187" s="589" t="s">
        <v>35</v>
      </c>
      <c r="K187" s="591">
        <v>2480.1860000000001</v>
      </c>
      <c r="L187" s="592">
        <f>IF(J187="TND",1,IF(J187="EUR",Vertical_Cash_flow!$C$16,IF(J187="USD",Vertical_Cash_flow!$F$16,0)))</f>
        <v>1</v>
      </c>
      <c r="M187" s="593">
        <f t="shared" si="12"/>
        <v>2480.1860000000001</v>
      </c>
      <c r="N187" s="589" t="s">
        <v>251</v>
      </c>
      <c r="O187" s="594">
        <v>45355</v>
      </c>
      <c r="P187" s="593">
        <f t="shared" si="13"/>
        <v>-85</v>
      </c>
      <c r="Q187" s="594">
        <v>45440</v>
      </c>
      <c r="R187" s="593">
        <f t="shared" ca="1" si="14"/>
        <v>1</v>
      </c>
      <c r="S187" s="589" t="str">
        <f>VLOOKUP(Q187,Mapping!L:M,2,0)</f>
        <v>W22_2024</v>
      </c>
      <c r="T187" s="589" t="str">
        <f t="shared" ca="1" si="15"/>
        <v>up to 30 days</v>
      </c>
      <c r="W187" s="591"/>
    </row>
    <row r="188" spans="1:23" s="589" customFormat="1" x14ac:dyDescent="0.2">
      <c r="A188" s="589" t="s">
        <v>56</v>
      </c>
      <c r="B188" s="589" t="s">
        <v>363</v>
      </c>
      <c r="C188" s="590" t="s">
        <v>1871</v>
      </c>
      <c r="D188" s="589" t="s">
        <v>100</v>
      </c>
      <c r="E188" s="589" t="s">
        <v>104</v>
      </c>
      <c r="F188" s="589" t="s">
        <v>112</v>
      </c>
      <c r="G188" s="589" t="s">
        <v>51</v>
      </c>
      <c r="H188" s="589" t="s">
        <v>242</v>
      </c>
      <c r="I188" s="589" t="s">
        <v>2231</v>
      </c>
      <c r="J188" s="589" t="s">
        <v>35</v>
      </c>
      <c r="K188" s="591">
        <v>2771.5279999999998</v>
      </c>
      <c r="L188" s="592">
        <f>IF(J188="TND",1,IF(J188="EUR",Vertical_Cash_flow!$C$16,IF(J188="USD",Vertical_Cash_flow!$F$16,0)))</f>
        <v>1</v>
      </c>
      <c r="M188" s="593">
        <f t="shared" si="12"/>
        <v>2771.5279999999998</v>
      </c>
      <c r="N188" s="589" t="s">
        <v>251</v>
      </c>
      <c r="O188" s="594">
        <v>45369</v>
      </c>
      <c r="P188" s="593">
        <f t="shared" si="13"/>
        <v>-72</v>
      </c>
      <c r="Q188" s="594">
        <v>45441</v>
      </c>
      <c r="R188" s="593">
        <f t="shared" ca="1" si="14"/>
        <v>0</v>
      </c>
      <c r="S188" s="589" t="str">
        <f>VLOOKUP(Q188,Mapping!L:M,2,0)</f>
        <v>W22_2024</v>
      </c>
      <c r="T188" s="589" t="str">
        <f t="shared" ca="1" si="15"/>
        <v>up to 30 days</v>
      </c>
      <c r="W188" s="591"/>
    </row>
    <row r="189" spans="1:23" s="589" customFormat="1" x14ac:dyDescent="0.2">
      <c r="A189" s="589" t="s">
        <v>56</v>
      </c>
      <c r="B189" s="589" t="s">
        <v>295</v>
      </c>
      <c r="C189" s="590" t="s">
        <v>3204</v>
      </c>
      <c r="D189" s="589" t="s">
        <v>100</v>
      </c>
      <c r="E189" s="589" t="s">
        <v>104</v>
      </c>
      <c r="F189" s="589" t="s">
        <v>112</v>
      </c>
      <c r="G189" s="589" t="s">
        <v>51</v>
      </c>
      <c r="H189" s="589" t="s">
        <v>242</v>
      </c>
      <c r="I189" s="589" t="s">
        <v>3376</v>
      </c>
      <c r="J189" s="589" t="s">
        <v>35</v>
      </c>
      <c r="K189" s="591">
        <v>1807.5</v>
      </c>
      <c r="L189" s="592">
        <f>IF(J189="TND",1,IF(J189="EUR",Vertical_Cash_flow!$C$16,IF(J189="USD",Vertical_Cash_flow!$F$16,0)))</f>
        <v>1</v>
      </c>
      <c r="M189" s="593">
        <f t="shared" si="12"/>
        <v>1807.5</v>
      </c>
      <c r="N189" s="589" t="s">
        <v>251</v>
      </c>
      <c r="O189" s="594">
        <v>45420</v>
      </c>
      <c r="P189" s="593">
        <f t="shared" si="13"/>
        <v>-21</v>
      </c>
      <c r="Q189" s="594">
        <v>45441</v>
      </c>
      <c r="R189" s="593">
        <f t="shared" ca="1" si="14"/>
        <v>0</v>
      </c>
      <c r="S189" s="589" t="str">
        <f>VLOOKUP(Q189,Mapping!L:M,2,0)</f>
        <v>W22_2024</v>
      </c>
      <c r="T189" s="589" t="str">
        <f t="shared" ca="1" si="15"/>
        <v>up to 30 days</v>
      </c>
      <c r="W189" s="591"/>
    </row>
    <row r="190" spans="1:23" s="589" customFormat="1" x14ac:dyDescent="0.2">
      <c r="A190" s="589" t="s">
        <v>56</v>
      </c>
      <c r="B190" s="589" t="s">
        <v>302</v>
      </c>
      <c r="C190" s="590" t="s">
        <v>1872</v>
      </c>
      <c r="D190" s="589" t="s">
        <v>100</v>
      </c>
      <c r="E190" s="589" t="s">
        <v>104</v>
      </c>
      <c r="F190" s="589" t="s">
        <v>112</v>
      </c>
      <c r="G190" s="589" t="s">
        <v>51</v>
      </c>
      <c r="H190" s="589" t="s">
        <v>242</v>
      </c>
      <c r="I190" s="589" t="s">
        <v>2232</v>
      </c>
      <c r="J190" s="589" t="s">
        <v>35</v>
      </c>
      <c r="K190" s="591">
        <v>5000</v>
      </c>
      <c r="L190" s="592">
        <f>IF(J190="TND",1,IF(J190="EUR",Vertical_Cash_flow!$C$16,IF(J190="USD",Vertical_Cash_flow!$F$16,0)))</f>
        <v>1</v>
      </c>
      <c r="M190" s="593">
        <f t="shared" si="12"/>
        <v>5000</v>
      </c>
      <c r="N190" s="589" t="s">
        <v>251</v>
      </c>
      <c r="O190" s="594">
        <v>45367</v>
      </c>
      <c r="P190" s="593">
        <f t="shared" si="13"/>
        <v>-74</v>
      </c>
      <c r="Q190" s="594">
        <v>45441</v>
      </c>
      <c r="R190" s="593">
        <f t="shared" ca="1" si="14"/>
        <v>0</v>
      </c>
      <c r="S190" s="589" t="str">
        <f>VLOOKUP(Q190,Mapping!L:M,2,0)</f>
        <v>W22_2024</v>
      </c>
      <c r="T190" s="589" t="str">
        <f t="shared" ca="1" si="15"/>
        <v>up to 30 days</v>
      </c>
      <c r="W190" s="591"/>
    </row>
    <row r="191" spans="1:23" s="589" customFormat="1" x14ac:dyDescent="0.2">
      <c r="A191" s="589" t="s">
        <v>56</v>
      </c>
      <c r="B191" s="589" t="s">
        <v>481</v>
      </c>
      <c r="C191" s="590" t="s">
        <v>1102</v>
      </c>
      <c r="D191" s="589" t="s">
        <v>100</v>
      </c>
      <c r="E191" s="589" t="s">
        <v>104</v>
      </c>
      <c r="F191" s="589" t="s">
        <v>112</v>
      </c>
      <c r="G191" s="589" t="s">
        <v>51</v>
      </c>
      <c r="H191" s="589" t="s">
        <v>242</v>
      </c>
      <c r="I191" s="589" t="s">
        <v>1177</v>
      </c>
      <c r="J191" s="589" t="s">
        <v>35</v>
      </c>
      <c r="K191" s="591">
        <v>5920</v>
      </c>
      <c r="L191" s="592">
        <f>IF(J191="TND",1,IF(J191="EUR",Vertical_Cash_flow!$C$16,IF(J191="USD",Vertical_Cash_flow!$F$16,0)))</f>
        <v>1</v>
      </c>
      <c r="M191" s="593">
        <f t="shared" si="12"/>
        <v>5920</v>
      </c>
      <c r="N191" s="589" t="s">
        <v>251</v>
      </c>
      <c r="O191" s="594">
        <v>45324</v>
      </c>
      <c r="P191" s="593">
        <f t="shared" si="13"/>
        <v>-117</v>
      </c>
      <c r="Q191" s="594">
        <v>45441</v>
      </c>
      <c r="R191" s="593">
        <f t="shared" ca="1" si="14"/>
        <v>0</v>
      </c>
      <c r="S191" s="589" t="str">
        <f>VLOOKUP(Q191,Mapping!L:M,2,0)</f>
        <v>W22_2024</v>
      </c>
      <c r="T191" s="589" t="str">
        <f t="shared" ca="1" si="15"/>
        <v>up to 30 days</v>
      </c>
      <c r="W191" s="591"/>
    </row>
    <row r="192" spans="1:23" s="589" customFormat="1" x14ac:dyDescent="0.2">
      <c r="A192" s="589" t="s">
        <v>56</v>
      </c>
      <c r="B192" s="589" t="s">
        <v>481</v>
      </c>
      <c r="C192" s="590" t="s">
        <v>1100</v>
      </c>
      <c r="D192" s="589" t="s">
        <v>100</v>
      </c>
      <c r="E192" s="589" t="s">
        <v>104</v>
      </c>
      <c r="F192" s="589" t="s">
        <v>112</v>
      </c>
      <c r="G192" s="589" t="s">
        <v>51</v>
      </c>
      <c r="H192" s="589" t="s">
        <v>242</v>
      </c>
      <c r="I192" s="589" t="s">
        <v>1175</v>
      </c>
      <c r="J192" s="589" t="s">
        <v>35</v>
      </c>
      <c r="K192" s="591">
        <v>5920</v>
      </c>
      <c r="L192" s="592">
        <f>IF(J192="TND",1,IF(J192="EUR",Vertical_Cash_flow!$C$16,IF(J192="USD",Vertical_Cash_flow!$F$16,0)))</f>
        <v>1</v>
      </c>
      <c r="M192" s="593">
        <f t="shared" si="12"/>
        <v>5920</v>
      </c>
      <c r="N192" s="589" t="s">
        <v>251</v>
      </c>
      <c r="O192" s="594">
        <v>45324</v>
      </c>
      <c r="P192" s="593">
        <f t="shared" si="13"/>
        <v>-117</v>
      </c>
      <c r="Q192" s="594">
        <v>45441</v>
      </c>
      <c r="R192" s="593">
        <f t="shared" ca="1" si="14"/>
        <v>0</v>
      </c>
      <c r="S192" s="589" t="str">
        <f>VLOOKUP(Q192,Mapping!L:M,2,0)</f>
        <v>W22_2024</v>
      </c>
      <c r="T192" s="589" t="str">
        <f t="shared" ca="1" si="15"/>
        <v>up to 30 days</v>
      </c>
      <c r="W192" s="591"/>
    </row>
    <row r="193" spans="1:23" s="589" customFormat="1" x14ac:dyDescent="0.2">
      <c r="A193" s="589" t="s">
        <v>56</v>
      </c>
      <c r="B193" s="589" t="s">
        <v>498</v>
      </c>
      <c r="C193" s="590" t="s">
        <v>1101</v>
      </c>
      <c r="D193" s="589" t="s">
        <v>100</v>
      </c>
      <c r="E193" s="589" t="s">
        <v>104</v>
      </c>
      <c r="F193" s="589" t="s">
        <v>112</v>
      </c>
      <c r="G193" s="589" t="s">
        <v>51</v>
      </c>
      <c r="H193" s="589" t="s">
        <v>242</v>
      </c>
      <c r="I193" s="589" t="s">
        <v>1176</v>
      </c>
      <c r="J193" s="589" t="s">
        <v>35</v>
      </c>
      <c r="K193" s="591">
        <v>8275</v>
      </c>
      <c r="L193" s="592">
        <f>IF(J193="TND",1,IF(J193="EUR",Vertical_Cash_flow!$C$16,IF(J193="USD",Vertical_Cash_flow!$F$16,0)))</f>
        <v>1</v>
      </c>
      <c r="M193" s="593">
        <f t="shared" si="12"/>
        <v>8275</v>
      </c>
      <c r="N193" s="589" t="s">
        <v>251</v>
      </c>
      <c r="O193" s="594">
        <v>45320</v>
      </c>
      <c r="P193" s="593">
        <f t="shared" si="13"/>
        <v>-121</v>
      </c>
      <c r="Q193" s="594">
        <v>45441</v>
      </c>
      <c r="R193" s="593">
        <f t="shared" ca="1" si="14"/>
        <v>0</v>
      </c>
      <c r="S193" s="589" t="str">
        <f>VLOOKUP(Q193,Mapping!L:M,2,0)</f>
        <v>W22_2024</v>
      </c>
      <c r="T193" s="589" t="str">
        <f t="shared" ca="1" si="15"/>
        <v>up to 30 days</v>
      </c>
      <c r="W193" s="591"/>
    </row>
    <row r="194" spans="1:23" s="589" customFormat="1" x14ac:dyDescent="0.2">
      <c r="A194" s="589" t="s">
        <v>56</v>
      </c>
      <c r="B194" s="589" t="s">
        <v>283</v>
      </c>
      <c r="C194" s="590" t="s">
        <v>1870</v>
      </c>
      <c r="D194" s="589" t="s">
        <v>100</v>
      </c>
      <c r="E194" s="589" t="s">
        <v>104</v>
      </c>
      <c r="F194" s="589" t="s">
        <v>112</v>
      </c>
      <c r="G194" s="589" t="s">
        <v>51</v>
      </c>
      <c r="H194" s="589" t="s">
        <v>242</v>
      </c>
      <c r="I194" s="589" t="s">
        <v>2230</v>
      </c>
      <c r="J194" s="589" t="s">
        <v>35</v>
      </c>
      <c r="K194" s="591">
        <v>1300</v>
      </c>
      <c r="L194" s="592">
        <f>IF(J194="TND",1,IF(J194="EUR",Vertical_Cash_flow!$C$16,IF(J194="USD",Vertical_Cash_flow!$F$16,0)))</f>
        <v>1</v>
      </c>
      <c r="M194" s="593">
        <f t="shared" si="12"/>
        <v>1300</v>
      </c>
      <c r="N194" s="589" t="s">
        <v>251</v>
      </c>
      <c r="O194" s="594">
        <v>45358</v>
      </c>
      <c r="P194" s="593">
        <f t="shared" si="13"/>
        <v>-83</v>
      </c>
      <c r="Q194" s="594">
        <v>45441</v>
      </c>
      <c r="R194" s="593">
        <f t="shared" ca="1" si="14"/>
        <v>0</v>
      </c>
      <c r="S194" s="589" t="str">
        <f>VLOOKUP(Q194,Mapping!L:M,2,0)</f>
        <v>W22_2024</v>
      </c>
      <c r="T194" s="589" t="str">
        <f t="shared" ca="1" si="15"/>
        <v>up to 30 days</v>
      </c>
      <c r="W194" s="591"/>
    </row>
    <row r="195" spans="1:23" s="589" customFormat="1" x14ac:dyDescent="0.2">
      <c r="A195" s="589" t="s">
        <v>56</v>
      </c>
      <c r="B195" s="589" t="s">
        <v>842</v>
      </c>
      <c r="C195" s="590" t="s">
        <v>1853</v>
      </c>
      <c r="D195" s="589" t="s">
        <v>100</v>
      </c>
      <c r="E195" s="589" t="s">
        <v>104</v>
      </c>
      <c r="F195" s="589" t="s">
        <v>112</v>
      </c>
      <c r="G195" s="589" t="s">
        <v>51</v>
      </c>
      <c r="H195" s="589" t="s">
        <v>242</v>
      </c>
      <c r="I195" s="589" t="s">
        <v>2218</v>
      </c>
      <c r="J195" s="589" t="s">
        <v>35</v>
      </c>
      <c r="K195" s="591">
        <v>627.97500000000002</v>
      </c>
      <c r="L195" s="592">
        <f>IF(J195="TND",1,IF(J195="EUR",Vertical_Cash_flow!$C$16,IF(J195="USD",Vertical_Cash_flow!$F$16,0)))</f>
        <v>1</v>
      </c>
      <c r="M195" s="593">
        <f t="shared" si="12"/>
        <v>627.97500000000002</v>
      </c>
      <c r="N195" s="589" t="s">
        <v>251</v>
      </c>
      <c r="O195" s="594">
        <v>45370</v>
      </c>
      <c r="P195" s="593">
        <f t="shared" si="13"/>
        <v>-72</v>
      </c>
      <c r="Q195" s="594">
        <v>45442</v>
      </c>
      <c r="R195" s="593">
        <f t="shared" ca="1" si="14"/>
        <v>-1</v>
      </c>
      <c r="S195" s="589" t="str">
        <f>VLOOKUP(Q195,Mapping!L:M,2,0)</f>
        <v>W22_2024</v>
      </c>
      <c r="T195" s="589" t="str">
        <f t="shared" ca="1" si="15"/>
        <v>Not Due</v>
      </c>
      <c r="W195" s="591"/>
    </row>
    <row r="196" spans="1:23" s="589" customFormat="1" x14ac:dyDescent="0.2">
      <c r="A196" s="589" t="s">
        <v>56</v>
      </c>
      <c r="B196" s="589" t="s">
        <v>316</v>
      </c>
      <c r="C196" s="590" t="s">
        <v>1854</v>
      </c>
      <c r="D196" s="589" t="s">
        <v>100</v>
      </c>
      <c r="E196" s="589" t="s">
        <v>104</v>
      </c>
      <c r="F196" s="589" t="s">
        <v>112</v>
      </c>
      <c r="G196" s="589" t="s">
        <v>51</v>
      </c>
      <c r="H196" s="589" t="s">
        <v>242</v>
      </c>
      <c r="I196" s="589" t="s">
        <v>2219</v>
      </c>
      <c r="J196" s="589" t="s">
        <v>35</v>
      </c>
      <c r="K196" s="591">
        <v>3496.5189999999998</v>
      </c>
      <c r="L196" s="592">
        <f>IF(J196="TND",1,IF(J196="EUR",Vertical_Cash_flow!$C$16,IF(J196="USD",Vertical_Cash_flow!$F$16,0)))</f>
        <v>1</v>
      </c>
      <c r="M196" s="593">
        <f t="shared" si="12"/>
        <v>3496.5189999999998</v>
      </c>
      <c r="N196" s="589" t="s">
        <v>251</v>
      </c>
      <c r="O196" s="594">
        <v>45372</v>
      </c>
      <c r="P196" s="593">
        <f t="shared" si="13"/>
        <v>-70</v>
      </c>
      <c r="Q196" s="594">
        <v>45442</v>
      </c>
      <c r="R196" s="593">
        <f t="shared" ca="1" si="14"/>
        <v>-1</v>
      </c>
      <c r="S196" s="589" t="str">
        <f>VLOOKUP(Q196,Mapping!L:M,2,0)</f>
        <v>W22_2024</v>
      </c>
      <c r="T196" s="589" t="str">
        <f t="shared" ca="1" si="15"/>
        <v>Not Due</v>
      </c>
      <c r="W196" s="591"/>
    </row>
    <row r="197" spans="1:23" s="589" customFormat="1" x14ac:dyDescent="0.2">
      <c r="A197" s="589" t="s">
        <v>56</v>
      </c>
      <c r="B197" s="589" t="s">
        <v>1479</v>
      </c>
      <c r="C197" s="590" t="s">
        <v>3203</v>
      </c>
      <c r="D197" s="589" t="s">
        <v>100</v>
      </c>
      <c r="E197" s="589" t="s">
        <v>104</v>
      </c>
      <c r="F197" s="589" t="s">
        <v>112</v>
      </c>
      <c r="G197" s="589" t="s">
        <v>51</v>
      </c>
      <c r="H197" s="589" t="s">
        <v>242</v>
      </c>
      <c r="I197" s="589" t="s">
        <v>2222</v>
      </c>
      <c r="J197" s="589" t="s">
        <v>35</v>
      </c>
      <c r="K197" s="591">
        <v>2632.2460000000001</v>
      </c>
      <c r="L197" s="592">
        <f>IF(J197="TND",1,IF(J197="EUR",Vertical_Cash_flow!$C$16,IF(J197="USD",Vertical_Cash_flow!$F$16,0)))</f>
        <v>1</v>
      </c>
      <c r="M197" s="593">
        <f t="shared" si="12"/>
        <v>2632.2460000000001</v>
      </c>
      <c r="N197" s="589" t="s">
        <v>251</v>
      </c>
      <c r="O197" s="594">
        <v>45412</v>
      </c>
      <c r="P197" s="593">
        <f t="shared" si="13"/>
        <v>-30</v>
      </c>
      <c r="Q197" s="594">
        <v>45442</v>
      </c>
      <c r="R197" s="593">
        <f t="shared" ca="1" si="14"/>
        <v>-1</v>
      </c>
      <c r="S197" s="589" t="str">
        <f>VLOOKUP(Q197,Mapping!L:M,2,0)</f>
        <v>W22_2024</v>
      </c>
      <c r="T197" s="589" t="str">
        <f t="shared" ca="1" si="15"/>
        <v>Not Due</v>
      </c>
      <c r="W197" s="591"/>
    </row>
    <row r="198" spans="1:23" s="589" customFormat="1" x14ac:dyDescent="0.2">
      <c r="A198" s="589" t="s">
        <v>56</v>
      </c>
      <c r="B198" s="589" t="s">
        <v>1050</v>
      </c>
      <c r="C198" s="590" t="s">
        <v>1855</v>
      </c>
      <c r="D198" s="589" t="s">
        <v>100</v>
      </c>
      <c r="E198" s="589" t="s">
        <v>104</v>
      </c>
      <c r="F198" s="589" t="s">
        <v>112</v>
      </c>
      <c r="G198" s="589" t="s">
        <v>51</v>
      </c>
      <c r="H198" s="589" t="s">
        <v>242</v>
      </c>
      <c r="I198" s="589" t="s">
        <v>2220</v>
      </c>
      <c r="J198" s="589" t="s">
        <v>35</v>
      </c>
      <c r="K198" s="591">
        <v>4500</v>
      </c>
      <c r="L198" s="592">
        <f>IF(J198="TND",1,IF(J198="EUR",Vertical_Cash_flow!$C$16,IF(J198="USD",Vertical_Cash_flow!$F$16,0)))</f>
        <v>1</v>
      </c>
      <c r="M198" s="593">
        <f t="shared" si="12"/>
        <v>4500</v>
      </c>
      <c r="N198" s="589" t="s">
        <v>251</v>
      </c>
      <c r="O198" s="594">
        <v>45357</v>
      </c>
      <c r="P198" s="593">
        <f t="shared" si="13"/>
        <v>-85</v>
      </c>
      <c r="Q198" s="594">
        <v>45442</v>
      </c>
      <c r="R198" s="593">
        <f t="shared" ca="1" si="14"/>
        <v>-1</v>
      </c>
      <c r="S198" s="589" t="str">
        <f>VLOOKUP(Q198,Mapping!L:M,2,0)</f>
        <v>W22_2024</v>
      </c>
      <c r="T198" s="589" t="str">
        <f t="shared" ca="1" si="15"/>
        <v>Not Due</v>
      </c>
      <c r="W198" s="591"/>
    </row>
    <row r="199" spans="1:23" s="589" customFormat="1" x14ac:dyDescent="0.2">
      <c r="A199" s="589" t="s">
        <v>56</v>
      </c>
      <c r="B199" s="589" t="s">
        <v>639</v>
      </c>
      <c r="C199" s="590" t="s">
        <v>1857</v>
      </c>
      <c r="D199" s="589" t="s">
        <v>100</v>
      </c>
      <c r="E199" s="589" t="s">
        <v>104</v>
      </c>
      <c r="F199" s="589" t="s">
        <v>112</v>
      </c>
      <c r="G199" s="589" t="s">
        <v>51</v>
      </c>
      <c r="H199" s="589" t="s">
        <v>242</v>
      </c>
      <c r="I199" s="589" t="s">
        <v>1208</v>
      </c>
      <c r="J199" s="589" t="s">
        <v>35</v>
      </c>
      <c r="K199" s="591">
        <v>2347.7570000000001</v>
      </c>
      <c r="L199" s="592">
        <f>IF(J199="TND",1,IF(J199="EUR",Vertical_Cash_flow!$C$16,IF(J199="USD",Vertical_Cash_flow!$F$16,0)))</f>
        <v>1</v>
      </c>
      <c r="M199" s="593">
        <f t="shared" si="12"/>
        <v>2347.7570000000001</v>
      </c>
      <c r="N199" s="589" t="s">
        <v>251</v>
      </c>
      <c r="O199" s="594">
        <v>45365</v>
      </c>
      <c r="P199" s="593">
        <f t="shared" si="13"/>
        <v>-77</v>
      </c>
      <c r="Q199" s="594">
        <v>45442</v>
      </c>
      <c r="R199" s="593">
        <f t="shared" ca="1" si="14"/>
        <v>-1</v>
      </c>
      <c r="S199" s="589" t="str">
        <f>VLOOKUP(Q199,Mapping!L:M,2,0)</f>
        <v>W22_2024</v>
      </c>
      <c r="T199" s="589" t="str">
        <f t="shared" ca="1" si="15"/>
        <v>Not Due</v>
      </c>
      <c r="W199" s="591"/>
    </row>
    <row r="200" spans="1:23" s="589" customFormat="1" x14ac:dyDescent="0.2">
      <c r="A200" s="589" t="s">
        <v>56</v>
      </c>
      <c r="B200" s="589" t="s">
        <v>634</v>
      </c>
      <c r="C200" s="590" t="s">
        <v>1862</v>
      </c>
      <c r="D200" s="589" t="s">
        <v>100</v>
      </c>
      <c r="E200" s="589" t="s">
        <v>104</v>
      </c>
      <c r="F200" s="589" t="s">
        <v>112</v>
      </c>
      <c r="G200" s="589" t="s">
        <v>51</v>
      </c>
      <c r="H200" s="589" t="s">
        <v>242</v>
      </c>
      <c r="I200" s="589" t="s">
        <v>966</v>
      </c>
      <c r="J200" s="589" t="s">
        <v>35</v>
      </c>
      <c r="K200" s="591">
        <v>770.26199999999994</v>
      </c>
      <c r="L200" s="592">
        <f>IF(J200="TND",1,IF(J200="EUR",Vertical_Cash_flow!$C$16,IF(J200="USD",Vertical_Cash_flow!$F$16,0)))</f>
        <v>1</v>
      </c>
      <c r="M200" s="593">
        <f t="shared" si="12"/>
        <v>770.26199999999994</v>
      </c>
      <c r="N200" s="589" t="s">
        <v>251</v>
      </c>
      <c r="O200" s="594">
        <v>45348</v>
      </c>
      <c r="P200" s="593">
        <f t="shared" si="13"/>
        <v>-94</v>
      </c>
      <c r="Q200" s="594">
        <v>45442</v>
      </c>
      <c r="R200" s="593">
        <f t="shared" ca="1" si="14"/>
        <v>-1</v>
      </c>
      <c r="S200" s="589" t="str">
        <f>VLOOKUP(Q200,Mapping!L:M,2,0)</f>
        <v>W22_2024</v>
      </c>
      <c r="T200" s="589" t="str">
        <f t="shared" ca="1" si="15"/>
        <v>Not Due</v>
      </c>
      <c r="W200" s="591"/>
    </row>
    <row r="201" spans="1:23" s="589" customFormat="1" x14ac:dyDescent="0.2">
      <c r="A201" s="589" t="s">
        <v>56</v>
      </c>
      <c r="B201" s="589" t="s">
        <v>732</v>
      </c>
      <c r="C201" s="590" t="s">
        <v>1856</v>
      </c>
      <c r="D201" s="589" t="s">
        <v>100</v>
      </c>
      <c r="E201" s="589" t="s">
        <v>104</v>
      </c>
      <c r="F201" s="589" t="s">
        <v>112</v>
      </c>
      <c r="G201" s="589" t="s">
        <v>51</v>
      </c>
      <c r="H201" s="589" t="s">
        <v>242</v>
      </c>
      <c r="I201" s="589" t="s">
        <v>644</v>
      </c>
      <c r="J201" s="589" t="s">
        <v>35</v>
      </c>
      <c r="K201" s="591">
        <v>967.471</v>
      </c>
      <c r="L201" s="592">
        <f>IF(J201="TND",1,IF(J201="EUR",Vertical_Cash_flow!$C$16,IF(J201="USD",Vertical_Cash_flow!$F$16,0)))</f>
        <v>1</v>
      </c>
      <c r="M201" s="593">
        <f t="shared" si="12"/>
        <v>967.471</v>
      </c>
      <c r="N201" s="589" t="s">
        <v>251</v>
      </c>
      <c r="O201" s="594">
        <v>45373</v>
      </c>
      <c r="P201" s="593">
        <f t="shared" si="13"/>
        <v>-69</v>
      </c>
      <c r="Q201" s="594">
        <v>45442</v>
      </c>
      <c r="R201" s="593">
        <f t="shared" ca="1" si="14"/>
        <v>-1</v>
      </c>
      <c r="S201" s="589" t="str">
        <f>VLOOKUP(Q201,Mapping!L:M,2,0)</f>
        <v>W22_2024</v>
      </c>
      <c r="T201" s="589" t="str">
        <f t="shared" ca="1" si="15"/>
        <v>Not Due</v>
      </c>
      <c r="W201" s="591"/>
    </row>
    <row r="202" spans="1:23" s="589" customFormat="1" x14ac:dyDescent="0.2">
      <c r="A202" s="589" t="s">
        <v>56</v>
      </c>
      <c r="B202" s="589" t="s">
        <v>301</v>
      </c>
      <c r="C202" s="590" t="s">
        <v>1332</v>
      </c>
      <c r="D202" s="589" t="s">
        <v>100</v>
      </c>
      <c r="E202" s="589" t="s">
        <v>104</v>
      </c>
      <c r="F202" s="589" t="s">
        <v>112</v>
      </c>
      <c r="G202" s="589" t="s">
        <v>51</v>
      </c>
      <c r="H202" s="589" t="s">
        <v>242</v>
      </c>
      <c r="I202" s="589" t="s">
        <v>906</v>
      </c>
      <c r="J202" s="589" t="s">
        <v>35</v>
      </c>
      <c r="K202" s="591">
        <v>1017.207</v>
      </c>
      <c r="L202" s="592">
        <f>IF(J202="TND",1,IF(J202="EUR",Vertical_Cash_flow!$C$16,IF(J202="USD",Vertical_Cash_flow!$F$16,0)))</f>
        <v>1</v>
      </c>
      <c r="M202" s="593">
        <f t="shared" si="12"/>
        <v>1017.207</v>
      </c>
      <c r="N202" s="589" t="s">
        <v>251</v>
      </c>
      <c r="O202" s="594">
        <v>45335</v>
      </c>
      <c r="P202" s="593">
        <f t="shared" si="13"/>
        <v>-107</v>
      </c>
      <c r="Q202" s="594">
        <v>45442</v>
      </c>
      <c r="R202" s="593">
        <f t="shared" ca="1" si="14"/>
        <v>-1</v>
      </c>
      <c r="S202" s="589" t="str">
        <f>VLOOKUP(Q202,Mapping!L:M,2,0)</f>
        <v>W22_2024</v>
      </c>
      <c r="T202" s="589" t="str">
        <f t="shared" ca="1" si="15"/>
        <v>Not Due</v>
      </c>
      <c r="W202" s="591"/>
    </row>
    <row r="203" spans="1:23" s="589" customFormat="1" x14ac:dyDescent="0.2">
      <c r="A203" s="589" t="s">
        <v>56</v>
      </c>
      <c r="B203" s="589" t="s">
        <v>2325</v>
      </c>
      <c r="C203" s="590" t="s">
        <v>2609</v>
      </c>
      <c r="D203" s="589" t="s">
        <v>100</v>
      </c>
      <c r="E203" s="589" t="s">
        <v>104</v>
      </c>
      <c r="F203" s="589" t="s">
        <v>112</v>
      </c>
      <c r="G203" s="589" t="s">
        <v>51</v>
      </c>
      <c r="H203" s="589" t="s">
        <v>242</v>
      </c>
      <c r="I203" s="589" t="s">
        <v>2921</v>
      </c>
      <c r="J203" s="589" t="s">
        <v>35</v>
      </c>
      <c r="K203" s="591">
        <v>1651.2059999999999</v>
      </c>
      <c r="L203" s="592">
        <f>IF(J203="TND",1,IF(J203="EUR",Vertical_Cash_flow!$C$16,IF(J203="USD",Vertical_Cash_flow!$F$16,0)))</f>
        <v>1</v>
      </c>
      <c r="M203" s="593">
        <f t="shared" si="12"/>
        <v>1651.2059999999999</v>
      </c>
      <c r="N203" s="589" t="s">
        <v>251</v>
      </c>
      <c r="O203" s="594">
        <v>45408</v>
      </c>
      <c r="P203" s="593">
        <f t="shared" si="13"/>
        <v>-34</v>
      </c>
      <c r="Q203" s="594">
        <v>45442</v>
      </c>
      <c r="R203" s="593">
        <f t="shared" ca="1" si="14"/>
        <v>-1</v>
      </c>
      <c r="S203" s="589" t="str">
        <f>VLOOKUP(Q203,Mapping!L:M,2,0)</f>
        <v>W22_2024</v>
      </c>
      <c r="T203" s="589" t="str">
        <f t="shared" ca="1" si="15"/>
        <v>Not Due</v>
      </c>
      <c r="W203" s="591"/>
    </row>
    <row r="204" spans="1:23" s="589" customFormat="1" x14ac:dyDescent="0.2">
      <c r="A204" s="589" t="s">
        <v>56</v>
      </c>
      <c r="B204" s="589" t="s">
        <v>368</v>
      </c>
      <c r="C204" s="590" t="s">
        <v>1852</v>
      </c>
      <c r="D204" s="589" t="s">
        <v>100</v>
      </c>
      <c r="E204" s="589" t="s">
        <v>104</v>
      </c>
      <c r="F204" s="589" t="s">
        <v>112</v>
      </c>
      <c r="G204" s="589" t="s">
        <v>51</v>
      </c>
      <c r="H204" s="589" t="s">
        <v>242</v>
      </c>
      <c r="I204" s="589" t="s">
        <v>2217</v>
      </c>
      <c r="J204" s="589" t="s">
        <v>35</v>
      </c>
      <c r="K204" s="591">
        <v>242.82599999999999</v>
      </c>
      <c r="L204" s="592">
        <f>IF(J204="TND",1,IF(J204="EUR",Vertical_Cash_flow!$C$16,IF(J204="USD",Vertical_Cash_flow!$F$16,0)))</f>
        <v>1</v>
      </c>
      <c r="M204" s="593">
        <f t="shared" si="12"/>
        <v>242.82599999999999</v>
      </c>
      <c r="N204" s="589" t="s">
        <v>251</v>
      </c>
      <c r="O204" s="594">
        <v>45376</v>
      </c>
      <c r="P204" s="593">
        <f t="shared" si="13"/>
        <v>-66</v>
      </c>
      <c r="Q204" s="594">
        <v>45442</v>
      </c>
      <c r="R204" s="593">
        <f t="shared" ca="1" si="14"/>
        <v>-1</v>
      </c>
      <c r="S204" s="589" t="str">
        <f>VLOOKUP(Q204,Mapping!L:M,2,0)</f>
        <v>W22_2024</v>
      </c>
      <c r="T204" s="589" t="str">
        <f t="shared" ca="1" si="15"/>
        <v>Not Due</v>
      </c>
      <c r="W204" s="591"/>
    </row>
    <row r="205" spans="1:23" s="589" customFormat="1" x14ac:dyDescent="0.2">
      <c r="A205" s="589" t="s">
        <v>56</v>
      </c>
      <c r="B205" s="589" t="s">
        <v>850</v>
      </c>
      <c r="C205" s="590" t="s">
        <v>2610</v>
      </c>
      <c r="D205" s="589" t="s">
        <v>100</v>
      </c>
      <c r="E205" s="589" t="s">
        <v>104</v>
      </c>
      <c r="F205" s="589" t="s">
        <v>112</v>
      </c>
      <c r="G205" s="589" t="s">
        <v>51</v>
      </c>
      <c r="H205" s="589" t="s">
        <v>242</v>
      </c>
      <c r="I205" s="589" t="s">
        <v>2922</v>
      </c>
      <c r="J205" s="589" t="s">
        <v>35</v>
      </c>
      <c r="K205" s="591">
        <v>235.83500000000001</v>
      </c>
      <c r="L205" s="592">
        <f>IF(J205="TND",1,IF(J205="EUR",Vertical_Cash_flow!$C$16,IF(J205="USD",Vertical_Cash_flow!$F$16,0)))</f>
        <v>1</v>
      </c>
      <c r="M205" s="593">
        <f t="shared" si="12"/>
        <v>235.83500000000001</v>
      </c>
      <c r="N205" s="589" t="s">
        <v>251</v>
      </c>
      <c r="O205" s="594">
        <v>45408</v>
      </c>
      <c r="P205" s="593">
        <f t="shared" si="13"/>
        <v>-34</v>
      </c>
      <c r="Q205" s="594">
        <v>45442</v>
      </c>
      <c r="R205" s="593">
        <f t="shared" ca="1" si="14"/>
        <v>-1</v>
      </c>
      <c r="S205" s="589" t="str">
        <f>VLOOKUP(Q205,Mapping!L:M,2,0)</f>
        <v>W22_2024</v>
      </c>
      <c r="T205" s="589" t="str">
        <f t="shared" ca="1" si="15"/>
        <v>Not Due</v>
      </c>
      <c r="W205" s="591"/>
    </row>
    <row r="206" spans="1:23" s="589" customFormat="1" x14ac:dyDescent="0.2">
      <c r="A206" s="589" t="s">
        <v>56</v>
      </c>
      <c r="B206" s="589" t="s">
        <v>294</v>
      </c>
      <c r="C206" s="590" t="s">
        <v>1330</v>
      </c>
      <c r="D206" s="589" t="s">
        <v>100</v>
      </c>
      <c r="E206" s="589" t="s">
        <v>104</v>
      </c>
      <c r="F206" s="589" t="s">
        <v>112</v>
      </c>
      <c r="G206" s="589" t="s">
        <v>51</v>
      </c>
      <c r="H206" s="589" t="s">
        <v>242</v>
      </c>
      <c r="I206" s="589" t="s">
        <v>1432</v>
      </c>
      <c r="J206" s="589" t="s">
        <v>35</v>
      </c>
      <c r="K206" s="591">
        <v>1500</v>
      </c>
      <c r="L206" s="592">
        <f>IF(J206="TND",1,IF(J206="EUR",Vertical_Cash_flow!$C$16,IF(J206="USD",Vertical_Cash_flow!$F$16,0)))</f>
        <v>1</v>
      </c>
      <c r="M206" s="593">
        <f t="shared" si="12"/>
        <v>1500</v>
      </c>
      <c r="N206" s="589" t="s">
        <v>251</v>
      </c>
      <c r="O206" s="594">
        <v>45338</v>
      </c>
      <c r="P206" s="593">
        <f t="shared" si="13"/>
        <v>-104</v>
      </c>
      <c r="Q206" s="594">
        <v>45442</v>
      </c>
      <c r="R206" s="593">
        <f t="shared" ca="1" si="14"/>
        <v>-1</v>
      </c>
      <c r="S206" s="589" t="str">
        <f>VLOOKUP(Q206,Mapping!L:M,2,0)</f>
        <v>W22_2024</v>
      </c>
      <c r="T206" s="589" t="str">
        <f t="shared" ca="1" si="15"/>
        <v>Not Due</v>
      </c>
      <c r="W206" s="591"/>
    </row>
    <row r="207" spans="1:23" s="589" customFormat="1" x14ac:dyDescent="0.2">
      <c r="A207" s="589" t="s">
        <v>56</v>
      </c>
      <c r="B207" s="589" t="s">
        <v>753</v>
      </c>
      <c r="C207" s="590" t="s">
        <v>1863</v>
      </c>
      <c r="D207" s="589" t="s">
        <v>100</v>
      </c>
      <c r="E207" s="589" t="s">
        <v>104</v>
      </c>
      <c r="F207" s="589" t="s">
        <v>112</v>
      </c>
      <c r="G207" s="589" t="s">
        <v>51</v>
      </c>
      <c r="H207" s="589" t="s">
        <v>242</v>
      </c>
      <c r="I207" s="589" t="s">
        <v>2136</v>
      </c>
      <c r="J207" s="589" t="s">
        <v>35</v>
      </c>
      <c r="K207" s="591">
        <v>10455.401</v>
      </c>
      <c r="L207" s="592">
        <f>IF(J207="TND",1,IF(J207="EUR",Vertical_Cash_flow!$C$16,IF(J207="USD",Vertical_Cash_flow!$F$16,0)))</f>
        <v>1</v>
      </c>
      <c r="M207" s="593">
        <f t="shared" si="12"/>
        <v>10455.401</v>
      </c>
      <c r="N207" s="589" t="s">
        <v>251</v>
      </c>
      <c r="O207" s="594">
        <v>45380</v>
      </c>
      <c r="P207" s="593">
        <f t="shared" si="13"/>
        <v>-62</v>
      </c>
      <c r="Q207" s="594">
        <v>45442</v>
      </c>
      <c r="R207" s="593">
        <f t="shared" ca="1" si="14"/>
        <v>-1</v>
      </c>
      <c r="S207" s="589" t="str">
        <f>VLOOKUP(Q207,Mapping!L:M,2,0)</f>
        <v>W22_2024</v>
      </c>
      <c r="T207" s="589" t="str">
        <f t="shared" ca="1" si="15"/>
        <v>Not Due</v>
      </c>
      <c r="W207" s="591"/>
    </row>
    <row r="208" spans="1:23" s="589" customFormat="1" x14ac:dyDescent="0.2">
      <c r="A208" s="589" t="s">
        <v>56</v>
      </c>
      <c r="B208" s="589" t="s">
        <v>947</v>
      </c>
      <c r="C208" s="590" t="s">
        <v>2614</v>
      </c>
      <c r="D208" s="589" t="s">
        <v>100</v>
      </c>
      <c r="E208" s="589" t="s">
        <v>104</v>
      </c>
      <c r="F208" s="589" t="s">
        <v>112</v>
      </c>
      <c r="G208" s="589" t="s">
        <v>51</v>
      </c>
      <c r="H208" s="589" t="s">
        <v>242</v>
      </c>
      <c r="I208" s="589" t="s">
        <v>2925</v>
      </c>
      <c r="J208" s="589" t="s">
        <v>35</v>
      </c>
      <c r="K208" s="591">
        <v>2133.0569999999998</v>
      </c>
      <c r="L208" s="592">
        <f>IF(J208="TND",1,IF(J208="EUR",Vertical_Cash_flow!$C$16,IF(J208="USD",Vertical_Cash_flow!$F$16,0)))</f>
        <v>1</v>
      </c>
      <c r="M208" s="593">
        <f t="shared" si="12"/>
        <v>2133.0569999999998</v>
      </c>
      <c r="N208" s="589" t="s">
        <v>251</v>
      </c>
      <c r="O208" s="594">
        <v>45400</v>
      </c>
      <c r="P208" s="593">
        <f t="shared" si="13"/>
        <v>-42</v>
      </c>
      <c r="Q208" s="594">
        <v>45442</v>
      </c>
      <c r="R208" s="593">
        <f t="shared" ca="1" si="14"/>
        <v>-1</v>
      </c>
      <c r="S208" s="589" t="str">
        <f>VLOOKUP(Q208,Mapping!L:M,2,0)</f>
        <v>W22_2024</v>
      </c>
      <c r="T208" s="589" t="str">
        <f t="shared" ca="1" si="15"/>
        <v>Not Due</v>
      </c>
      <c r="W208" s="591"/>
    </row>
    <row r="209" spans="1:23" s="589" customFormat="1" x14ac:dyDescent="0.2">
      <c r="A209" s="589" t="s">
        <v>56</v>
      </c>
      <c r="B209" s="589" t="s">
        <v>512</v>
      </c>
      <c r="C209" s="590" t="s">
        <v>1869</v>
      </c>
      <c r="D209" s="589" t="s">
        <v>100</v>
      </c>
      <c r="E209" s="589" t="s">
        <v>104</v>
      </c>
      <c r="F209" s="589" t="s">
        <v>112</v>
      </c>
      <c r="G209" s="589" t="s">
        <v>51</v>
      </c>
      <c r="H209" s="589" t="s">
        <v>242</v>
      </c>
      <c r="I209" s="589" t="s">
        <v>1006</v>
      </c>
      <c r="J209" s="589" t="s">
        <v>35</v>
      </c>
      <c r="K209" s="591">
        <v>2370.5279999999998</v>
      </c>
      <c r="L209" s="592">
        <f>IF(J209="TND",1,IF(J209="EUR",Vertical_Cash_flow!$C$16,IF(J209="USD",Vertical_Cash_flow!$F$16,0)))</f>
        <v>1</v>
      </c>
      <c r="M209" s="593">
        <f t="shared" si="12"/>
        <v>2370.5279999999998</v>
      </c>
      <c r="N209" s="589" t="s">
        <v>251</v>
      </c>
      <c r="O209" s="594">
        <v>45351</v>
      </c>
      <c r="P209" s="593">
        <f t="shared" si="13"/>
        <v>-91</v>
      </c>
      <c r="Q209" s="594">
        <v>45442</v>
      </c>
      <c r="R209" s="593">
        <f t="shared" ca="1" si="14"/>
        <v>-1</v>
      </c>
      <c r="S209" s="589" t="str">
        <f>VLOOKUP(Q209,Mapping!L:M,2,0)</f>
        <v>W22_2024</v>
      </c>
      <c r="T209" s="589" t="str">
        <f t="shared" ca="1" si="15"/>
        <v>Not Due</v>
      </c>
      <c r="W209" s="591"/>
    </row>
    <row r="210" spans="1:23" s="589" customFormat="1" x14ac:dyDescent="0.2">
      <c r="A210" s="589" t="s">
        <v>56</v>
      </c>
      <c r="B210" s="589" t="s">
        <v>724</v>
      </c>
      <c r="C210" s="590" t="s">
        <v>2612</v>
      </c>
      <c r="D210" s="589" t="s">
        <v>100</v>
      </c>
      <c r="E210" s="589" t="s">
        <v>104</v>
      </c>
      <c r="F210" s="589" t="s">
        <v>112</v>
      </c>
      <c r="G210" s="589" t="s">
        <v>51</v>
      </c>
      <c r="H210" s="589" t="s">
        <v>242</v>
      </c>
      <c r="I210" s="589" t="s">
        <v>2924</v>
      </c>
      <c r="J210" s="589" t="s">
        <v>35</v>
      </c>
      <c r="K210" s="591">
        <v>631.81899999999996</v>
      </c>
      <c r="L210" s="592">
        <f>IF(J210="TND",1,IF(J210="EUR",Vertical_Cash_flow!$C$16,IF(J210="USD",Vertical_Cash_flow!$F$16,0)))</f>
        <v>1</v>
      </c>
      <c r="M210" s="593">
        <f t="shared" si="12"/>
        <v>631.81899999999996</v>
      </c>
      <c r="N210" s="589" t="s">
        <v>251</v>
      </c>
      <c r="O210" s="594">
        <v>45406</v>
      </c>
      <c r="P210" s="593">
        <f t="shared" si="13"/>
        <v>-36</v>
      </c>
      <c r="Q210" s="594">
        <v>45442</v>
      </c>
      <c r="R210" s="593">
        <f t="shared" ca="1" si="14"/>
        <v>-1</v>
      </c>
      <c r="S210" s="589" t="str">
        <f>VLOOKUP(Q210,Mapping!L:M,2,0)</f>
        <v>W22_2024</v>
      </c>
      <c r="T210" s="589" t="str">
        <f t="shared" ca="1" si="15"/>
        <v>Not Due</v>
      </c>
      <c r="W210" s="591"/>
    </row>
    <row r="211" spans="1:23" s="589" customFormat="1" x14ac:dyDescent="0.2">
      <c r="A211" s="589" t="s">
        <v>56</v>
      </c>
      <c r="B211" s="589" t="s">
        <v>302</v>
      </c>
      <c r="C211" s="590" t="s">
        <v>1331</v>
      </c>
      <c r="D211" s="589" t="s">
        <v>100</v>
      </c>
      <c r="E211" s="589" t="s">
        <v>104</v>
      </c>
      <c r="F211" s="589" t="s">
        <v>112</v>
      </c>
      <c r="G211" s="589" t="s">
        <v>51</v>
      </c>
      <c r="H211" s="589" t="s">
        <v>242</v>
      </c>
      <c r="I211" s="589" t="s">
        <v>1207</v>
      </c>
      <c r="J211" s="589" t="s">
        <v>35</v>
      </c>
      <c r="K211" s="591">
        <v>4500</v>
      </c>
      <c r="L211" s="592">
        <f>IF(J211="TND",1,IF(J211="EUR",Vertical_Cash_flow!$C$16,IF(J211="USD",Vertical_Cash_flow!$F$16,0)))</f>
        <v>1</v>
      </c>
      <c r="M211" s="593">
        <f t="shared" si="12"/>
        <v>4500</v>
      </c>
      <c r="N211" s="589" t="s">
        <v>251</v>
      </c>
      <c r="O211" s="594">
        <v>45335</v>
      </c>
      <c r="P211" s="593">
        <f t="shared" si="13"/>
        <v>-107</v>
      </c>
      <c r="Q211" s="594">
        <v>45442</v>
      </c>
      <c r="R211" s="593">
        <f t="shared" ca="1" si="14"/>
        <v>-1</v>
      </c>
      <c r="S211" s="589" t="str">
        <f>VLOOKUP(Q211,Mapping!L:M,2,0)</f>
        <v>W22_2024</v>
      </c>
      <c r="T211" s="589" t="str">
        <f t="shared" ca="1" si="15"/>
        <v>Not Due</v>
      </c>
      <c r="W211" s="591"/>
    </row>
    <row r="212" spans="1:23" s="589" customFormat="1" x14ac:dyDescent="0.2">
      <c r="A212" s="589" t="s">
        <v>56</v>
      </c>
      <c r="B212" s="589" t="s">
        <v>891</v>
      </c>
      <c r="C212" s="590" t="s">
        <v>1868</v>
      </c>
      <c r="D212" s="589" t="s">
        <v>100</v>
      </c>
      <c r="E212" s="589" t="s">
        <v>104</v>
      </c>
      <c r="F212" s="589" t="s">
        <v>112</v>
      </c>
      <c r="G212" s="589" t="s">
        <v>51</v>
      </c>
      <c r="H212" s="589" t="s">
        <v>242</v>
      </c>
      <c r="I212" s="589" t="s">
        <v>2229</v>
      </c>
      <c r="J212" s="589" t="s">
        <v>35</v>
      </c>
      <c r="K212" s="591">
        <v>273.5</v>
      </c>
      <c r="L212" s="592">
        <f>IF(J212="TND",1,IF(J212="EUR",Vertical_Cash_flow!$C$16,IF(J212="USD",Vertical_Cash_flow!$F$16,0)))</f>
        <v>1</v>
      </c>
      <c r="M212" s="593">
        <f t="shared" si="12"/>
        <v>273.5</v>
      </c>
      <c r="N212" s="589" t="s">
        <v>251</v>
      </c>
      <c r="O212" s="594">
        <v>45351</v>
      </c>
      <c r="P212" s="593">
        <f t="shared" si="13"/>
        <v>-91</v>
      </c>
      <c r="Q212" s="594">
        <v>45442</v>
      </c>
      <c r="R212" s="593">
        <f t="shared" ca="1" si="14"/>
        <v>-1</v>
      </c>
      <c r="S212" s="589" t="str">
        <f>VLOOKUP(Q212,Mapping!L:M,2,0)</f>
        <v>W22_2024</v>
      </c>
      <c r="T212" s="589" t="str">
        <f t="shared" ca="1" si="15"/>
        <v>Not Due</v>
      </c>
      <c r="W212" s="591"/>
    </row>
    <row r="213" spans="1:23" s="589" customFormat="1" x14ac:dyDescent="0.2">
      <c r="A213" s="589" t="s">
        <v>56</v>
      </c>
      <c r="B213" s="589" t="s">
        <v>579</v>
      </c>
      <c r="C213" s="590" t="s">
        <v>1867</v>
      </c>
      <c r="D213" s="589" t="s">
        <v>100</v>
      </c>
      <c r="E213" s="589" t="s">
        <v>104</v>
      </c>
      <c r="F213" s="589" t="s">
        <v>112</v>
      </c>
      <c r="G213" s="589" t="s">
        <v>51</v>
      </c>
      <c r="H213" s="589" t="s">
        <v>242</v>
      </c>
      <c r="I213" s="589" t="s">
        <v>2228</v>
      </c>
      <c r="J213" s="589" t="s">
        <v>35</v>
      </c>
      <c r="K213" s="591">
        <v>3100.3319999999999</v>
      </c>
      <c r="L213" s="592">
        <f>IF(J213="TND",1,IF(J213="EUR",Vertical_Cash_flow!$C$16,IF(J213="USD",Vertical_Cash_flow!$F$16,0)))</f>
        <v>1</v>
      </c>
      <c r="M213" s="593">
        <f t="shared" ref="M213:M276" si="16">K213/L213</f>
        <v>3100.3319999999999</v>
      </c>
      <c r="N213" s="589" t="s">
        <v>251</v>
      </c>
      <c r="O213" s="594">
        <v>45357</v>
      </c>
      <c r="P213" s="593">
        <f t="shared" ref="P213:P276" si="17">O213-Q213</f>
        <v>-85</v>
      </c>
      <c r="Q213" s="594">
        <v>45442</v>
      </c>
      <c r="R213" s="593">
        <f t="shared" ref="R213:R276" ca="1" si="18">$W$1-Q213</f>
        <v>-1</v>
      </c>
      <c r="S213" s="589" t="str">
        <f>VLOOKUP(Q213,Mapping!L:M,2,0)</f>
        <v>W22_2024</v>
      </c>
      <c r="T213" s="589" t="str">
        <f t="shared" ref="T213:T276" ca="1" si="19">IF(R213="","",IF(R213&lt;0,"Not Due",IF(AND(R213&gt;=0,R213&lt;=30),"up to 30 days",IF(AND(R213&gt;30,R213&lt;=60),"30-60 days",IF(AND(R213&gt;60,R213&lt;=90),"60-90 days",IF(AND(R213&gt;90,R213&lt;=120),"90-120 days",IF(AND(R213&gt;120,R213&lt;=180),"120-180 days",IF(AND(R213&gt;180,R213&lt;=360),"180-360 days",IF(R213&gt;360,"more than 360 days","ok")))))))))</f>
        <v>Not Due</v>
      </c>
      <c r="W213" s="591"/>
    </row>
    <row r="214" spans="1:23" s="589" customFormat="1" x14ac:dyDescent="0.2">
      <c r="A214" s="589" t="s">
        <v>56</v>
      </c>
      <c r="B214" s="589" t="s">
        <v>891</v>
      </c>
      <c r="C214" s="590" t="s">
        <v>1866</v>
      </c>
      <c r="D214" s="589" t="s">
        <v>100</v>
      </c>
      <c r="E214" s="589" t="s">
        <v>104</v>
      </c>
      <c r="F214" s="589" t="s">
        <v>112</v>
      </c>
      <c r="G214" s="589" t="s">
        <v>51</v>
      </c>
      <c r="H214" s="589" t="s">
        <v>242</v>
      </c>
      <c r="I214" s="589" t="s">
        <v>2227</v>
      </c>
      <c r="J214" s="589" t="s">
        <v>35</v>
      </c>
      <c r="K214" s="591">
        <v>274.06099999999998</v>
      </c>
      <c r="L214" s="592">
        <f>IF(J214="TND",1,IF(J214="EUR",Vertical_Cash_flow!$C$16,IF(J214="USD",Vertical_Cash_flow!$F$16,0)))</f>
        <v>1</v>
      </c>
      <c r="M214" s="593">
        <f t="shared" si="16"/>
        <v>274.06099999999998</v>
      </c>
      <c r="N214" s="589" t="s">
        <v>251</v>
      </c>
      <c r="O214" s="594">
        <v>45351</v>
      </c>
      <c r="P214" s="593">
        <f t="shared" si="17"/>
        <v>-91</v>
      </c>
      <c r="Q214" s="594">
        <v>45442</v>
      </c>
      <c r="R214" s="593">
        <f t="shared" ca="1" si="18"/>
        <v>-1</v>
      </c>
      <c r="S214" s="589" t="str">
        <f>VLOOKUP(Q214,Mapping!L:M,2,0)</f>
        <v>W22_2024</v>
      </c>
      <c r="T214" s="589" t="str">
        <f t="shared" ca="1" si="19"/>
        <v>Not Due</v>
      </c>
      <c r="W214" s="591"/>
    </row>
    <row r="215" spans="1:23" s="589" customFormat="1" x14ac:dyDescent="0.2">
      <c r="A215" s="589" t="s">
        <v>56</v>
      </c>
      <c r="B215" s="589" t="s">
        <v>1248</v>
      </c>
      <c r="C215" s="590" t="s">
        <v>2611</v>
      </c>
      <c r="D215" s="589" t="s">
        <v>100</v>
      </c>
      <c r="E215" s="589" t="s">
        <v>104</v>
      </c>
      <c r="F215" s="589" t="s">
        <v>112</v>
      </c>
      <c r="G215" s="589" t="s">
        <v>51</v>
      </c>
      <c r="H215" s="589" t="s">
        <v>242</v>
      </c>
      <c r="I215" s="589" t="s">
        <v>2923</v>
      </c>
      <c r="J215" s="589" t="s">
        <v>35</v>
      </c>
      <c r="K215" s="591">
        <v>437.04</v>
      </c>
      <c r="L215" s="592">
        <f>IF(J215="TND",1,IF(J215="EUR",Vertical_Cash_flow!$C$16,IF(J215="USD",Vertical_Cash_flow!$F$16,0)))</f>
        <v>1</v>
      </c>
      <c r="M215" s="593">
        <f t="shared" si="16"/>
        <v>437.04</v>
      </c>
      <c r="N215" s="589" t="s">
        <v>251</v>
      </c>
      <c r="O215" s="594">
        <v>45407</v>
      </c>
      <c r="P215" s="593">
        <f t="shared" si="17"/>
        <v>-35</v>
      </c>
      <c r="Q215" s="594">
        <v>45442</v>
      </c>
      <c r="R215" s="593">
        <f t="shared" ca="1" si="18"/>
        <v>-1</v>
      </c>
      <c r="S215" s="589" t="str">
        <f>VLOOKUP(Q215,Mapping!L:M,2,0)</f>
        <v>W22_2024</v>
      </c>
      <c r="T215" s="589" t="str">
        <f t="shared" ca="1" si="19"/>
        <v>Not Due</v>
      </c>
      <c r="W215" s="591"/>
    </row>
    <row r="216" spans="1:23" s="589" customFormat="1" x14ac:dyDescent="0.2">
      <c r="A216" s="589" t="s">
        <v>56</v>
      </c>
      <c r="B216" s="589" t="s">
        <v>760</v>
      </c>
      <c r="C216" s="590" t="s">
        <v>1099</v>
      </c>
      <c r="D216" s="589" t="s">
        <v>100</v>
      </c>
      <c r="E216" s="589" t="s">
        <v>104</v>
      </c>
      <c r="F216" s="589" t="s">
        <v>112</v>
      </c>
      <c r="G216" s="589" t="s">
        <v>51</v>
      </c>
      <c r="H216" s="589" t="s">
        <v>242</v>
      </c>
      <c r="I216" s="589" t="s">
        <v>1174</v>
      </c>
      <c r="J216" s="589" t="s">
        <v>35</v>
      </c>
      <c r="K216" s="591">
        <v>5500</v>
      </c>
      <c r="L216" s="592">
        <f>IF(J216="TND",1,IF(J216="EUR",Vertical_Cash_flow!$C$16,IF(J216="USD",Vertical_Cash_flow!$F$16,0)))</f>
        <v>1</v>
      </c>
      <c r="M216" s="593">
        <f t="shared" si="16"/>
        <v>5500</v>
      </c>
      <c r="N216" s="589" t="s">
        <v>251</v>
      </c>
      <c r="O216" s="594">
        <v>45315</v>
      </c>
      <c r="P216" s="593">
        <f t="shared" si="17"/>
        <v>-127</v>
      </c>
      <c r="Q216" s="594">
        <v>45442</v>
      </c>
      <c r="R216" s="593">
        <f t="shared" ca="1" si="18"/>
        <v>-1</v>
      </c>
      <c r="S216" s="589" t="str">
        <f>VLOOKUP(Q216,Mapping!L:M,2,0)</f>
        <v>W22_2024</v>
      </c>
      <c r="T216" s="589" t="str">
        <f t="shared" ca="1" si="19"/>
        <v>Not Due</v>
      </c>
      <c r="W216" s="591"/>
    </row>
    <row r="217" spans="1:23" s="589" customFormat="1" x14ac:dyDescent="0.2">
      <c r="A217" s="589" t="s">
        <v>56</v>
      </c>
      <c r="B217" s="589" t="s">
        <v>484</v>
      </c>
      <c r="C217" s="590" t="s">
        <v>1858</v>
      </c>
      <c r="D217" s="589" t="s">
        <v>100</v>
      </c>
      <c r="E217" s="589" t="s">
        <v>104</v>
      </c>
      <c r="F217" s="589" t="s">
        <v>112</v>
      </c>
      <c r="G217" s="589" t="s">
        <v>51</v>
      </c>
      <c r="H217" s="589" t="s">
        <v>242</v>
      </c>
      <c r="I217" s="589" t="s">
        <v>2221</v>
      </c>
      <c r="J217" s="589" t="s">
        <v>35</v>
      </c>
      <c r="K217" s="591">
        <v>1828.2339999999999</v>
      </c>
      <c r="L217" s="592">
        <f>IF(J217="TND",1,IF(J217="EUR",Vertical_Cash_flow!$C$16,IF(J217="USD",Vertical_Cash_flow!$F$16,0)))</f>
        <v>1</v>
      </c>
      <c r="M217" s="593">
        <f t="shared" si="16"/>
        <v>1828.2339999999999</v>
      </c>
      <c r="N217" s="589" t="s">
        <v>251</v>
      </c>
      <c r="O217" s="594">
        <v>45378</v>
      </c>
      <c r="P217" s="593">
        <f t="shared" si="17"/>
        <v>-64</v>
      </c>
      <c r="Q217" s="594">
        <v>45442</v>
      </c>
      <c r="R217" s="593">
        <f t="shared" ca="1" si="18"/>
        <v>-1</v>
      </c>
      <c r="S217" s="589" t="str">
        <f>VLOOKUP(Q217,Mapping!L:M,2,0)</f>
        <v>W22_2024</v>
      </c>
      <c r="T217" s="589" t="str">
        <f t="shared" ca="1" si="19"/>
        <v>Not Due</v>
      </c>
      <c r="W217" s="591"/>
    </row>
    <row r="218" spans="1:23" s="589" customFormat="1" x14ac:dyDescent="0.2">
      <c r="A218" s="589" t="s">
        <v>56</v>
      </c>
      <c r="B218" s="589" t="s">
        <v>1479</v>
      </c>
      <c r="C218" s="590" t="s">
        <v>1859</v>
      </c>
      <c r="D218" s="589" t="s">
        <v>100</v>
      </c>
      <c r="E218" s="589" t="s">
        <v>104</v>
      </c>
      <c r="F218" s="589" t="s">
        <v>112</v>
      </c>
      <c r="G218" s="589" t="s">
        <v>51</v>
      </c>
      <c r="H218" s="589" t="s">
        <v>242</v>
      </c>
      <c r="I218" s="589" t="s">
        <v>2222</v>
      </c>
      <c r="J218" s="589" t="s">
        <v>35</v>
      </c>
      <c r="K218" s="591">
        <v>4000</v>
      </c>
      <c r="L218" s="592">
        <f>IF(J218="TND",1,IF(J218="EUR",Vertical_Cash_flow!$C$16,IF(J218="USD",Vertical_Cash_flow!$F$16,0)))</f>
        <v>1</v>
      </c>
      <c r="M218" s="593">
        <f t="shared" si="16"/>
        <v>4000</v>
      </c>
      <c r="N218" s="589" t="s">
        <v>251</v>
      </c>
      <c r="O218" s="594">
        <v>45378</v>
      </c>
      <c r="P218" s="593">
        <f t="shared" si="17"/>
        <v>-64</v>
      </c>
      <c r="Q218" s="594">
        <v>45442</v>
      </c>
      <c r="R218" s="593">
        <f t="shared" ca="1" si="18"/>
        <v>-1</v>
      </c>
      <c r="S218" s="589" t="str">
        <f>VLOOKUP(Q218,Mapping!L:M,2,0)</f>
        <v>W22_2024</v>
      </c>
      <c r="T218" s="589" t="str">
        <f t="shared" ca="1" si="19"/>
        <v>Not Due</v>
      </c>
      <c r="W218" s="591"/>
    </row>
    <row r="219" spans="1:23" s="589" customFormat="1" x14ac:dyDescent="0.2">
      <c r="A219" s="589" t="s">
        <v>56</v>
      </c>
      <c r="B219" s="589" t="s">
        <v>579</v>
      </c>
      <c r="C219" s="590" t="s">
        <v>1861</v>
      </c>
      <c r="D219" s="589" t="s">
        <v>100</v>
      </c>
      <c r="E219" s="589" t="s">
        <v>104</v>
      </c>
      <c r="F219" s="589" t="s">
        <v>112</v>
      </c>
      <c r="G219" s="589" t="s">
        <v>51</v>
      </c>
      <c r="H219" s="589" t="s">
        <v>242</v>
      </c>
      <c r="I219" s="589" t="s">
        <v>2224</v>
      </c>
      <c r="J219" s="589" t="s">
        <v>35</v>
      </c>
      <c r="K219" s="591">
        <v>2500</v>
      </c>
      <c r="L219" s="592">
        <f>IF(J219="TND",1,IF(J219="EUR",Vertical_Cash_flow!$C$16,IF(J219="USD",Vertical_Cash_flow!$F$16,0)))</f>
        <v>1</v>
      </c>
      <c r="M219" s="593">
        <f t="shared" si="16"/>
        <v>2500</v>
      </c>
      <c r="N219" s="589" t="s">
        <v>251</v>
      </c>
      <c r="O219" s="594">
        <v>45380</v>
      </c>
      <c r="P219" s="593">
        <f t="shared" si="17"/>
        <v>-62</v>
      </c>
      <c r="Q219" s="594">
        <v>45442</v>
      </c>
      <c r="R219" s="593">
        <f t="shared" ca="1" si="18"/>
        <v>-1</v>
      </c>
      <c r="S219" s="589" t="str">
        <f>VLOOKUP(Q219,Mapping!L:M,2,0)</f>
        <v>W22_2024</v>
      </c>
      <c r="T219" s="589" t="str">
        <f t="shared" ca="1" si="19"/>
        <v>Not Due</v>
      </c>
      <c r="W219" s="591"/>
    </row>
    <row r="220" spans="1:23" s="589" customFormat="1" x14ac:dyDescent="0.2">
      <c r="A220" s="589" t="s">
        <v>56</v>
      </c>
      <c r="B220" s="589" t="s">
        <v>904</v>
      </c>
      <c r="C220" s="590" t="s">
        <v>2613</v>
      </c>
      <c r="D220" s="589" t="s">
        <v>100</v>
      </c>
      <c r="E220" s="589" t="s">
        <v>104</v>
      </c>
      <c r="F220" s="589" t="s">
        <v>112</v>
      </c>
      <c r="G220" s="589" t="s">
        <v>51</v>
      </c>
      <c r="H220" s="589" t="s">
        <v>242</v>
      </c>
      <c r="I220" s="589" t="s">
        <v>1209</v>
      </c>
      <c r="J220" s="589" t="s">
        <v>35</v>
      </c>
      <c r="K220" s="591">
        <v>9173.0450000000001</v>
      </c>
      <c r="L220" s="592">
        <f>IF(J220="TND",1,IF(J220="EUR",Vertical_Cash_flow!$C$16,IF(J220="USD",Vertical_Cash_flow!$F$16,0)))</f>
        <v>1</v>
      </c>
      <c r="M220" s="593">
        <f t="shared" si="16"/>
        <v>9173.0450000000001</v>
      </c>
      <c r="N220" s="589" t="s">
        <v>251</v>
      </c>
      <c r="O220" s="594">
        <v>45404</v>
      </c>
      <c r="P220" s="593">
        <f t="shared" si="17"/>
        <v>-38</v>
      </c>
      <c r="Q220" s="594">
        <v>45442</v>
      </c>
      <c r="R220" s="593">
        <f t="shared" ca="1" si="18"/>
        <v>-1</v>
      </c>
      <c r="S220" s="589" t="str">
        <f>VLOOKUP(Q220,Mapping!L:M,2,0)</f>
        <v>W22_2024</v>
      </c>
      <c r="T220" s="589" t="str">
        <f t="shared" ca="1" si="19"/>
        <v>Not Due</v>
      </c>
      <c r="W220" s="591"/>
    </row>
    <row r="221" spans="1:23" s="589" customFormat="1" x14ac:dyDescent="0.2">
      <c r="A221" s="589" t="s">
        <v>56</v>
      </c>
      <c r="B221" s="589" t="s">
        <v>563</v>
      </c>
      <c r="C221" s="590" t="s">
        <v>1860</v>
      </c>
      <c r="D221" s="589" t="s">
        <v>100</v>
      </c>
      <c r="E221" s="589" t="s">
        <v>104</v>
      </c>
      <c r="F221" s="589" t="s">
        <v>112</v>
      </c>
      <c r="G221" s="589" t="s">
        <v>51</v>
      </c>
      <c r="H221" s="589" t="s">
        <v>242</v>
      </c>
      <c r="I221" s="589" t="s">
        <v>2223</v>
      </c>
      <c r="J221" s="589" t="s">
        <v>35</v>
      </c>
      <c r="K221" s="591">
        <v>2805.4360000000001</v>
      </c>
      <c r="L221" s="592">
        <f>IF(J221="TND",1,IF(J221="EUR",Vertical_Cash_flow!$C$16,IF(J221="USD",Vertical_Cash_flow!$F$16,0)))</f>
        <v>1</v>
      </c>
      <c r="M221" s="593">
        <f t="shared" si="16"/>
        <v>2805.4360000000001</v>
      </c>
      <c r="N221" s="589" t="s">
        <v>251</v>
      </c>
      <c r="O221" s="594">
        <v>45379</v>
      </c>
      <c r="P221" s="593">
        <f t="shared" si="17"/>
        <v>-63</v>
      </c>
      <c r="Q221" s="594">
        <v>45442</v>
      </c>
      <c r="R221" s="593">
        <f t="shared" ca="1" si="18"/>
        <v>-1</v>
      </c>
      <c r="S221" s="589" t="str">
        <f>VLOOKUP(Q221,Mapping!L:M,2,0)</f>
        <v>W22_2024</v>
      </c>
      <c r="T221" s="589" t="str">
        <f t="shared" ca="1" si="19"/>
        <v>Not Due</v>
      </c>
      <c r="W221" s="591"/>
    </row>
    <row r="222" spans="1:23" s="589" customFormat="1" x14ac:dyDescent="0.2">
      <c r="A222" s="589" t="s">
        <v>56</v>
      </c>
      <c r="B222" s="589" t="s">
        <v>562</v>
      </c>
      <c r="C222" s="590" t="s">
        <v>1864</v>
      </c>
      <c r="D222" s="589" t="s">
        <v>100</v>
      </c>
      <c r="E222" s="589" t="s">
        <v>104</v>
      </c>
      <c r="F222" s="589" t="s">
        <v>112</v>
      </c>
      <c r="G222" s="589" t="s">
        <v>51</v>
      </c>
      <c r="H222" s="589" t="s">
        <v>242</v>
      </c>
      <c r="I222" s="589" t="s">
        <v>2225</v>
      </c>
      <c r="J222" s="589" t="s">
        <v>35</v>
      </c>
      <c r="K222" s="591">
        <v>3017.3110000000001</v>
      </c>
      <c r="L222" s="592">
        <f>IF(J222="TND",1,IF(J222="EUR",Vertical_Cash_flow!$C$16,IF(J222="USD",Vertical_Cash_flow!$F$16,0)))</f>
        <v>1</v>
      </c>
      <c r="M222" s="593">
        <f t="shared" si="16"/>
        <v>3017.3110000000001</v>
      </c>
      <c r="N222" s="589" t="s">
        <v>251</v>
      </c>
      <c r="O222" s="594">
        <v>45365</v>
      </c>
      <c r="P222" s="593">
        <f t="shared" si="17"/>
        <v>-77</v>
      </c>
      <c r="Q222" s="594">
        <v>45442</v>
      </c>
      <c r="R222" s="593">
        <f t="shared" ca="1" si="18"/>
        <v>-1</v>
      </c>
      <c r="S222" s="589" t="str">
        <f>VLOOKUP(Q222,Mapping!L:M,2,0)</f>
        <v>W22_2024</v>
      </c>
      <c r="T222" s="589" t="str">
        <f t="shared" ca="1" si="19"/>
        <v>Not Due</v>
      </c>
      <c r="W222" s="591"/>
    </row>
    <row r="223" spans="1:23" s="589" customFormat="1" x14ac:dyDescent="0.2">
      <c r="A223" s="589" t="s">
        <v>56</v>
      </c>
      <c r="B223" s="589" t="s">
        <v>514</v>
      </c>
      <c r="C223" s="590" t="s">
        <v>1865</v>
      </c>
      <c r="D223" s="589" t="s">
        <v>100</v>
      </c>
      <c r="E223" s="589" t="s">
        <v>104</v>
      </c>
      <c r="F223" s="589" t="s">
        <v>112</v>
      </c>
      <c r="G223" s="589" t="s">
        <v>51</v>
      </c>
      <c r="H223" s="589" t="s">
        <v>242</v>
      </c>
      <c r="I223" s="589" t="s">
        <v>2226</v>
      </c>
      <c r="J223" s="589" t="s">
        <v>35</v>
      </c>
      <c r="K223" s="591">
        <v>816.63800000000003</v>
      </c>
      <c r="L223" s="592">
        <f>IF(J223="TND",1,IF(J223="EUR",Vertical_Cash_flow!$C$16,IF(J223="USD",Vertical_Cash_flow!$F$16,0)))</f>
        <v>1</v>
      </c>
      <c r="M223" s="593">
        <f t="shared" si="16"/>
        <v>816.63800000000003</v>
      </c>
      <c r="N223" s="589" t="s">
        <v>251</v>
      </c>
      <c r="O223" s="594">
        <v>45351</v>
      </c>
      <c r="P223" s="593">
        <f t="shared" si="17"/>
        <v>-91</v>
      </c>
      <c r="Q223" s="594">
        <v>45442</v>
      </c>
      <c r="R223" s="593">
        <f t="shared" ca="1" si="18"/>
        <v>-1</v>
      </c>
      <c r="S223" s="589" t="str">
        <f>VLOOKUP(Q223,Mapping!L:M,2,0)</f>
        <v>W22_2024</v>
      </c>
      <c r="T223" s="589" t="str">
        <f t="shared" ca="1" si="19"/>
        <v>Not Due</v>
      </c>
      <c r="W223" s="591"/>
    </row>
    <row r="224" spans="1:23" s="589" customFormat="1" x14ac:dyDescent="0.2">
      <c r="A224" s="589" t="s">
        <v>56</v>
      </c>
      <c r="B224" s="589" t="s">
        <v>305</v>
      </c>
      <c r="C224" s="590" t="s">
        <v>3578</v>
      </c>
      <c r="D224" s="589" t="s">
        <v>100</v>
      </c>
      <c r="E224" s="589" t="s">
        <v>104</v>
      </c>
      <c r="F224" s="589" t="s">
        <v>112</v>
      </c>
      <c r="G224" s="589" t="s">
        <v>51</v>
      </c>
      <c r="H224" s="589" t="s">
        <v>242</v>
      </c>
      <c r="I224" s="589" t="s">
        <v>3722</v>
      </c>
      <c r="J224" s="589" t="s">
        <v>35</v>
      </c>
      <c r="K224" s="591">
        <v>1026.913</v>
      </c>
      <c r="L224" s="592">
        <f>IF(J224="TND",1,IF(J224="EUR",Vertical_Cash_flow!$C$16,IF(J224="USD",Vertical_Cash_flow!$F$16,0)))</f>
        <v>1</v>
      </c>
      <c r="M224" s="593">
        <f t="shared" si="16"/>
        <v>1026.913</v>
      </c>
      <c r="N224" s="589" t="s">
        <v>251</v>
      </c>
      <c r="O224" s="594">
        <v>45427</v>
      </c>
      <c r="P224" s="593">
        <f t="shared" si="17"/>
        <v>-15</v>
      </c>
      <c r="Q224" s="594">
        <v>45442</v>
      </c>
      <c r="R224" s="593">
        <f t="shared" ca="1" si="18"/>
        <v>-1</v>
      </c>
      <c r="S224" s="589" t="str">
        <f>VLOOKUP(Q224,Mapping!L:M,2,0)</f>
        <v>W22_2024</v>
      </c>
      <c r="T224" s="589" t="str">
        <f t="shared" ca="1" si="19"/>
        <v>Not Due</v>
      </c>
      <c r="W224" s="591"/>
    </row>
    <row r="225" spans="1:23" s="589" customFormat="1" x14ac:dyDescent="0.2">
      <c r="A225" s="589" t="s">
        <v>56</v>
      </c>
      <c r="B225" s="589" t="s">
        <v>539</v>
      </c>
      <c r="C225" s="590" t="s">
        <v>3577</v>
      </c>
      <c r="D225" s="589" t="s">
        <v>100</v>
      </c>
      <c r="E225" s="589" t="s">
        <v>104</v>
      </c>
      <c r="F225" s="589" t="s">
        <v>112</v>
      </c>
      <c r="G225" s="589" t="s">
        <v>51</v>
      </c>
      <c r="H225" s="589" t="s">
        <v>242</v>
      </c>
      <c r="I225" s="589" t="s">
        <v>3721</v>
      </c>
      <c r="J225" s="589" t="s">
        <v>35</v>
      </c>
      <c r="K225" s="591">
        <v>1129.307</v>
      </c>
      <c r="L225" s="592">
        <f>IF(J225="TND",1,IF(J225="EUR",Vertical_Cash_flow!$C$16,IF(J225="USD",Vertical_Cash_flow!$F$16,0)))</f>
        <v>1</v>
      </c>
      <c r="M225" s="593">
        <f t="shared" si="16"/>
        <v>1129.307</v>
      </c>
      <c r="N225" s="589" t="s">
        <v>251</v>
      </c>
      <c r="O225" s="594">
        <v>45426</v>
      </c>
      <c r="P225" s="593">
        <f t="shared" si="17"/>
        <v>-16</v>
      </c>
      <c r="Q225" s="594">
        <v>45442</v>
      </c>
      <c r="R225" s="593">
        <f t="shared" ca="1" si="18"/>
        <v>-1</v>
      </c>
      <c r="S225" s="589" t="str">
        <f>VLOOKUP(Q225,Mapping!L:M,2,0)</f>
        <v>W22_2024</v>
      </c>
      <c r="T225" s="589" t="str">
        <f t="shared" ca="1" si="19"/>
        <v>Not Due</v>
      </c>
      <c r="W225" s="591"/>
    </row>
    <row r="226" spans="1:23" s="589" customFormat="1" x14ac:dyDescent="0.2">
      <c r="A226" s="589" t="s">
        <v>56</v>
      </c>
      <c r="B226" s="589" t="s">
        <v>739</v>
      </c>
      <c r="C226" s="590" t="s">
        <v>3202</v>
      </c>
      <c r="D226" s="589" t="s">
        <v>100</v>
      </c>
      <c r="E226" s="589" t="s">
        <v>104</v>
      </c>
      <c r="F226" s="589" t="s">
        <v>112</v>
      </c>
      <c r="G226" s="589" t="s">
        <v>51</v>
      </c>
      <c r="H226" s="589" t="s">
        <v>242</v>
      </c>
      <c r="I226" s="589" t="s">
        <v>3375</v>
      </c>
      <c r="J226" s="589" t="s">
        <v>35</v>
      </c>
      <c r="K226" s="591">
        <v>2171.453</v>
      </c>
      <c r="L226" s="592">
        <f>IF(J226="TND",1,IF(J226="EUR",Vertical_Cash_flow!$C$16,IF(J226="USD",Vertical_Cash_flow!$F$16,0)))</f>
        <v>1</v>
      </c>
      <c r="M226" s="593">
        <f t="shared" si="16"/>
        <v>2171.453</v>
      </c>
      <c r="N226" s="589" t="s">
        <v>251</v>
      </c>
      <c r="O226" s="594">
        <v>45412</v>
      </c>
      <c r="P226" s="593">
        <f t="shared" si="17"/>
        <v>-30</v>
      </c>
      <c r="Q226" s="594">
        <v>45442</v>
      </c>
      <c r="R226" s="593">
        <f t="shared" ca="1" si="18"/>
        <v>-1</v>
      </c>
      <c r="S226" s="589" t="str">
        <f>VLOOKUP(Q226,Mapping!L:M,2,0)</f>
        <v>W22_2024</v>
      </c>
      <c r="T226" s="589" t="str">
        <f t="shared" ca="1" si="19"/>
        <v>Not Due</v>
      </c>
      <c r="W226" s="591"/>
    </row>
    <row r="227" spans="1:23" s="589" customFormat="1" x14ac:dyDescent="0.2">
      <c r="A227" s="589" t="s">
        <v>56</v>
      </c>
      <c r="B227" s="589" t="s">
        <v>351</v>
      </c>
      <c r="C227" s="590" t="s">
        <v>2607</v>
      </c>
      <c r="D227" s="589" t="s">
        <v>100</v>
      </c>
      <c r="E227" s="589" t="s">
        <v>104</v>
      </c>
      <c r="F227" s="589" t="s">
        <v>112</v>
      </c>
      <c r="G227" s="589" t="s">
        <v>51</v>
      </c>
      <c r="H227" s="589" t="s">
        <v>242</v>
      </c>
      <c r="I227" s="589" t="s">
        <v>2919</v>
      </c>
      <c r="J227" s="589" t="s">
        <v>35</v>
      </c>
      <c r="K227" s="591">
        <v>2000</v>
      </c>
      <c r="L227" s="592">
        <f>IF(J227="TND",1,IF(J227="EUR",Vertical_Cash_flow!$C$16,IF(J227="USD",Vertical_Cash_flow!$F$16,0)))</f>
        <v>1</v>
      </c>
      <c r="M227" s="593">
        <f t="shared" si="16"/>
        <v>2000</v>
      </c>
      <c r="N227" s="589" t="s">
        <v>251</v>
      </c>
      <c r="O227" s="594">
        <v>45401</v>
      </c>
      <c r="P227" s="593">
        <f t="shared" si="17"/>
        <v>-41</v>
      </c>
      <c r="Q227" s="594">
        <v>45442</v>
      </c>
      <c r="R227" s="593">
        <f t="shared" ca="1" si="18"/>
        <v>-1</v>
      </c>
      <c r="S227" s="589" t="str">
        <f>VLOOKUP(Q227,Mapping!L:M,2,0)</f>
        <v>W22_2024</v>
      </c>
      <c r="T227" s="589" t="str">
        <f t="shared" ca="1" si="19"/>
        <v>Not Due</v>
      </c>
      <c r="W227" s="591"/>
    </row>
    <row r="228" spans="1:23" s="589" customFormat="1" x14ac:dyDescent="0.2">
      <c r="A228" s="589" t="s">
        <v>56</v>
      </c>
      <c r="B228" s="589" t="s">
        <v>1484</v>
      </c>
      <c r="C228" s="590" t="s">
        <v>1848</v>
      </c>
      <c r="D228" s="589" t="s">
        <v>100</v>
      </c>
      <c r="E228" s="589" t="s">
        <v>104</v>
      </c>
      <c r="F228" s="589" t="s">
        <v>112</v>
      </c>
      <c r="G228" s="589" t="s">
        <v>51</v>
      </c>
      <c r="H228" s="589" t="s">
        <v>242</v>
      </c>
      <c r="I228" s="589" t="s">
        <v>2213</v>
      </c>
      <c r="J228" s="589" t="s">
        <v>35</v>
      </c>
      <c r="K228" s="591">
        <v>1398.056</v>
      </c>
      <c r="L228" s="592">
        <f>IF(J228="TND",1,IF(J228="EUR",Vertical_Cash_flow!$C$16,IF(J228="USD",Vertical_Cash_flow!$F$16,0)))</f>
        <v>1</v>
      </c>
      <c r="M228" s="593">
        <f t="shared" si="16"/>
        <v>1398.056</v>
      </c>
      <c r="N228" s="589" t="s">
        <v>251</v>
      </c>
      <c r="O228" s="594">
        <v>45372</v>
      </c>
      <c r="P228" s="593">
        <f t="shared" si="17"/>
        <v>-70</v>
      </c>
      <c r="Q228" s="594">
        <v>45442</v>
      </c>
      <c r="R228" s="593">
        <f t="shared" ca="1" si="18"/>
        <v>-1</v>
      </c>
      <c r="S228" s="589" t="str">
        <f>VLOOKUP(Q228,Mapping!L:M,2,0)</f>
        <v>W22_2024</v>
      </c>
      <c r="T228" s="589" t="str">
        <f t="shared" ca="1" si="19"/>
        <v>Not Due</v>
      </c>
      <c r="W228" s="591"/>
    </row>
    <row r="229" spans="1:23" s="589" customFormat="1" x14ac:dyDescent="0.2">
      <c r="A229" s="589" t="s">
        <v>56</v>
      </c>
      <c r="B229" s="589" t="s">
        <v>1492</v>
      </c>
      <c r="C229" s="590" t="s">
        <v>1849</v>
      </c>
      <c r="D229" s="589" t="s">
        <v>100</v>
      </c>
      <c r="E229" s="589" t="s">
        <v>104</v>
      </c>
      <c r="F229" s="589" t="s">
        <v>112</v>
      </c>
      <c r="G229" s="589" t="s">
        <v>51</v>
      </c>
      <c r="H229" s="589" t="s">
        <v>242</v>
      </c>
      <c r="I229" s="589" t="s">
        <v>2214</v>
      </c>
      <c r="J229" s="589" t="s">
        <v>35</v>
      </c>
      <c r="K229" s="591">
        <v>165.488</v>
      </c>
      <c r="L229" s="592">
        <f>IF(J229="TND",1,IF(J229="EUR",Vertical_Cash_flow!$C$16,IF(J229="USD",Vertical_Cash_flow!$F$16,0)))</f>
        <v>1</v>
      </c>
      <c r="M229" s="593">
        <f t="shared" si="16"/>
        <v>165.488</v>
      </c>
      <c r="N229" s="589" t="s">
        <v>251</v>
      </c>
      <c r="O229" s="594">
        <v>45372</v>
      </c>
      <c r="P229" s="593">
        <f t="shared" si="17"/>
        <v>-70</v>
      </c>
      <c r="Q229" s="594">
        <v>45442</v>
      </c>
      <c r="R229" s="593">
        <f t="shared" ca="1" si="18"/>
        <v>-1</v>
      </c>
      <c r="S229" s="589" t="str">
        <f>VLOOKUP(Q229,Mapping!L:M,2,0)</f>
        <v>W22_2024</v>
      </c>
      <c r="T229" s="589" t="str">
        <f t="shared" ca="1" si="19"/>
        <v>Not Due</v>
      </c>
      <c r="W229" s="591"/>
    </row>
    <row r="230" spans="1:23" s="589" customFormat="1" x14ac:dyDescent="0.2">
      <c r="A230" s="589" t="s">
        <v>56</v>
      </c>
      <c r="B230" s="589" t="s">
        <v>402</v>
      </c>
      <c r="C230" s="590" t="s">
        <v>1851</v>
      </c>
      <c r="D230" s="589" t="s">
        <v>100</v>
      </c>
      <c r="E230" s="589" t="s">
        <v>104</v>
      </c>
      <c r="F230" s="589" t="s">
        <v>112</v>
      </c>
      <c r="G230" s="589" t="s">
        <v>51</v>
      </c>
      <c r="H230" s="589" t="s">
        <v>242</v>
      </c>
      <c r="I230" s="589" t="s">
        <v>2216</v>
      </c>
      <c r="J230" s="589" t="s">
        <v>35</v>
      </c>
      <c r="K230" s="591">
        <v>273.45100000000002</v>
      </c>
      <c r="L230" s="592">
        <f>IF(J230="TND",1,IF(J230="EUR",Vertical_Cash_flow!$C$16,IF(J230="USD",Vertical_Cash_flow!$F$16,0)))</f>
        <v>1</v>
      </c>
      <c r="M230" s="593">
        <f t="shared" si="16"/>
        <v>273.45100000000002</v>
      </c>
      <c r="N230" s="589" t="s">
        <v>251</v>
      </c>
      <c r="O230" s="594">
        <v>45376</v>
      </c>
      <c r="P230" s="593">
        <f t="shared" si="17"/>
        <v>-66</v>
      </c>
      <c r="Q230" s="594">
        <v>45442</v>
      </c>
      <c r="R230" s="593">
        <f t="shared" ca="1" si="18"/>
        <v>-1</v>
      </c>
      <c r="S230" s="589" t="str">
        <f>VLOOKUP(Q230,Mapping!L:M,2,0)</f>
        <v>W22_2024</v>
      </c>
      <c r="T230" s="589" t="str">
        <f t="shared" ca="1" si="19"/>
        <v>Not Due</v>
      </c>
      <c r="W230" s="591"/>
    </row>
    <row r="231" spans="1:23" s="589" customFormat="1" x14ac:dyDescent="0.2">
      <c r="A231" s="589" t="s">
        <v>56</v>
      </c>
      <c r="B231" s="589" t="s">
        <v>945</v>
      </c>
      <c r="C231" s="590" t="s">
        <v>2608</v>
      </c>
      <c r="D231" s="589" t="s">
        <v>100</v>
      </c>
      <c r="E231" s="589" t="s">
        <v>104</v>
      </c>
      <c r="F231" s="589" t="s">
        <v>112</v>
      </c>
      <c r="G231" s="589" t="s">
        <v>51</v>
      </c>
      <c r="H231" s="589" t="s">
        <v>242</v>
      </c>
      <c r="I231" s="589" t="s">
        <v>2920</v>
      </c>
      <c r="J231" s="589" t="s">
        <v>35</v>
      </c>
      <c r="K231" s="591">
        <v>2330.3069999999998</v>
      </c>
      <c r="L231" s="592">
        <f>IF(J231="TND",1,IF(J231="EUR",Vertical_Cash_flow!$C$16,IF(J231="USD",Vertical_Cash_flow!$F$16,0)))</f>
        <v>1</v>
      </c>
      <c r="M231" s="593">
        <f t="shared" si="16"/>
        <v>2330.3069999999998</v>
      </c>
      <c r="N231" s="589" t="s">
        <v>251</v>
      </c>
      <c r="O231" s="594">
        <v>45386</v>
      </c>
      <c r="P231" s="593">
        <f t="shared" si="17"/>
        <v>-56</v>
      </c>
      <c r="Q231" s="594">
        <v>45442</v>
      </c>
      <c r="R231" s="593">
        <f t="shared" ca="1" si="18"/>
        <v>-1</v>
      </c>
      <c r="S231" s="589" t="str">
        <f>VLOOKUP(Q231,Mapping!L:M,2,0)</f>
        <v>W22_2024</v>
      </c>
      <c r="T231" s="589" t="str">
        <f t="shared" ca="1" si="19"/>
        <v>Not Due</v>
      </c>
      <c r="W231" s="591"/>
    </row>
    <row r="232" spans="1:23" s="589" customFormat="1" x14ac:dyDescent="0.2">
      <c r="A232" s="589" t="s">
        <v>56</v>
      </c>
      <c r="B232" s="589" t="s">
        <v>3420</v>
      </c>
      <c r="C232" s="590" t="s">
        <v>3576</v>
      </c>
      <c r="D232" s="589" t="s">
        <v>100</v>
      </c>
      <c r="E232" s="589" t="s">
        <v>104</v>
      </c>
      <c r="F232" s="589" t="s">
        <v>112</v>
      </c>
      <c r="G232" s="589" t="s">
        <v>51</v>
      </c>
      <c r="H232" s="589" t="s">
        <v>242</v>
      </c>
      <c r="I232" s="589" t="s">
        <v>3720</v>
      </c>
      <c r="J232" s="589" t="s">
        <v>35</v>
      </c>
      <c r="K232" s="591">
        <v>100</v>
      </c>
      <c r="L232" s="592">
        <f>IF(J232="TND",1,IF(J232="EUR",Vertical_Cash_flow!$C$16,IF(J232="USD",Vertical_Cash_flow!$F$16,0)))</f>
        <v>1</v>
      </c>
      <c r="M232" s="593">
        <f t="shared" si="16"/>
        <v>100</v>
      </c>
      <c r="N232" s="589" t="s">
        <v>251</v>
      </c>
      <c r="O232" s="594">
        <v>45423</v>
      </c>
      <c r="P232" s="593">
        <f t="shared" si="17"/>
        <v>-19</v>
      </c>
      <c r="Q232" s="594">
        <v>45442</v>
      </c>
      <c r="R232" s="593">
        <f t="shared" ca="1" si="18"/>
        <v>-1</v>
      </c>
      <c r="S232" s="589" t="str">
        <f>VLOOKUP(Q232,Mapping!L:M,2,0)</f>
        <v>W22_2024</v>
      </c>
      <c r="T232" s="589" t="str">
        <f t="shared" ca="1" si="19"/>
        <v>Not Due</v>
      </c>
      <c r="W232" s="591"/>
    </row>
    <row r="233" spans="1:23" s="589" customFormat="1" x14ac:dyDescent="0.2">
      <c r="A233" s="589" t="s">
        <v>56</v>
      </c>
      <c r="B233" s="589" t="s">
        <v>793</v>
      </c>
      <c r="C233" s="590" t="s">
        <v>1846</v>
      </c>
      <c r="D233" s="589" t="s">
        <v>100</v>
      </c>
      <c r="E233" s="589" t="s">
        <v>104</v>
      </c>
      <c r="F233" s="589" t="s">
        <v>112</v>
      </c>
      <c r="G233" s="589" t="s">
        <v>51</v>
      </c>
      <c r="H233" s="589" t="s">
        <v>242</v>
      </c>
      <c r="I233" s="589" t="s">
        <v>2211</v>
      </c>
      <c r="J233" s="589" t="s">
        <v>35</v>
      </c>
      <c r="K233" s="591">
        <v>3000</v>
      </c>
      <c r="L233" s="592">
        <f>IF(J233="TND",1,IF(J233="EUR",Vertical_Cash_flow!$C$16,IF(J233="USD",Vertical_Cash_flow!$F$16,0)))</f>
        <v>1</v>
      </c>
      <c r="M233" s="593">
        <f t="shared" si="16"/>
        <v>3000</v>
      </c>
      <c r="N233" s="589" t="s">
        <v>251</v>
      </c>
      <c r="O233" s="594">
        <v>45365</v>
      </c>
      <c r="P233" s="593">
        <f t="shared" si="17"/>
        <v>-77</v>
      </c>
      <c r="Q233" s="594">
        <v>45442</v>
      </c>
      <c r="R233" s="593">
        <f t="shared" ca="1" si="18"/>
        <v>-1</v>
      </c>
      <c r="S233" s="589" t="str">
        <f>VLOOKUP(Q233,Mapping!L:M,2,0)</f>
        <v>W22_2024</v>
      </c>
      <c r="T233" s="589" t="str">
        <f t="shared" ca="1" si="19"/>
        <v>Not Due</v>
      </c>
      <c r="W233" s="591"/>
    </row>
    <row r="234" spans="1:23" s="589" customFormat="1" x14ac:dyDescent="0.2">
      <c r="A234" s="589" t="s">
        <v>56</v>
      </c>
      <c r="B234" s="589" t="s">
        <v>481</v>
      </c>
      <c r="C234" s="590" t="s">
        <v>1096</v>
      </c>
      <c r="D234" s="589" t="s">
        <v>100</v>
      </c>
      <c r="E234" s="589" t="s">
        <v>104</v>
      </c>
      <c r="F234" s="589" t="s">
        <v>112</v>
      </c>
      <c r="G234" s="589" t="s">
        <v>51</v>
      </c>
      <c r="H234" s="589" t="s">
        <v>242</v>
      </c>
      <c r="I234" s="589" t="s">
        <v>1171</v>
      </c>
      <c r="J234" s="589" t="s">
        <v>35</v>
      </c>
      <c r="K234" s="591">
        <v>5920</v>
      </c>
      <c r="L234" s="592">
        <f>IF(J234="TND",1,IF(J234="EUR",Vertical_Cash_flow!$C$16,IF(J234="USD",Vertical_Cash_flow!$F$16,0)))</f>
        <v>1</v>
      </c>
      <c r="M234" s="593">
        <f t="shared" si="16"/>
        <v>5920</v>
      </c>
      <c r="N234" s="589" t="s">
        <v>251</v>
      </c>
      <c r="O234" s="594">
        <v>45324</v>
      </c>
      <c r="P234" s="593">
        <f t="shared" si="17"/>
        <v>-118</v>
      </c>
      <c r="Q234" s="594">
        <v>45442</v>
      </c>
      <c r="R234" s="593">
        <f t="shared" ca="1" si="18"/>
        <v>-1</v>
      </c>
      <c r="S234" s="589" t="str">
        <f>VLOOKUP(Q234,Mapping!L:M,2,0)</f>
        <v>W22_2024</v>
      </c>
      <c r="T234" s="589" t="str">
        <f t="shared" ca="1" si="19"/>
        <v>Not Due</v>
      </c>
      <c r="W234" s="591"/>
    </row>
    <row r="235" spans="1:23" s="589" customFormat="1" x14ac:dyDescent="0.2">
      <c r="A235" s="589" t="s">
        <v>56</v>
      </c>
      <c r="B235" s="589" t="s">
        <v>555</v>
      </c>
      <c r="C235" s="590" t="s">
        <v>1329</v>
      </c>
      <c r="D235" s="589" t="s">
        <v>100</v>
      </c>
      <c r="E235" s="589" t="s">
        <v>104</v>
      </c>
      <c r="F235" s="589" t="s">
        <v>112</v>
      </c>
      <c r="G235" s="589" t="s">
        <v>51</v>
      </c>
      <c r="H235" s="589" t="s">
        <v>242</v>
      </c>
      <c r="I235" s="589" t="s">
        <v>967</v>
      </c>
      <c r="J235" s="589" t="s">
        <v>35</v>
      </c>
      <c r="K235" s="591">
        <v>898.59500000000003</v>
      </c>
      <c r="L235" s="592">
        <f>IF(J235="TND",1,IF(J235="EUR",Vertical_Cash_flow!$C$16,IF(J235="USD",Vertical_Cash_flow!$F$16,0)))</f>
        <v>1</v>
      </c>
      <c r="M235" s="593">
        <f t="shared" si="16"/>
        <v>898.59500000000003</v>
      </c>
      <c r="N235" s="589" t="s">
        <v>251</v>
      </c>
      <c r="O235" s="594">
        <v>45345</v>
      </c>
      <c r="P235" s="593">
        <f t="shared" si="17"/>
        <v>-97</v>
      </c>
      <c r="Q235" s="594">
        <v>45442</v>
      </c>
      <c r="R235" s="593">
        <f t="shared" ca="1" si="18"/>
        <v>-1</v>
      </c>
      <c r="S235" s="589" t="str">
        <f>VLOOKUP(Q235,Mapping!L:M,2,0)</f>
        <v>W22_2024</v>
      </c>
      <c r="T235" s="589" t="str">
        <f t="shared" ca="1" si="19"/>
        <v>Not Due</v>
      </c>
      <c r="W235" s="591"/>
    </row>
    <row r="236" spans="1:23" s="589" customFormat="1" x14ac:dyDescent="0.2">
      <c r="A236" s="589" t="s">
        <v>56</v>
      </c>
      <c r="B236" s="589" t="s">
        <v>404</v>
      </c>
      <c r="C236" s="590" t="s">
        <v>1844</v>
      </c>
      <c r="D236" s="589" t="s">
        <v>100</v>
      </c>
      <c r="E236" s="589" t="s">
        <v>104</v>
      </c>
      <c r="F236" s="589" t="s">
        <v>112</v>
      </c>
      <c r="G236" s="589" t="s">
        <v>51</v>
      </c>
      <c r="H236" s="589" t="s">
        <v>242</v>
      </c>
      <c r="I236" s="589" t="s">
        <v>2209</v>
      </c>
      <c r="J236" s="589" t="s">
        <v>35</v>
      </c>
      <c r="K236" s="591">
        <v>2361.933</v>
      </c>
      <c r="L236" s="592">
        <f>IF(J236="TND",1,IF(J236="EUR",Vertical_Cash_flow!$C$16,IF(J236="USD",Vertical_Cash_flow!$F$16,0)))</f>
        <v>1</v>
      </c>
      <c r="M236" s="593">
        <f t="shared" si="16"/>
        <v>2361.933</v>
      </c>
      <c r="N236" s="589" t="s">
        <v>251</v>
      </c>
      <c r="O236" s="594">
        <v>45352</v>
      </c>
      <c r="P236" s="593">
        <f t="shared" si="17"/>
        <v>-90</v>
      </c>
      <c r="Q236" s="594">
        <v>45442</v>
      </c>
      <c r="R236" s="593">
        <f t="shared" ca="1" si="18"/>
        <v>-1</v>
      </c>
      <c r="S236" s="589" t="str">
        <f>VLOOKUP(Q236,Mapping!L:M,2,0)</f>
        <v>W22_2024</v>
      </c>
      <c r="T236" s="589" t="str">
        <f t="shared" ca="1" si="19"/>
        <v>Not Due</v>
      </c>
      <c r="W236" s="591"/>
    </row>
    <row r="237" spans="1:23" s="589" customFormat="1" x14ac:dyDescent="0.2">
      <c r="A237" s="589" t="s">
        <v>56</v>
      </c>
      <c r="B237" s="589" t="s">
        <v>481</v>
      </c>
      <c r="C237" s="590" t="s">
        <v>1097</v>
      </c>
      <c r="D237" s="589" t="s">
        <v>100</v>
      </c>
      <c r="E237" s="589" t="s">
        <v>104</v>
      </c>
      <c r="F237" s="589" t="s">
        <v>112</v>
      </c>
      <c r="G237" s="589" t="s">
        <v>51</v>
      </c>
      <c r="H237" s="589" t="s">
        <v>242</v>
      </c>
      <c r="I237" s="589" t="s">
        <v>1172</v>
      </c>
      <c r="J237" s="589" t="s">
        <v>35</v>
      </c>
      <c r="K237" s="591">
        <v>5920</v>
      </c>
      <c r="L237" s="592">
        <f>IF(J237="TND",1,IF(J237="EUR",Vertical_Cash_flow!$C$16,IF(J237="USD",Vertical_Cash_flow!$F$16,0)))</f>
        <v>1</v>
      </c>
      <c r="M237" s="593">
        <f t="shared" si="16"/>
        <v>5920</v>
      </c>
      <c r="N237" s="589" t="s">
        <v>251</v>
      </c>
      <c r="O237" s="594">
        <v>45324</v>
      </c>
      <c r="P237" s="593">
        <f t="shared" si="17"/>
        <v>-118</v>
      </c>
      <c r="Q237" s="594">
        <v>45442</v>
      </c>
      <c r="R237" s="593">
        <f t="shared" ca="1" si="18"/>
        <v>-1</v>
      </c>
      <c r="S237" s="589" t="str">
        <f>VLOOKUP(Q237,Mapping!L:M,2,0)</f>
        <v>W22_2024</v>
      </c>
      <c r="T237" s="589" t="str">
        <f t="shared" ca="1" si="19"/>
        <v>Not Due</v>
      </c>
      <c r="W237" s="591"/>
    </row>
    <row r="238" spans="1:23" s="589" customFormat="1" x14ac:dyDescent="0.2">
      <c r="A238" s="589" t="s">
        <v>56</v>
      </c>
      <c r="B238" s="589" t="s">
        <v>288</v>
      </c>
      <c r="C238" s="590" t="s">
        <v>1098</v>
      </c>
      <c r="D238" s="589" t="s">
        <v>100</v>
      </c>
      <c r="E238" s="589" t="s">
        <v>104</v>
      </c>
      <c r="F238" s="589" t="s">
        <v>112</v>
      </c>
      <c r="G238" s="589" t="s">
        <v>51</v>
      </c>
      <c r="H238" s="589" t="s">
        <v>242</v>
      </c>
      <c r="I238" s="589" t="s">
        <v>1173</v>
      </c>
      <c r="J238" s="589" t="s">
        <v>35</v>
      </c>
      <c r="K238" s="591">
        <v>1280</v>
      </c>
      <c r="L238" s="592">
        <f>IF(J238="TND",1,IF(J238="EUR",Vertical_Cash_flow!$C$16,IF(J238="USD",Vertical_Cash_flow!$F$16,0)))</f>
        <v>1</v>
      </c>
      <c r="M238" s="593">
        <f t="shared" si="16"/>
        <v>1280</v>
      </c>
      <c r="N238" s="589" t="s">
        <v>251</v>
      </c>
      <c r="O238" s="594">
        <v>45322</v>
      </c>
      <c r="P238" s="593">
        <f t="shared" si="17"/>
        <v>-120</v>
      </c>
      <c r="Q238" s="594">
        <v>45442</v>
      </c>
      <c r="R238" s="593">
        <f t="shared" ca="1" si="18"/>
        <v>-1</v>
      </c>
      <c r="S238" s="589" t="str">
        <f>VLOOKUP(Q238,Mapping!L:M,2,0)</f>
        <v>W22_2024</v>
      </c>
      <c r="T238" s="589" t="str">
        <f t="shared" ca="1" si="19"/>
        <v>Not Due</v>
      </c>
      <c r="W238" s="591"/>
    </row>
    <row r="239" spans="1:23" s="589" customFormat="1" x14ac:dyDescent="0.2">
      <c r="A239" s="589" t="s">
        <v>56</v>
      </c>
      <c r="B239" s="589" t="s">
        <v>945</v>
      </c>
      <c r="C239" s="590" t="s">
        <v>1847</v>
      </c>
      <c r="D239" s="589" t="s">
        <v>100</v>
      </c>
      <c r="E239" s="589" t="s">
        <v>104</v>
      </c>
      <c r="F239" s="589" t="s">
        <v>112</v>
      </c>
      <c r="G239" s="589" t="s">
        <v>51</v>
      </c>
      <c r="H239" s="589" t="s">
        <v>242</v>
      </c>
      <c r="I239" s="589" t="s">
        <v>2212</v>
      </c>
      <c r="J239" s="589" t="s">
        <v>35</v>
      </c>
      <c r="K239" s="591">
        <v>2688.03</v>
      </c>
      <c r="L239" s="592">
        <f>IF(J239="TND",1,IF(J239="EUR",Vertical_Cash_flow!$C$16,IF(J239="USD",Vertical_Cash_flow!$F$16,0)))</f>
        <v>1</v>
      </c>
      <c r="M239" s="593">
        <f t="shared" si="16"/>
        <v>2688.03</v>
      </c>
      <c r="N239" s="589" t="s">
        <v>251</v>
      </c>
      <c r="O239" s="594">
        <v>45350</v>
      </c>
      <c r="P239" s="593">
        <f t="shared" si="17"/>
        <v>-92</v>
      </c>
      <c r="Q239" s="594">
        <v>45442</v>
      </c>
      <c r="R239" s="593">
        <f t="shared" ca="1" si="18"/>
        <v>-1</v>
      </c>
      <c r="S239" s="589" t="str">
        <f>VLOOKUP(Q239,Mapping!L:M,2,0)</f>
        <v>W22_2024</v>
      </c>
      <c r="T239" s="589" t="str">
        <f t="shared" ca="1" si="19"/>
        <v>Not Due</v>
      </c>
      <c r="W239" s="591"/>
    </row>
    <row r="240" spans="1:23" s="589" customFormat="1" x14ac:dyDescent="0.2">
      <c r="A240" s="589" t="s">
        <v>56</v>
      </c>
      <c r="B240" s="589" t="s">
        <v>521</v>
      </c>
      <c r="C240" s="590" t="s">
        <v>1845</v>
      </c>
      <c r="D240" s="589" t="s">
        <v>100</v>
      </c>
      <c r="E240" s="589" t="s">
        <v>104</v>
      </c>
      <c r="F240" s="589" t="s">
        <v>112</v>
      </c>
      <c r="G240" s="589" t="s">
        <v>51</v>
      </c>
      <c r="H240" s="589" t="s">
        <v>242</v>
      </c>
      <c r="I240" s="589" t="s">
        <v>2210</v>
      </c>
      <c r="J240" s="589" t="s">
        <v>35</v>
      </c>
      <c r="K240" s="591">
        <v>3500</v>
      </c>
      <c r="L240" s="592">
        <f>IF(J240="TND",1,IF(J240="EUR",Vertical_Cash_flow!$C$16,IF(J240="USD",Vertical_Cash_flow!$F$16,0)))</f>
        <v>1</v>
      </c>
      <c r="M240" s="593">
        <f t="shared" si="16"/>
        <v>3500</v>
      </c>
      <c r="N240" s="589" t="s">
        <v>251</v>
      </c>
      <c r="O240" s="594">
        <v>45348</v>
      </c>
      <c r="P240" s="593">
        <f t="shared" si="17"/>
        <v>-94</v>
      </c>
      <c r="Q240" s="594">
        <v>45442</v>
      </c>
      <c r="R240" s="593">
        <f t="shared" ca="1" si="18"/>
        <v>-1</v>
      </c>
      <c r="S240" s="589" t="str">
        <f>VLOOKUP(Q240,Mapping!L:M,2,0)</f>
        <v>W22_2024</v>
      </c>
      <c r="T240" s="589" t="str">
        <f t="shared" ca="1" si="19"/>
        <v>Not Due</v>
      </c>
      <c r="W240" s="591"/>
    </row>
    <row r="241" spans="1:23" s="589" customFormat="1" x14ac:dyDescent="0.2">
      <c r="A241" s="589" t="s">
        <v>56</v>
      </c>
      <c r="B241" s="589" t="s">
        <v>400</v>
      </c>
      <c r="C241" s="590" t="s">
        <v>1850</v>
      </c>
      <c r="D241" s="589" t="s">
        <v>100</v>
      </c>
      <c r="E241" s="589" t="s">
        <v>104</v>
      </c>
      <c r="F241" s="589" t="s">
        <v>112</v>
      </c>
      <c r="G241" s="589" t="s">
        <v>51</v>
      </c>
      <c r="H241" s="589" t="s">
        <v>242</v>
      </c>
      <c r="I241" s="589" t="s">
        <v>2215</v>
      </c>
      <c r="J241" s="589" t="s">
        <v>35</v>
      </c>
      <c r="K241" s="591">
        <v>3689.297</v>
      </c>
      <c r="L241" s="592">
        <f>IF(J241="TND",1,IF(J241="EUR",Vertical_Cash_flow!$C$16,IF(J241="USD",Vertical_Cash_flow!$F$16,0)))</f>
        <v>1</v>
      </c>
      <c r="M241" s="593">
        <f t="shared" si="16"/>
        <v>3689.297</v>
      </c>
      <c r="N241" s="589" t="s">
        <v>251</v>
      </c>
      <c r="O241" s="594">
        <v>45358</v>
      </c>
      <c r="P241" s="593">
        <f t="shared" si="17"/>
        <v>-84</v>
      </c>
      <c r="Q241" s="594">
        <v>45442</v>
      </c>
      <c r="R241" s="593">
        <f t="shared" ca="1" si="18"/>
        <v>-1</v>
      </c>
      <c r="S241" s="589" t="str">
        <f>VLOOKUP(Q241,Mapping!L:M,2,0)</f>
        <v>W22_2024</v>
      </c>
      <c r="T241" s="589" t="str">
        <f t="shared" ca="1" si="19"/>
        <v>Not Due</v>
      </c>
      <c r="W241" s="591"/>
    </row>
    <row r="242" spans="1:23" s="589" customFormat="1" x14ac:dyDescent="0.2">
      <c r="A242" s="589" t="s">
        <v>56</v>
      </c>
      <c r="B242" s="589" t="s">
        <v>723</v>
      </c>
      <c r="C242" s="590" t="s">
        <v>2605</v>
      </c>
      <c r="D242" s="589" t="s">
        <v>100</v>
      </c>
      <c r="E242" s="589" t="s">
        <v>104</v>
      </c>
      <c r="F242" s="589" t="s">
        <v>112</v>
      </c>
      <c r="G242" s="589" t="s">
        <v>51</v>
      </c>
      <c r="H242" s="589" t="s">
        <v>242</v>
      </c>
      <c r="I242" s="589" t="s">
        <v>2917</v>
      </c>
      <c r="J242" s="589" t="s">
        <v>35</v>
      </c>
      <c r="K242" s="591">
        <v>922.68200000000002</v>
      </c>
      <c r="L242" s="592">
        <f>IF(J242="TND",1,IF(J242="EUR",Vertical_Cash_flow!$C$16,IF(J242="USD",Vertical_Cash_flow!$F$16,0)))</f>
        <v>1</v>
      </c>
      <c r="M242" s="593">
        <f t="shared" si="16"/>
        <v>922.68200000000002</v>
      </c>
      <c r="N242" s="589" t="s">
        <v>251</v>
      </c>
      <c r="O242" s="594">
        <v>45407</v>
      </c>
      <c r="P242" s="593">
        <f t="shared" si="17"/>
        <v>-35</v>
      </c>
      <c r="Q242" s="594">
        <v>45442</v>
      </c>
      <c r="R242" s="593">
        <f t="shared" ca="1" si="18"/>
        <v>-1</v>
      </c>
      <c r="S242" s="589" t="str">
        <f>VLOOKUP(Q242,Mapping!L:M,2,0)</f>
        <v>W22_2024</v>
      </c>
      <c r="T242" s="589" t="str">
        <f t="shared" ca="1" si="19"/>
        <v>Not Due</v>
      </c>
      <c r="W242" s="591"/>
    </row>
    <row r="243" spans="1:23" s="589" customFormat="1" x14ac:dyDescent="0.2">
      <c r="A243" s="589" t="s">
        <v>56</v>
      </c>
      <c r="B243" s="589" t="s">
        <v>347</v>
      </c>
      <c r="C243" s="590" t="s">
        <v>1842</v>
      </c>
      <c r="D243" s="589" t="s">
        <v>100</v>
      </c>
      <c r="E243" s="589" t="s">
        <v>104</v>
      </c>
      <c r="F243" s="589" t="s">
        <v>112</v>
      </c>
      <c r="G243" s="589" t="s">
        <v>51</v>
      </c>
      <c r="H243" s="589" t="s">
        <v>242</v>
      </c>
      <c r="I243" s="589" t="s">
        <v>2207</v>
      </c>
      <c r="J243" s="589" t="s">
        <v>35</v>
      </c>
      <c r="K243" s="591">
        <v>2703.3690000000001</v>
      </c>
      <c r="L243" s="592">
        <f>IF(J243="TND",1,IF(J243="EUR",Vertical_Cash_flow!$C$16,IF(J243="USD",Vertical_Cash_flow!$F$16,0)))</f>
        <v>1</v>
      </c>
      <c r="M243" s="593">
        <f t="shared" si="16"/>
        <v>2703.3690000000001</v>
      </c>
      <c r="N243" s="589" t="s">
        <v>251</v>
      </c>
      <c r="O243" s="594">
        <v>45373</v>
      </c>
      <c r="P243" s="593">
        <f t="shared" si="17"/>
        <v>-69</v>
      </c>
      <c r="Q243" s="594">
        <v>45442</v>
      </c>
      <c r="R243" s="593">
        <f t="shared" ca="1" si="18"/>
        <v>-1</v>
      </c>
      <c r="S243" s="589" t="str">
        <f>VLOOKUP(Q243,Mapping!L:M,2,0)</f>
        <v>W22_2024</v>
      </c>
      <c r="T243" s="589" t="str">
        <f t="shared" ca="1" si="19"/>
        <v>Not Due</v>
      </c>
      <c r="W243" s="591"/>
    </row>
    <row r="244" spans="1:23" s="589" customFormat="1" x14ac:dyDescent="0.2">
      <c r="A244" s="589" t="s">
        <v>56</v>
      </c>
      <c r="B244" s="589" t="s">
        <v>343</v>
      </c>
      <c r="C244" s="590" t="s">
        <v>1840</v>
      </c>
      <c r="D244" s="589" t="s">
        <v>100</v>
      </c>
      <c r="E244" s="589" t="s">
        <v>104</v>
      </c>
      <c r="F244" s="589" t="s">
        <v>112</v>
      </c>
      <c r="G244" s="589" t="s">
        <v>51</v>
      </c>
      <c r="H244" s="589" t="s">
        <v>242</v>
      </c>
      <c r="I244" s="589" t="s">
        <v>2205</v>
      </c>
      <c r="J244" s="589" t="s">
        <v>35</v>
      </c>
      <c r="K244" s="591">
        <v>2000</v>
      </c>
      <c r="L244" s="592">
        <f>IF(J244="TND",1,IF(J244="EUR",Vertical_Cash_flow!$C$16,IF(J244="USD",Vertical_Cash_flow!$F$16,0)))</f>
        <v>1</v>
      </c>
      <c r="M244" s="593">
        <f t="shared" si="16"/>
        <v>2000</v>
      </c>
      <c r="N244" s="589" t="s">
        <v>251</v>
      </c>
      <c r="O244" s="594">
        <v>45373</v>
      </c>
      <c r="P244" s="593">
        <f t="shared" si="17"/>
        <v>-69</v>
      </c>
      <c r="Q244" s="594">
        <v>45442</v>
      </c>
      <c r="R244" s="593">
        <f t="shared" ca="1" si="18"/>
        <v>-1</v>
      </c>
      <c r="S244" s="589" t="str">
        <f>VLOOKUP(Q244,Mapping!L:M,2,0)</f>
        <v>W22_2024</v>
      </c>
      <c r="T244" s="589" t="str">
        <f t="shared" ca="1" si="19"/>
        <v>Not Due</v>
      </c>
      <c r="W244" s="591"/>
    </row>
    <row r="245" spans="1:23" s="589" customFormat="1" x14ac:dyDescent="0.2">
      <c r="A245" s="589" t="s">
        <v>56</v>
      </c>
      <c r="B245" s="589" t="s">
        <v>806</v>
      </c>
      <c r="C245" s="590" t="s">
        <v>2606</v>
      </c>
      <c r="D245" s="589" t="s">
        <v>100</v>
      </c>
      <c r="E245" s="589" t="s">
        <v>104</v>
      </c>
      <c r="F245" s="589" t="s">
        <v>112</v>
      </c>
      <c r="G245" s="589" t="s">
        <v>51</v>
      </c>
      <c r="H245" s="589" t="s">
        <v>242</v>
      </c>
      <c r="I245" s="589" t="s">
        <v>2918</v>
      </c>
      <c r="J245" s="589" t="s">
        <v>35</v>
      </c>
      <c r="K245" s="591">
        <v>1126.028</v>
      </c>
      <c r="L245" s="592">
        <f>IF(J245="TND",1,IF(J245="EUR",Vertical_Cash_flow!$C$16,IF(J245="USD",Vertical_Cash_flow!$F$16,0)))</f>
        <v>1</v>
      </c>
      <c r="M245" s="593">
        <f t="shared" si="16"/>
        <v>1126.028</v>
      </c>
      <c r="N245" s="589" t="s">
        <v>251</v>
      </c>
      <c r="O245" s="594">
        <v>45399</v>
      </c>
      <c r="P245" s="593">
        <f t="shared" si="17"/>
        <v>-43</v>
      </c>
      <c r="Q245" s="594">
        <v>45442</v>
      </c>
      <c r="R245" s="593">
        <f t="shared" ca="1" si="18"/>
        <v>-1</v>
      </c>
      <c r="S245" s="589" t="str">
        <f>VLOOKUP(Q245,Mapping!L:M,2,0)</f>
        <v>W22_2024</v>
      </c>
      <c r="T245" s="589" t="str">
        <f t="shared" ca="1" si="19"/>
        <v>Not Due</v>
      </c>
      <c r="W245" s="591"/>
    </row>
    <row r="246" spans="1:23" s="589" customFormat="1" x14ac:dyDescent="0.2">
      <c r="A246" s="589" t="s">
        <v>56</v>
      </c>
      <c r="B246" s="589" t="s">
        <v>532</v>
      </c>
      <c r="C246" s="590" t="s">
        <v>1841</v>
      </c>
      <c r="D246" s="589" t="s">
        <v>100</v>
      </c>
      <c r="E246" s="589" t="s">
        <v>104</v>
      </c>
      <c r="F246" s="589" t="s">
        <v>112</v>
      </c>
      <c r="G246" s="589" t="s">
        <v>51</v>
      </c>
      <c r="H246" s="589" t="s">
        <v>242</v>
      </c>
      <c r="I246" s="589" t="s">
        <v>2206</v>
      </c>
      <c r="J246" s="589" t="s">
        <v>35</v>
      </c>
      <c r="K246" s="591">
        <v>715.78499999999997</v>
      </c>
      <c r="L246" s="592">
        <f>IF(J246="TND",1,IF(J246="EUR",Vertical_Cash_flow!$C$16,IF(J246="USD",Vertical_Cash_flow!$F$16,0)))</f>
        <v>1</v>
      </c>
      <c r="M246" s="593">
        <f t="shared" si="16"/>
        <v>715.78499999999997</v>
      </c>
      <c r="N246" s="589" t="s">
        <v>251</v>
      </c>
      <c r="O246" s="594">
        <v>45378</v>
      </c>
      <c r="P246" s="593">
        <f t="shared" si="17"/>
        <v>-64</v>
      </c>
      <c r="Q246" s="594">
        <v>45442</v>
      </c>
      <c r="R246" s="593">
        <f t="shared" ca="1" si="18"/>
        <v>-1</v>
      </c>
      <c r="S246" s="589" t="str">
        <f>VLOOKUP(Q246,Mapping!L:M,2,0)</f>
        <v>W22_2024</v>
      </c>
      <c r="T246" s="589" t="str">
        <f t="shared" ca="1" si="19"/>
        <v>Not Due</v>
      </c>
      <c r="W246" s="591"/>
    </row>
    <row r="247" spans="1:23" s="589" customFormat="1" x14ac:dyDescent="0.2">
      <c r="A247" s="589" t="s">
        <v>56</v>
      </c>
      <c r="B247" s="589" t="s">
        <v>1244</v>
      </c>
      <c r="C247" s="590" t="s">
        <v>1328</v>
      </c>
      <c r="D247" s="589" t="s">
        <v>100</v>
      </c>
      <c r="E247" s="589" t="s">
        <v>104</v>
      </c>
      <c r="F247" s="589" t="s">
        <v>112</v>
      </c>
      <c r="G247" s="589" t="s">
        <v>51</v>
      </c>
      <c r="H247" s="589" t="s">
        <v>242</v>
      </c>
      <c r="I247" s="589" t="s">
        <v>1431</v>
      </c>
      <c r="J247" s="589" t="s">
        <v>35</v>
      </c>
      <c r="K247" s="591">
        <v>792.92</v>
      </c>
      <c r="L247" s="592">
        <f>IF(J247="TND",1,IF(J247="EUR",Vertical_Cash_flow!$C$16,IF(J247="USD",Vertical_Cash_flow!$F$16,0)))</f>
        <v>1</v>
      </c>
      <c r="M247" s="593">
        <f t="shared" si="16"/>
        <v>792.92</v>
      </c>
      <c r="N247" s="589" t="s">
        <v>251</v>
      </c>
      <c r="O247" s="594">
        <v>45328</v>
      </c>
      <c r="P247" s="593">
        <f t="shared" si="17"/>
        <v>-114</v>
      </c>
      <c r="Q247" s="594">
        <v>45442</v>
      </c>
      <c r="R247" s="593">
        <f t="shared" ca="1" si="18"/>
        <v>-1</v>
      </c>
      <c r="S247" s="589" t="str">
        <f>VLOOKUP(Q247,Mapping!L:M,2,0)</f>
        <v>W22_2024</v>
      </c>
      <c r="T247" s="589" t="str">
        <f t="shared" ca="1" si="19"/>
        <v>Not Due</v>
      </c>
      <c r="W247" s="591"/>
    </row>
    <row r="248" spans="1:23" s="589" customFormat="1" x14ac:dyDescent="0.2">
      <c r="A248" s="589" t="s">
        <v>56</v>
      </c>
      <c r="B248" s="589" t="s">
        <v>589</v>
      </c>
      <c r="C248" s="590" t="s">
        <v>1095</v>
      </c>
      <c r="D248" s="589" t="s">
        <v>100</v>
      </c>
      <c r="E248" s="589" t="s">
        <v>104</v>
      </c>
      <c r="F248" s="589" t="s">
        <v>112</v>
      </c>
      <c r="G248" s="589" t="s">
        <v>51</v>
      </c>
      <c r="H248" s="589" t="s">
        <v>242</v>
      </c>
      <c r="I248" s="589" t="s">
        <v>1170</v>
      </c>
      <c r="J248" s="589" t="s">
        <v>35</v>
      </c>
      <c r="K248" s="591">
        <v>2003</v>
      </c>
      <c r="L248" s="592">
        <f>IF(J248="TND",1,IF(J248="EUR",Vertical_Cash_flow!$C$16,IF(J248="USD",Vertical_Cash_flow!$F$16,0)))</f>
        <v>1</v>
      </c>
      <c r="M248" s="593">
        <f t="shared" si="16"/>
        <v>2003</v>
      </c>
      <c r="N248" s="589" t="s">
        <v>251</v>
      </c>
      <c r="O248" s="594">
        <v>45322</v>
      </c>
      <c r="P248" s="593">
        <f t="shared" si="17"/>
        <v>-120</v>
      </c>
      <c r="Q248" s="594">
        <v>45442</v>
      </c>
      <c r="R248" s="593">
        <f t="shared" ca="1" si="18"/>
        <v>-1</v>
      </c>
      <c r="S248" s="589" t="str">
        <f>VLOOKUP(Q248,Mapping!L:M,2,0)</f>
        <v>W22_2024</v>
      </c>
      <c r="T248" s="589" t="str">
        <f t="shared" ca="1" si="19"/>
        <v>Not Due</v>
      </c>
      <c r="W248" s="591"/>
    </row>
    <row r="249" spans="1:23" s="589" customFormat="1" x14ac:dyDescent="0.2">
      <c r="A249" s="589" t="s">
        <v>56</v>
      </c>
      <c r="B249" s="589" t="s">
        <v>629</v>
      </c>
      <c r="C249" s="590" t="s">
        <v>1843</v>
      </c>
      <c r="D249" s="589" t="s">
        <v>100</v>
      </c>
      <c r="E249" s="589" t="s">
        <v>104</v>
      </c>
      <c r="F249" s="589" t="s">
        <v>112</v>
      </c>
      <c r="G249" s="589" t="s">
        <v>51</v>
      </c>
      <c r="H249" s="589" t="s">
        <v>242</v>
      </c>
      <c r="I249" s="589" t="s">
        <v>2208</v>
      </c>
      <c r="J249" s="589" t="s">
        <v>35</v>
      </c>
      <c r="K249" s="591">
        <v>2542.5050000000001</v>
      </c>
      <c r="L249" s="592">
        <f>IF(J249="TND",1,IF(J249="EUR",Vertical_Cash_flow!$C$16,IF(J249="USD",Vertical_Cash_flow!$F$16,0)))</f>
        <v>1</v>
      </c>
      <c r="M249" s="593">
        <f t="shared" si="16"/>
        <v>2542.5050000000001</v>
      </c>
      <c r="N249" s="589" t="s">
        <v>251</v>
      </c>
      <c r="O249" s="594">
        <v>45349</v>
      </c>
      <c r="P249" s="593">
        <f t="shared" si="17"/>
        <v>-93</v>
      </c>
      <c r="Q249" s="594">
        <v>45442</v>
      </c>
      <c r="R249" s="593">
        <f t="shared" ca="1" si="18"/>
        <v>-1</v>
      </c>
      <c r="S249" s="589" t="str">
        <f>VLOOKUP(Q249,Mapping!L:M,2,0)</f>
        <v>W22_2024</v>
      </c>
      <c r="T249" s="589" t="str">
        <f t="shared" ca="1" si="19"/>
        <v>Not Due</v>
      </c>
      <c r="W249" s="591"/>
    </row>
    <row r="250" spans="1:23" s="589" customFormat="1" x14ac:dyDescent="0.2">
      <c r="A250" s="589" t="s">
        <v>56</v>
      </c>
      <c r="B250" s="589" t="s">
        <v>273</v>
      </c>
      <c r="C250" s="590" t="s">
        <v>3575</v>
      </c>
      <c r="D250" s="589" t="s">
        <v>100</v>
      </c>
      <c r="E250" s="589" t="s">
        <v>104</v>
      </c>
      <c r="F250" s="589" t="s">
        <v>112</v>
      </c>
      <c r="G250" s="589" t="s">
        <v>51</v>
      </c>
      <c r="H250" s="589" t="s">
        <v>242</v>
      </c>
      <c r="I250" s="589" t="s">
        <v>3719</v>
      </c>
      <c r="J250" s="589" t="s">
        <v>35</v>
      </c>
      <c r="K250" s="591">
        <v>750</v>
      </c>
      <c r="L250" s="592">
        <f>IF(J250="TND",1,IF(J250="EUR",Vertical_Cash_flow!$C$16,IF(J250="USD",Vertical_Cash_flow!$F$16,0)))</f>
        <v>1</v>
      </c>
      <c r="M250" s="593">
        <f t="shared" si="16"/>
        <v>750</v>
      </c>
      <c r="N250" s="589" t="s">
        <v>251</v>
      </c>
      <c r="O250" s="594">
        <v>45427</v>
      </c>
      <c r="P250" s="593">
        <f t="shared" si="17"/>
        <v>-15</v>
      </c>
      <c r="Q250" s="594">
        <v>45442</v>
      </c>
      <c r="R250" s="593">
        <f t="shared" ca="1" si="18"/>
        <v>-1</v>
      </c>
      <c r="S250" s="589" t="str">
        <f>VLOOKUP(Q250,Mapping!L:M,2,0)</f>
        <v>W22_2024</v>
      </c>
      <c r="T250" s="589" t="str">
        <f t="shared" ca="1" si="19"/>
        <v>Not Due</v>
      </c>
      <c r="W250" s="591"/>
    </row>
    <row r="251" spans="1:23" s="589" customFormat="1" x14ac:dyDescent="0.2">
      <c r="A251" s="589" t="s">
        <v>56</v>
      </c>
      <c r="B251" s="589" t="s">
        <v>1477</v>
      </c>
      <c r="C251" s="590" t="s">
        <v>3574</v>
      </c>
      <c r="D251" s="589" t="s">
        <v>100</v>
      </c>
      <c r="E251" s="589" t="s">
        <v>104</v>
      </c>
      <c r="F251" s="589" t="s">
        <v>112</v>
      </c>
      <c r="G251" s="589" t="s">
        <v>51</v>
      </c>
      <c r="H251" s="589" t="s">
        <v>242</v>
      </c>
      <c r="I251" s="589" t="s">
        <v>812</v>
      </c>
      <c r="J251" s="589" t="s">
        <v>35</v>
      </c>
      <c r="K251" s="591">
        <v>5037.3999999999996</v>
      </c>
      <c r="L251" s="592">
        <f>IF(J251="TND",1,IF(J251="EUR",Vertical_Cash_flow!$C$16,IF(J251="USD",Vertical_Cash_flow!$F$16,0)))</f>
        <v>1</v>
      </c>
      <c r="M251" s="593">
        <f t="shared" si="16"/>
        <v>5037.3999999999996</v>
      </c>
      <c r="N251" s="589" t="s">
        <v>251</v>
      </c>
      <c r="O251" s="594">
        <v>45427</v>
      </c>
      <c r="P251" s="593">
        <f t="shared" si="17"/>
        <v>-15</v>
      </c>
      <c r="Q251" s="594">
        <v>45442</v>
      </c>
      <c r="R251" s="593">
        <f t="shared" ca="1" si="18"/>
        <v>-1</v>
      </c>
      <c r="S251" s="589" t="str">
        <f>VLOOKUP(Q251,Mapping!L:M,2,0)</f>
        <v>W22_2024</v>
      </c>
      <c r="T251" s="589" t="str">
        <f t="shared" ca="1" si="19"/>
        <v>Not Due</v>
      </c>
      <c r="W251" s="591"/>
    </row>
    <row r="252" spans="1:23" s="589" customFormat="1" x14ac:dyDescent="0.2">
      <c r="A252" s="589" t="s">
        <v>56</v>
      </c>
      <c r="B252" s="589" t="s">
        <v>3419</v>
      </c>
      <c r="C252" s="590" t="s">
        <v>3573</v>
      </c>
      <c r="D252" s="589" t="s">
        <v>100</v>
      </c>
      <c r="E252" s="589" t="s">
        <v>104</v>
      </c>
      <c r="F252" s="589" t="s">
        <v>112</v>
      </c>
      <c r="G252" s="589" t="s">
        <v>51</v>
      </c>
      <c r="H252" s="589" t="s">
        <v>242</v>
      </c>
      <c r="I252" s="589" t="s">
        <v>3718</v>
      </c>
      <c r="J252" s="589" t="s">
        <v>35</v>
      </c>
      <c r="K252" s="591">
        <v>480.87900000000002</v>
      </c>
      <c r="L252" s="592">
        <f>IF(J252="TND",1,IF(J252="EUR",Vertical_Cash_flow!$C$16,IF(J252="USD",Vertical_Cash_flow!$F$16,0)))</f>
        <v>1</v>
      </c>
      <c r="M252" s="593">
        <f t="shared" si="16"/>
        <v>480.87900000000002</v>
      </c>
      <c r="N252" s="589" t="s">
        <v>251</v>
      </c>
      <c r="O252" s="594">
        <v>45427</v>
      </c>
      <c r="P252" s="593">
        <f t="shared" si="17"/>
        <v>-15</v>
      </c>
      <c r="Q252" s="594">
        <v>45442</v>
      </c>
      <c r="R252" s="593">
        <f t="shared" ca="1" si="18"/>
        <v>-1</v>
      </c>
      <c r="S252" s="589" t="str">
        <f>VLOOKUP(Q252,Mapping!L:M,2,0)</f>
        <v>W22_2024</v>
      </c>
      <c r="T252" s="589" t="str">
        <f t="shared" ca="1" si="19"/>
        <v>Not Due</v>
      </c>
      <c r="W252" s="591"/>
    </row>
    <row r="253" spans="1:23" s="589" customFormat="1" x14ac:dyDescent="0.2">
      <c r="A253" s="589" t="s">
        <v>56</v>
      </c>
      <c r="B253" s="589" t="s">
        <v>391</v>
      </c>
      <c r="C253" s="590" t="s">
        <v>3572</v>
      </c>
      <c r="D253" s="589" t="s">
        <v>100</v>
      </c>
      <c r="E253" s="589" t="s">
        <v>104</v>
      </c>
      <c r="F253" s="589" t="s">
        <v>112</v>
      </c>
      <c r="G253" s="589" t="s">
        <v>51</v>
      </c>
      <c r="H253" s="589" t="s">
        <v>242</v>
      </c>
      <c r="I253" s="589" t="s">
        <v>3717</v>
      </c>
      <c r="J253" s="589" t="s">
        <v>35</v>
      </c>
      <c r="K253" s="591">
        <v>189.79400000000001</v>
      </c>
      <c r="L253" s="592">
        <f>IF(J253="TND",1,IF(J253="EUR",Vertical_Cash_flow!$C$16,IF(J253="USD",Vertical_Cash_flow!$F$16,0)))</f>
        <v>1</v>
      </c>
      <c r="M253" s="593">
        <f t="shared" si="16"/>
        <v>189.79400000000001</v>
      </c>
      <c r="N253" s="589" t="s">
        <v>251</v>
      </c>
      <c r="O253" s="594">
        <v>45426</v>
      </c>
      <c r="P253" s="593">
        <f t="shared" si="17"/>
        <v>-16</v>
      </c>
      <c r="Q253" s="594">
        <v>45442</v>
      </c>
      <c r="R253" s="593">
        <f t="shared" ca="1" si="18"/>
        <v>-1</v>
      </c>
      <c r="S253" s="589" t="str">
        <f>VLOOKUP(Q253,Mapping!L:M,2,0)</f>
        <v>W22_2024</v>
      </c>
      <c r="T253" s="589" t="str">
        <f t="shared" ca="1" si="19"/>
        <v>Not Due</v>
      </c>
      <c r="W253" s="591"/>
    </row>
    <row r="254" spans="1:23" s="589" customFormat="1" x14ac:dyDescent="0.2">
      <c r="A254" s="589" t="s">
        <v>56</v>
      </c>
      <c r="B254" s="589" t="s">
        <v>3013</v>
      </c>
      <c r="C254" s="590" t="s">
        <v>3201</v>
      </c>
      <c r="D254" s="589" t="s">
        <v>100</v>
      </c>
      <c r="E254" s="589" t="s">
        <v>104</v>
      </c>
      <c r="F254" s="589" t="s">
        <v>112</v>
      </c>
      <c r="G254" s="589" t="s">
        <v>51</v>
      </c>
      <c r="H254" s="589" t="s">
        <v>242</v>
      </c>
      <c r="I254" s="589" t="s">
        <v>3236</v>
      </c>
      <c r="J254" s="589" t="s">
        <v>35</v>
      </c>
      <c r="K254" s="591">
        <v>7400</v>
      </c>
      <c r="L254" s="592">
        <f>IF(J254="TND",1,IF(J254="EUR",Vertical_Cash_flow!$C$16,IF(J254="USD",Vertical_Cash_flow!$F$16,0)))</f>
        <v>1</v>
      </c>
      <c r="M254" s="593">
        <f t="shared" si="16"/>
        <v>7400</v>
      </c>
      <c r="N254" s="589" t="s">
        <v>251</v>
      </c>
      <c r="O254" s="594">
        <v>45418</v>
      </c>
      <c r="P254" s="593">
        <f t="shared" si="17"/>
        <v>-24</v>
      </c>
      <c r="Q254" s="594">
        <v>45442</v>
      </c>
      <c r="R254" s="593">
        <f t="shared" ca="1" si="18"/>
        <v>-1</v>
      </c>
      <c r="S254" s="589" t="str">
        <f>VLOOKUP(Q254,Mapping!L:M,2,0)</f>
        <v>W22_2024</v>
      </c>
      <c r="T254" s="589" t="str">
        <f t="shared" ca="1" si="19"/>
        <v>Not Due</v>
      </c>
      <c r="W254" s="591"/>
    </row>
    <row r="255" spans="1:23" s="589" customFormat="1" x14ac:dyDescent="0.2">
      <c r="A255" s="589" t="s">
        <v>56</v>
      </c>
      <c r="B255" s="589" t="s">
        <v>741</v>
      </c>
      <c r="C255" s="590" t="s">
        <v>1327</v>
      </c>
      <c r="D255" s="589" t="s">
        <v>100</v>
      </c>
      <c r="E255" s="589" t="s">
        <v>104</v>
      </c>
      <c r="F255" s="589" t="s">
        <v>112</v>
      </c>
      <c r="G255" s="589" t="s">
        <v>51</v>
      </c>
      <c r="H255" s="589" t="s">
        <v>242</v>
      </c>
      <c r="I255" s="589" t="s">
        <v>1430</v>
      </c>
      <c r="J255" s="589" t="s">
        <v>35</v>
      </c>
      <c r="K255" s="591">
        <v>5266.2439999999997</v>
      </c>
      <c r="L255" s="592">
        <f>IF(J255="TND",1,IF(J255="EUR",Vertical_Cash_flow!$C$16,IF(J255="USD",Vertical_Cash_flow!$F$16,0)))</f>
        <v>1</v>
      </c>
      <c r="M255" s="593">
        <f t="shared" si="16"/>
        <v>5266.2439999999997</v>
      </c>
      <c r="N255" s="589" t="s">
        <v>251</v>
      </c>
      <c r="O255" s="594">
        <v>45341</v>
      </c>
      <c r="P255" s="593">
        <f t="shared" si="17"/>
        <v>-101</v>
      </c>
      <c r="Q255" s="594">
        <v>45442</v>
      </c>
      <c r="R255" s="593">
        <f t="shared" ca="1" si="18"/>
        <v>-1</v>
      </c>
      <c r="S255" s="589" t="str">
        <f>VLOOKUP(Q255,Mapping!L:M,2,0)</f>
        <v>W22_2024</v>
      </c>
      <c r="T255" s="589" t="str">
        <f t="shared" ca="1" si="19"/>
        <v>Not Due</v>
      </c>
      <c r="W255" s="591"/>
    </row>
    <row r="256" spans="1:23" s="589" customFormat="1" x14ac:dyDescent="0.2">
      <c r="A256" s="589" t="s">
        <v>56</v>
      </c>
      <c r="B256" s="589" t="s">
        <v>1493</v>
      </c>
      <c r="C256" s="590" t="s">
        <v>1839</v>
      </c>
      <c r="D256" s="589" t="s">
        <v>100</v>
      </c>
      <c r="E256" s="589" t="s">
        <v>104</v>
      </c>
      <c r="F256" s="589" t="s">
        <v>112</v>
      </c>
      <c r="G256" s="589" t="s">
        <v>51</v>
      </c>
      <c r="H256" s="589" t="s">
        <v>242</v>
      </c>
      <c r="I256" s="589" t="s">
        <v>2204</v>
      </c>
      <c r="J256" s="589" t="s">
        <v>35</v>
      </c>
      <c r="K256" s="591">
        <v>2183.4299999999998</v>
      </c>
      <c r="L256" s="592">
        <f>IF(J256="TND",1,IF(J256="EUR",Vertical_Cash_flow!$C$16,IF(J256="USD",Vertical_Cash_flow!$F$16,0)))</f>
        <v>1</v>
      </c>
      <c r="M256" s="593">
        <f t="shared" si="16"/>
        <v>2183.4299999999998</v>
      </c>
      <c r="N256" s="589" t="s">
        <v>251</v>
      </c>
      <c r="O256" s="594">
        <v>45355</v>
      </c>
      <c r="P256" s="593">
        <f t="shared" si="17"/>
        <v>-87</v>
      </c>
      <c r="Q256" s="594">
        <v>45442</v>
      </c>
      <c r="R256" s="593">
        <f t="shared" ca="1" si="18"/>
        <v>-1</v>
      </c>
      <c r="S256" s="589" t="str">
        <f>VLOOKUP(Q256,Mapping!L:M,2,0)</f>
        <v>W22_2024</v>
      </c>
      <c r="T256" s="589" t="str">
        <f t="shared" ca="1" si="19"/>
        <v>Not Due</v>
      </c>
      <c r="W256" s="591"/>
    </row>
    <row r="257" spans="1:23" s="589" customFormat="1" x14ac:dyDescent="0.2">
      <c r="A257" s="589" t="s">
        <v>56</v>
      </c>
      <c r="B257" s="589" t="s">
        <v>1243</v>
      </c>
      <c r="C257" s="590" t="s">
        <v>1326</v>
      </c>
      <c r="D257" s="589" t="s">
        <v>100</v>
      </c>
      <c r="E257" s="589" t="s">
        <v>104</v>
      </c>
      <c r="F257" s="589" t="s">
        <v>112</v>
      </c>
      <c r="G257" s="589" t="s">
        <v>51</v>
      </c>
      <c r="H257" s="589" t="s">
        <v>242</v>
      </c>
      <c r="I257" s="589" t="s">
        <v>1429</v>
      </c>
      <c r="J257" s="589" t="s">
        <v>35</v>
      </c>
      <c r="K257" s="591">
        <v>2050</v>
      </c>
      <c r="L257" s="592">
        <f>IF(J257="TND",1,IF(J257="EUR",Vertical_Cash_flow!$C$16,IF(J257="USD",Vertical_Cash_flow!$F$16,0)))</f>
        <v>1</v>
      </c>
      <c r="M257" s="593">
        <f t="shared" si="16"/>
        <v>2050</v>
      </c>
      <c r="N257" s="589" t="s">
        <v>251</v>
      </c>
      <c r="O257" s="594">
        <v>45336</v>
      </c>
      <c r="P257" s="593">
        <f t="shared" si="17"/>
        <v>-106</v>
      </c>
      <c r="Q257" s="594">
        <v>45442</v>
      </c>
      <c r="R257" s="593">
        <f t="shared" ca="1" si="18"/>
        <v>-1</v>
      </c>
      <c r="S257" s="589" t="str">
        <f>VLOOKUP(Q257,Mapping!L:M,2,0)</f>
        <v>W22_2024</v>
      </c>
      <c r="T257" s="589" t="str">
        <f t="shared" ca="1" si="19"/>
        <v>Not Due</v>
      </c>
      <c r="W257" s="591"/>
    </row>
    <row r="258" spans="1:23" s="589" customFormat="1" x14ac:dyDescent="0.2">
      <c r="A258" s="589" t="s">
        <v>56</v>
      </c>
      <c r="B258" s="589" t="s">
        <v>331</v>
      </c>
      <c r="C258" s="590" t="s">
        <v>1838</v>
      </c>
      <c r="D258" s="589" t="s">
        <v>100</v>
      </c>
      <c r="E258" s="589" t="s">
        <v>104</v>
      </c>
      <c r="F258" s="589" t="s">
        <v>112</v>
      </c>
      <c r="G258" s="589" t="s">
        <v>51</v>
      </c>
      <c r="H258" s="589" t="s">
        <v>242</v>
      </c>
      <c r="I258" s="589" t="s">
        <v>2203</v>
      </c>
      <c r="J258" s="589" t="s">
        <v>35</v>
      </c>
      <c r="K258" s="591">
        <v>2096</v>
      </c>
      <c r="L258" s="592">
        <f>IF(J258="TND",1,IF(J258="EUR",Vertical_Cash_flow!$C$16,IF(J258="USD",Vertical_Cash_flow!$F$16,0)))</f>
        <v>1</v>
      </c>
      <c r="M258" s="593">
        <f t="shared" si="16"/>
        <v>2096</v>
      </c>
      <c r="N258" s="589" t="s">
        <v>251</v>
      </c>
      <c r="O258" s="594">
        <v>45353</v>
      </c>
      <c r="P258" s="593">
        <f t="shared" si="17"/>
        <v>-89</v>
      </c>
      <c r="Q258" s="594">
        <v>45442</v>
      </c>
      <c r="R258" s="593">
        <f t="shared" ca="1" si="18"/>
        <v>-1</v>
      </c>
      <c r="S258" s="589" t="str">
        <f>VLOOKUP(Q258,Mapping!L:M,2,0)</f>
        <v>W22_2024</v>
      </c>
      <c r="T258" s="589" t="str">
        <f t="shared" ca="1" si="19"/>
        <v>Not Due</v>
      </c>
      <c r="W258" s="591"/>
    </row>
    <row r="259" spans="1:23" s="589" customFormat="1" x14ac:dyDescent="0.2">
      <c r="A259" s="589" t="s">
        <v>56</v>
      </c>
      <c r="B259" s="589" t="s">
        <v>330</v>
      </c>
      <c r="C259" s="590" t="s">
        <v>1837</v>
      </c>
      <c r="D259" s="589" t="s">
        <v>100</v>
      </c>
      <c r="E259" s="589" t="s">
        <v>104</v>
      </c>
      <c r="F259" s="589" t="s">
        <v>112</v>
      </c>
      <c r="G259" s="589" t="s">
        <v>51</v>
      </c>
      <c r="H259" s="589" t="s">
        <v>242</v>
      </c>
      <c r="I259" s="589" t="s">
        <v>2202</v>
      </c>
      <c r="J259" s="589" t="s">
        <v>35</v>
      </c>
      <c r="K259" s="591">
        <v>4000</v>
      </c>
      <c r="L259" s="592">
        <f>IF(J259="TND",1,IF(J259="EUR",Vertical_Cash_flow!$C$16,IF(J259="USD",Vertical_Cash_flow!$F$16,0)))</f>
        <v>1</v>
      </c>
      <c r="M259" s="593">
        <f t="shared" si="16"/>
        <v>4000</v>
      </c>
      <c r="N259" s="589" t="s">
        <v>251</v>
      </c>
      <c r="O259" s="594">
        <v>45353</v>
      </c>
      <c r="P259" s="593">
        <f t="shared" si="17"/>
        <v>-89</v>
      </c>
      <c r="Q259" s="594">
        <v>45442</v>
      </c>
      <c r="R259" s="593">
        <f t="shared" ca="1" si="18"/>
        <v>-1</v>
      </c>
      <c r="S259" s="589" t="str">
        <f>VLOOKUP(Q259,Mapping!L:M,2,0)</f>
        <v>W22_2024</v>
      </c>
      <c r="T259" s="589" t="str">
        <f t="shared" ca="1" si="19"/>
        <v>Not Due</v>
      </c>
      <c r="W259" s="591"/>
    </row>
    <row r="260" spans="1:23" s="589" customFormat="1" x14ac:dyDescent="0.2">
      <c r="A260" s="589" t="s">
        <v>56</v>
      </c>
      <c r="B260" s="589" t="s">
        <v>587</v>
      </c>
      <c r="C260" s="590" t="s">
        <v>1836</v>
      </c>
      <c r="D260" s="589" t="s">
        <v>100</v>
      </c>
      <c r="E260" s="589" t="s">
        <v>104</v>
      </c>
      <c r="F260" s="589" t="s">
        <v>112</v>
      </c>
      <c r="G260" s="589" t="s">
        <v>51</v>
      </c>
      <c r="H260" s="589" t="s">
        <v>242</v>
      </c>
      <c r="I260" s="589" t="s">
        <v>2201</v>
      </c>
      <c r="J260" s="589" t="s">
        <v>35</v>
      </c>
      <c r="K260" s="591">
        <v>6032.2060000000001</v>
      </c>
      <c r="L260" s="592">
        <f>IF(J260="TND",1,IF(J260="EUR",Vertical_Cash_flow!$C$16,IF(J260="USD",Vertical_Cash_flow!$F$16,0)))</f>
        <v>1</v>
      </c>
      <c r="M260" s="593">
        <f t="shared" si="16"/>
        <v>6032.2060000000001</v>
      </c>
      <c r="N260" s="589" t="s">
        <v>251</v>
      </c>
      <c r="O260" s="594">
        <v>45377</v>
      </c>
      <c r="P260" s="593">
        <f t="shared" si="17"/>
        <v>-65</v>
      </c>
      <c r="Q260" s="594">
        <v>45442</v>
      </c>
      <c r="R260" s="593">
        <f t="shared" ca="1" si="18"/>
        <v>-1</v>
      </c>
      <c r="S260" s="589" t="str">
        <f>VLOOKUP(Q260,Mapping!L:M,2,0)</f>
        <v>W22_2024</v>
      </c>
      <c r="T260" s="589" t="str">
        <f t="shared" ca="1" si="19"/>
        <v>Not Due</v>
      </c>
      <c r="W260" s="591"/>
    </row>
    <row r="261" spans="1:23" s="589" customFormat="1" x14ac:dyDescent="0.2">
      <c r="A261" s="589" t="s">
        <v>56</v>
      </c>
      <c r="B261" s="589" t="s">
        <v>576</v>
      </c>
      <c r="C261" s="590" t="s">
        <v>1832</v>
      </c>
      <c r="D261" s="589" t="s">
        <v>100</v>
      </c>
      <c r="E261" s="589" t="s">
        <v>104</v>
      </c>
      <c r="F261" s="589" t="s">
        <v>112</v>
      </c>
      <c r="G261" s="589" t="s">
        <v>51</v>
      </c>
      <c r="H261" s="589" t="s">
        <v>242</v>
      </c>
      <c r="I261" s="589" t="s">
        <v>2197</v>
      </c>
      <c r="J261" s="589" t="s">
        <v>35</v>
      </c>
      <c r="K261" s="591">
        <v>2546.0390000000002</v>
      </c>
      <c r="L261" s="592">
        <f>IF(J261="TND",1,IF(J261="EUR",Vertical_Cash_flow!$C$16,IF(J261="USD",Vertical_Cash_flow!$F$16,0)))</f>
        <v>1</v>
      </c>
      <c r="M261" s="593">
        <f t="shared" si="16"/>
        <v>2546.0390000000002</v>
      </c>
      <c r="N261" s="589" t="s">
        <v>251</v>
      </c>
      <c r="O261" s="594">
        <v>45364</v>
      </c>
      <c r="P261" s="593">
        <f t="shared" si="17"/>
        <v>-78</v>
      </c>
      <c r="Q261" s="594">
        <v>45442</v>
      </c>
      <c r="R261" s="593">
        <f t="shared" ca="1" si="18"/>
        <v>-1</v>
      </c>
      <c r="S261" s="589" t="str">
        <f>VLOOKUP(Q261,Mapping!L:M,2,0)</f>
        <v>W22_2024</v>
      </c>
      <c r="T261" s="589" t="str">
        <f t="shared" ca="1" si="19"/>
        <v>Not Due</v>
      </c>
      <c r="W261" s="591"/>
    </row>
    <row r="262" spans="1:23" s="589" customFormat="1" x14ac:dyDescent="0.2">
      <c r="A262" s="589" t="s">
        <v>56</v>
      </c>
      <c r="B262" s="589" t="s">
        <v>810</v>
      </c>
      <c r="C262" s="590" t="s">
        <v>1325</v>
      </c>
      <c r="D262" s="589" t="s">
        <v>100</v>
      </c>
      <c r="E262" s="589" t="s">
        <v>104</v>
      </c>
      <c r="F262" s="589" t="s">
        <v>112</v>
      </c>
      <c r="G262" s="589" t="s">
        <v>51</v>
      </c>
      <c r="H262" s="589" t="s">
        <v>242</v>
      </c>
      <c r="I262" s="589" t="s">
        <v>1428</v>
      </c>
      <c r="J262" s="589" t="s">
        <v>35</v>
      </c>
      <c r="K262" s="591">
        <v>3282.7240000000002</v>
      </c>
      <c r="L262" s="592">
        <f>IF(J262="TND",1,IF(J262="EUR",Vertical_Cash_flow!$C$16,IF(J262="USD",Vertical_Cash_flow!$F$16,0)))</f>
        <v>1</v>
      </c>
      <c r="M262" s="593">
        <f t="shared" si="16"/>
        <v>3282.7240000000002</v>
      </c>
      <c r="N262" s="589" t="s">
        <v>251</v>
      </c>
      <c r="O262" s="594">
        <v>45336</v>
      </c>
      <c r="P262" s="593">
        <f t="shared" si="17"/>
        <v>-106</v>
      </c>
      <c r="Q262" s="594">
        <v>45442</v>
      </c>
      <c r="R262" s="593">
        <f t="shared" ca="1" si="18"/>
        <v>-1</v>
      </c>
      <c r="S262" s="589" t="str">
        <f>VLOOKUP(Q262,Mapping!L:M,2,0)</f>
        <v>W22_2024</v>
      </c>
      <c r="T262" s="589" t="str">
        <f t="shared" ca="1" si="19"/>
        <v>Not Due</v>
      </c>
      <c r="W262" s="591"/>
    </row>
    <row r="263" spans="1:23" s="589" customFormat="1" x14ac:dyDescent="0.2">
      <c r="A263" s="589" t="s">
        <v>56</v>
      </c>
      <c r="B263" s="589" t="s">
        <v>841</v>
      </c>
      <c r="C263" s="590" t="s">
        <v>1835</v>
      </c>
      <c r="D263" s="589" t="s">
        <v>100</v>
      </c>
      <c r="E263" s="589" t="s">
        <v>104</v>
      </c>
      <c r="F263" s="589" t="s">
        <v>112</v>
      </c>
      <c r="G263" s="589" t="s">
        <v>51</v>
      </c>
      <c r="H263" s="589" t="s">
        <v>242</v>
      </c>
      <c r="I263" s="589" t="s">
        <v>2200</v>
      </c>
      <c r="J263" s="589" t="s">
        <v>35</v>
      </c>
      <c r="K263" s="591">
        <v>1198.914</v>
      </c>
      <c r="L263" s="592">
        <f>IF(J263="TND",1,IF(J263="EUR",Vertical_Cash_flow!$C$16,IF(J263="USD",Vertical_Cash_flow!$F$16,0)))</f>
        <v>1</v>
      </c>
      <c r="M263" s="593">
        <f t="shared" si="16"/>
        <v>1198.914</v>
      </c>
      <c r="N263" s="589" t="s">
        <v>251</v>
      </c>
      <c r="O263" s="594">
        <v>45348</v>
      </c>
      <c r="P263" s="593">
        <f t="shared" si="17"/>
        <v>-94</v>
      </c>
      <c r="Q263" s="594">
        <v>45442</v>
      </c>
      <c r="R263" s="593">
        <f t="shared" ca="1" si="18"/>
        <v>-1</v>
      </c>
      <c r="S263" s="589" t="str">
        <f>VLOOKUP(Q263,Mapping!L:M,2,0)</f>
        <v>W22_2024</v>
      </c>
      <c r="T263" s="589" t="str">
        <f t="shared" ca="1" si="19"/>
        <v>Not Due</v>
      </c>
      <c r="W263" s="591"/>
    </row>
    <row r="264" spans="1:23" s="589" customFormat="1" x14ac:dyDescent="0.2">
      <c r="A264" s="589" t="s">
        <v>56</v>
      </c>
      <c r="B264" s="589" t="s">
        <v>338</v>
      </c>
      <c r="C264" s="590" t="s">
        <v>1833</v>
      </c>
      <c r="D264" s="589" t="s">
        <v>100</v>
      </c>
      <c r="E264" s="589" t="s">
        <v>104</v>
      </c>
      <c r="F264" s="589" t="s">
        <v>112</v>
      </c>
      <c r="G264" s="589" t="s">
        <v>51</v>
      </c>
      <c r="H264" s="589" t="s">
        <v>242</v>
      </c>
      <c r="I264" s="589" t="s">
        <v>2198</v>
      </c>
      <c r="J264" s="589" t="s">
        <v>35</v>
      </c>
      <c r="K264" s="591">
        <v>3795.556</v>
      </c>
      <c r="L264" s="592">
        <f>IF(J264="TND",1,IF(J264="EUR",Vertical_Cash_flow!$C$16,IF(J264="USD",Vertical_Cash_flow!$F$16,0)))</f>
        <v>1</v>
      </c>
      <c r="M264" s="593">
        <f t="shared" si="16"/>
        <v>3795.556</v>
      </c>
      <c r="N264" s="589" t="s">
        <v>251</v>
      </c>
      <c r="O264" s="594">
        <v>45351</v>
      </c>
      <c r="P264" s="593">
        <f t="shared" si="17"/>
        <v>-91</v>
      </c>
      <c r="Q264" s="594">
        <v>45442</v>
      </c>
      <c r="R264" s="593">
        <f t="shared" ca="1" si="18"/>
        <v>-1</v>
      </c>
      <c r="S264" s="589" t="str">
        <f>VLOOKUP(Q264,Mapping!L:M,2,0)</f>
        <v>W22_2024</v>
      </c>
      <c r="T264" s="589" t="str">
        <f t="shared" ca="1" si="19"/>
        <v>Not Due</v>
      </c>
      <c r="W264" s="591"/>
    </row>
    <row r="265" spans="1:23" s="589" customFormat="1" x14ac:dyDescent="0.2">
      <c r="A265" s="589" t="s">
        <v>56</v>
      </c>
      <c r="B265" s="589" t="s">
        <v>3012</v>
      </c>
      <c r="C265" s="590" t="s">
        <v>3200</v>
      </c>
      <c r="D265" s="589" t="s">
        <v>100</v>
      </c>
      <c r="E265" s="589" t="s">
        <v>104</v>
      </c>
      <c r="F265" s="589" t="s">
        <v>112</v>
      </c>
      <c r="G265" s="589" t="s">
        <v>51</v>
      </c>
      <c r="H265" s="589" t="s">
        <v>242</v>
      </c>
      <c r="I265" s="589" t="s">
        <v>3374</v>
      </c>
      <c r="J265" s="589" t="s">
        <v>35</v>
      </c>
      <c r="K265" s="591">
        <v>2888.69</v>
      </c>
      <c r="L265" s="592">
        <f>IF(J265="TND",1,IF(J265="EUR",Vertical_Cash_flow!$C$16,IF(J265="USD",Vertical_Cash_flow!$F$16,0)))</f>
        <v>1</v>
      </c>
      <c r="M265" s="593">
        <f t="shared" si="16"/>
        <v>2888.69</v>
      </c>
      <c r="N265" s="589" t="s">
        <v>251</v>
      </c>
      <c r="O265" s="594">
        <v>45418</v>
      </c>
      <c r="P265" s="593">
        <f t="shared" si="17"/>
        <v>-24</v>
      </c>
      <c r="Q265" s="594">
        <v>45442</v>
      </c>
      <c r="R265" s="593">
        <f t="shared" ca="1" si="18"/>
        <v>-1</v>
      </c>
      <c r="S265" s="589" t="str">
        <f>VLOOKUP(Q265,Mapping!L:M,2,0)</f>
        <v>W22_2024</v>
      </c>
      <c r="T265" s="589" t="str">
        <f t="shared" ca="1" si="19"/>
        <v>Not Due</v>
      </c>
      <c r="W265" s="591"/>
    </row>
    <row r="266" spans="1:23" s="589" customFormat="1" x14ac:dyDescent="0.2">
      <c r="A266" s="589" t="s">
        <v>56</v>
      </c>
      <c r="B266" s="589" t="s">
        <v>336</v>
      </c>
      <c r="C266" s="590" t="s">
        <v>1324</v>
      </c>
      <c r="D266" s="589" t="s">
        <v>100</v>
      </c>
      <c r="E266" s="589" t="s">
        <v>104</v>
      </c>
      <c r="F266" s="589" t="s">
        <v>112</v>
      </c>
      <c r="G266" s="589" t="s">
        <v>51</v>
      </c>
      <c r="H266" s="589" t="s">
        <v>242</v>
      </c>
      <c r="I266" s="589" t="s">
        <v>1427</v>
      </c>
      <c r="J266" s="589" t="s">
        <v>35</v>
      </c>
      <c r="K266" s="591">
        <v>2733.5349999999999</v>
      </c>
      <c r="L266" s="592">
        <f>IF(J266="TND",1,IF(J266="EUR",Vertical_Cash_flow!$C$16,IF(J266="USD",Vertical_Cash_flow!$F$16,0)))</f>
        <v>1</v>
      </c>
      <c r="M266" s="593">
        <f t="shared" si="16"/>
        <v>2733.5349999999999</v>
      </c>
      <c r="N266" s="589" t="s">
        <v>251</v>
      </c>
      <c r="O266" s="594">
        <v>45337</v>
      </c>
      <c r="P266" s="593">
        <f t="shared" si="17"/>
        <v>-105</v>
      </c>
      <c r="Q266" s="594">
        <v>45442</v>
      </c>
      <c r="R266" s="593">
        <f t="shared" ca="1" si="18"/>
        <v>-1</v>
      </c>
      <c r="S266" s="589" t="str">
        <f>VLOOKUP(Q266,Mapping!L:M,2,0)</f>
        <v>W22_2024</v>
      </c>
      <c r="T266" s="589" t="str">
        <f t="shared" ca="1" si="19"/>
        <v>Not Due</v>
      </c>
      <c r="W266" s="591"/>
    </row>
    <row r="267" spans="1:23" s="589" customFormat="1" x14ac:dyDescent="0.2">
      <c r="A267" s="589" t="s">
        <v>56</v>
      </c>
      <c r="B267" s="589" t="s">
        <v>550</v>
      </c>
      <c r="C267" s="590" t="s">
        <v>2603</v>
      </c>
      <c r="D267" s="589" t="s">
        <v>100</v>
      </c>
      <c r="E267" s="589" t="s">
        <v>104</v>
      </c>
      <c r="F267" s="589" t="s">
        <v>112</v>
      </c>
      <c r="G267" s="589" t="s">
        <v>51</v>
      </c>
      <c r="H267" s="589" t="s">
        <v>242</v>
      </c>
      <c r="I267" s="589" t="s">
        <v>2915</v>
      </c>
      <c r="J267" s="589" t="s">
        <v>35</v>
      </c>
      <c r="K267" s="591">
        <v>1696.6769999999999</v>
      </c>
      <c r="L267" s="592">
        <f>IF(J267="TND",1,IF(J267="EUR",Vertical_Cash_flow!$C$16,IF(J267="USD",Vertical_Cash_flow!$F$16,0)))</f>
        <v>1</v>
      </c>
      <c r="M267" s="593">
        <f t="shared" si="16"/>
        <v>1696.6769999999999</v>
      </c>
      <c r="N267" s="589" t="s">
        <v>251</v>
      </c>
      <c r="O267" s="594">
        <v>45407</v>
      </c>
      <c r="P267" s="593">
        <f t="shared" si="17"/>
        <v>-35</v>
      </c>
      <c r="Q267" s="594">
        <v>45442</v>
      </c>
      <c r="R267" s="593">
        <f t="shared" ca="1" si="18"/>
        <v>-1</v>
      </c>
      <c r="S267" s="589" t="str">
        <f>VLOOKUP(Q267,Mapping!L:M,2,0)</f>
        <v>W22_2024</v>
      </c>
      <c r="T267" s="589" t="str">
        <f t="shared" ca="1" si="19"/>
        <v>Not Due</v>
      </c>
      <c r="W267" s="591"/>
    </row>
    <row r="268" spans="1:23" s="589" customFormat="1" x14ac:dyDescent="0.2">
      <c r="A268" s="589" t="s">
        <v>56</v>
      </c>
      <c r="B268" s="589" t="s">
        <v>828</v>
      </c>
      <c r="C268" s="590" t="s">
        <v>2604</v>
      </c>
      <c r="D268" s="589" t="s">
        <v>100</v>
      </c>
      <c r="E268" s="589" t="s">
        <v>104</v>
      </c>
      <c r="F268" s="589" t="s">
        <v>112</v>
      </c>
      <c r="G268" s="589" t="s">
        <v>51</v>
      </c>
      <c r="H268" s="589" t="s">
        <v>242</v>
      </c>
      <c r="I268" s="589" t="s">
        <v>2916</v>
      </c>
      <c r="J268" s="589" t="s">
        <v>35</v>
      </c>
      <c r="K268" s="591">
        <v>1995.5909999999999</v>
      </c>
      <c r="L268" s="592">
        <f>IF(J268="TND",1,IF(J268="EUR",Vertical_Cash_flow!$C$16,IF(J268="USD",Vertical_Cash_flow!$F$16,0)))</f>
        <v>1</v>
      </c>
      <c r="M268" s="593">
        <f t="shared" si="16"/>
        <v>1995.5909999999999</v>
      </c>
      <c r="N268" s="589" t="s">
        <v>251</v>
      </c>
      <c r="O268" s="594">
        <v>45385</v>
      </c>
      <c r="P268" s="593">
        <f t="shared" si="17"/>
        <v>-57</v>
      </c>
      <c r="Q268" s="594">
        <v>45442</v>
      </c>
      <c r="R268" s="593">
        <f t="shared" ca="1" si="18"/>
        <v>-1</v>
      </c>
      <c r="S268" s="589" t="str">
        <f>VLOOKUP(Q268,Mapping!L:M,2,0)</f>
        <v>W22_2024</v>
      </c>
      <c r="T268" s="589" t="str">
        <f t="shared" ca="1" si="19"/>
        <v>Not Due</v>
      </c>
      <c r="W268" s="591"/>
    </row>
    <row r="269" spans="1:23" s="589" customFormat="1" x14ac:dyDescent="0.2">
      <c r="A269" s="589" t="s">
        <v>56</v>
      </c>
      <c r="B269" s="589" t="s">
        <v>338</v>
      </c>
      <c r="C269" s="590" t="s">
        <v>1834</v>
      </c>
      <c r="D269" s="589" t="s">
        <v>100</v>
      </c>
      <c r="E269" s="589" t="s">
        <v>104</v>
      </c>
      <c r="F269" s="589" t="s">
        <v>112</v>
      </c>
      <c r="G269" s="589" t="s">
        <v>51</v>
      </c>
      <c r="H269" s="589" t="s">
        <v>242</v>
      </c>
      <c r="I269" s="589" t="s">
        <v>2199</v>
      </c>
      <c r="J269" s="589" t="s">
        <v>35</v>
      </c>
      <c r="K269" s="591">
        <v>5176.9250000000002</v>
      </c>
      <c r="L269" s="592">
        <f>IF(J269="TND",1,IF(J269="EUR",Vertical_Cash_flow!$C$16,IF(J269="USD",Vertical_Cash_flow!$F$16,0)))</f>
        <v>1</v>
      </c>
      <c r="M269" s="593">
        <f t="shared" si="16"/>
        <v>5176.9250000000002</v>
      </c>
      <c r="N269" s="589" t="s">
        <v>251</v>
      </c>
      <c r="O269" s="594">
        <v>45379</v>
      </c>
      <c r="P269" s="593">
        <f t="shared" si="17"/>
        <v>-63</v>
      </c>
      <c r="Q269" s="594">
        <v>45442</v>
      </c>
      <c r="R269" s="593">
        <f t="shared" ca="1" si="18"/>
        <v>-1</v>
      </c>
      <c r="S269" s="589" t="str">
        <f>VLOOKUP(Q269,Mapping!L:M,2,0)</f>
        <v>W22_2024</v>
      </c>
      <c r="T269" s="589" t="str">
        <f t="shared" ca="1" si="19"/>
        <v>Not Due</v>
      </c>
      <c r="W269" s="591"/>
    </row>
    <row r="270" spans="1:23" s="589" customFormat="1" x14ac:dyDescent="0.2">
      <c r="A270" s="589" t="s">
        <v>56</v>
      </c>
      <c r="B270" s="589" t="s">
        <v>1478</v>
      </c>
      <c r="C270" s="590" t="s">
        <v>3198</v>
      </c>
      <c r="D270" s="589" t="s">
        <v>100</v>
      </c>
      <c r="E270" s="589" t="s">
        <v>104</v>
      </c>
      <c r="F270" s="589" t="s">
        <v>112</v>
      </c>
      <c r="G270" s="589" t="s">
        <v>51</v>
      </c>
      <c r="H270" s="589" t="s">
        <v>242</v>
      </c>
      <c r="I270" s="589" t="s">
        <v>3373</v>
      </c>
      <c r="J270" s="589" t="s">
        <v>35</v>
      </c>
      <c r="K270" s="591">
        <v>1260.644</v>
      </c>
      <c r="L270" s="592">
        <f>IF(J270="TND",1,IF(J270="EUR",Vertical_Cash_flow!$C$16,IF(J270="USD",Vertical_Cash_flow!$F$16,0)))</f>
        <v>1</v>
      </c>
      <c r="M270" s="593">
        <f t="shared" si="16"/>
        <v>1260.644</v>
      </c>
      <c r="N270" s="589" t="s">
        <v>251</v>
      </c>
      <c r="O270" s="594">
        <v>45411</v>
      </c>
      <c r="P270" s="593">
        <f t="shared" si="17"/>
        <v>-32</v>
      </c>
      <c r="Q270" s="594">
        <v>45443</v>
      </c>
      <c r="R270" s="593">
        <f t="shared" ca="1" si="18"/>
        <v>-2</v>
      </c>
      <c r="S270" s="589" t="str">
        <f>VLOOKUP(Q270,Mapping!L:M,2,0)</f>
        <v>W22_2024</v>
      </c>
      <c r="T270" s="589" t="str">
        <f t="shared" ca="1" si="19"/>
        <v>Not Due</v>
      </c>
      <c r="W270" s="591"/>
    </row>
    <row r="271" spans="1:23" s="589" customFormat="1" x14ac:dyDescent="0.2">
      <c r="A271" s="589" t="s">
        <v>56</v>
      </c>
      <c r="B271" s="589" t="s">
        <v>609</v>
      </c>
      <c r="C271" s="590" t="s">
        <v>1809</v>
      </c>
      <c r="D271" s="589" t="s">
        <v>100</v>
      </c>
      <c r="E271" s="589" t="s">
        <v>104</v>
      </c>
      <c r="F271" s="589" t="s">
        <v>112</v>
      </c>
      <c r="G271" s="589" t="s">
        <v>51</v>
      </c>
      <c r="H271" s="589" t="s">
        <v>242</v>
      </c>
      <c r="I271" s="589" t="s">
        <v>2179</v>
      </c>
      <c r="J271" s="589" t="s">
        <v>35</v>
      </c>
      <c r="K271" s="591">
        <v>6397.19</v>
      </c>
      <c r="L271" s="592">
        <f>IF(J271="TND",1,IF(J271="EUR",Vertical_Cash_flow!$C$16,IF(J271="USD",Vertical_Cash_flow!$F$16,0)))</f>
        <v>1</v>
      </c>
      <c r="M271" s="593">
        <f t="shared" si="16"/>
        <v>6397.19</v>
      </c>
      <c r="N271" s="589" t="s">
        <v>251</v>
      </c>
      <c r="O271" s="594">
        <v>45367</v>
      </c>
      <c r="P271" s="593">
        <f t="shared" si="17"/>
        <v>-76</v>
      </c>
      <c r="Q271" s="594">
        <v>45443</v>
      </c>
      <c r="R271" s="593">
        <f t="shared" ca="1" si="18"/>
        <v>-2</v>
      </c>
      <c r="S271" s="589" t="str">
        <f>VLOOKUP(Q271,Mapping!L:M,2,0)</f>
        <v>W22_2024</v>
      </c>
      <c r="T271" s="589" t="str">
        <f t="shared" ca="1" si="19"/>
        <v>Not Due</v>
      </c>
      <c r="W271" s="591"/>
    </row>
    <row r="272" spans="1:23" s="589" customFormat="1" x14ac:dyDescent="0.2">
      <c r="A272" s="589" t="s">
        <v>56</v>
      </c>
      <c r="B272" s="589" t="s">
        <v>313</v>
      </c>
      <c r="C272" s="590" t="s">
        <v>1806</v>
      </c>
      <c r="D272" s="589" t="s">
        <v>100</v>
      </c>
      <c r="E272" s="589" t="s">
        <v>104</v>
      </c>
      <c r="F272" s="589" t="s">
        <v>112</v>
      </c>
      <c r="G272" s="589" t="s">
        <v>51</v>
      </c>
      <c r="H272" s="589" t="s">
        <v>242</v>
      </c>
      <c r="I272" s="589" t="s">
        <v>2177</v>
      </c>
      <c r="J272" s="589" t="s">
        <v>35</v>
      </c>
      <c r="K272" s="591">
        <v>5160.9849999999997</v>
      </c>
      <c r="L272" s="592">
        <f>IF(J272="TND",1,IF(J272="EUR",Vertical_Cash_flow!$C$16,IF(J272="USD",Vertical_Cash_flow!$F$16,0)))</f>
        <v>1</v>
      </c>
      <c r="M272" s="593">
        <f t="shared" si="16"/>
        <v>5160.9849999999997</v>
      </c>
      <c r="N272" s="589" t="s">
        <v>251</v>
      </c>
      <c r="O272" s="594">
        <v>45372</v>
      </c>
      <c r="P272" s="593">
        <f t="shared" si="17"/>
        <v>-71</v>
      </c>
      <c r="Q272" s="594">
        <v>45443</v>
      </c>
      <c r="R272" s="593">
        <f t="shared" ca="1" si="18"/>
        <v>-2</v>
      </c>
      <c r="S272" s="589" t="str">
        <f>VLOOKUP(Q272,Mapping!L:M,2,0)</f>
        <v>W22_2024</v>
      </c>
      <c r="T272" s="589" t="str">
        <f t="shared" ca="1" si="19"/>
        <v>Not Due</v>
      </c>
      <c r="W272" s="591"/>
    </row>
    <row r="273" spans="1:23" s="589" customFormat="1" x14ac:dyDescent="0.2">
      <c r="A273" s="589" t="s">
        <v>56</v>
      </c>
      <c r="B273" s="589" t="s">
        <v>310</v>
      </c>
      <c r="C273" s="590" t="s">
        <v>1810</v>
      </c>
      <c r="D273" s="589" t="s">
        <v>100</v>
      </c>
      <c r="E273" s="589" t="s">
        <v>104</v>
      </c>
      <c r="F273" s="589" t="s">
        <v>112</v>
      </c>
      <c r="G273" s="589" t="s">
        <v>51</v>
      </c>
      <c r="H273" s="589" t="s">
        <v>242</v>
      </c>
      <c r="I273" s="589" t="s">
        <v>2132</v>
      </c>
      <c r="J273" s="589" t="s">
        <v>35</v>
      </c>
      <c r="K273" s="591">
        <v>1249.7239999999999</v>
      </c>
      <c r="L273" s="592">
        <f>IF(J273="TND",1,IF(J273="EUR",Vertical_Cash_flow!$C$16,IF(J273="USD",Vertical_Cash_flow!$F$16,0)))</f>
        <v>1</v>
      </c>
      <c r="M273" s="593">
        <f t="shared" si="16"/>
        <v>1249.7239999999999</v>
      </c>
      <c r="N273" s="589" t="s">
        <v>251</v>
      </c>
      <c r="O273" s="594">
        <v>45380</v>
      </c>
      <c r="P273" s="593">
        <f t="shared" si="17"/>
        <v>-63</v>
      </c>
      <c r="Q273" s="594">
        <v>45443</v>
      </c>
      <c r="R273" s="593">
        <f t="shared" ca="1" si="18"/>
        <v>-2</v>
      </c>
      <c r="S273" s="589" t="str">
        <f>VLOOKUP(Q273,Mapping!L:M,2,0)</f>
        <v>W22_2024</v>
      </c>
      <c r="T273" s="589" t="str">
        <f t="shared" ca="1" si="19"/>
        <v>Not Due</v>
      </c>
      <c r="W273" s="591"/>
    </row>
    <row r="274" spans="1:23" s="589" customFormat="1" x14ac:dyDescent="0.2">
      <c r="A274" s="589" t="s">
        <v>56</v>
      </c>
      <c r="B274" s="589" t="s">
        <v>286</v>
      </c>
      <c r="C274" s="590" t="s">
        <v>1822</v>
      </c>
      <c r="D274" s="589" t="s">
        <v>100</v>
      </c>
      <c r="E274" s="589" t="s">
        <v>104</v>
      </c>
      <c r="F274" s="589" t="s">
        <v>112</v>
      </c>
      <c r="G274" s="589" t="s">
        <v>51</v>
      </c>
      <c r="H274" s="589" t="s">
        <v>242</v>
      </c>
      <c r="I274" s="589" t="s">
        <v>794</v>
      </c>
      <c r="J274" s="589" t="s">
        <v>35</v>
      </c>
      <c r="K274" s="591">
        <v>250.27500000000001</v>
      </c>
      <c r="L274" s="592">
        <f>IF(J274="TND",1,IF(J274="EUR",Vertical_Cash_flow!$C$16,IF(J274="USD",Vertical_Cash_flow!$F$16,0)))</f>
        <v>1</v>
      </c>
      <c r="M274" s="593">
        <f t="shared" si="16"/>
        <v>250.27500000000001</v>
      </c>
      <c r="N274" s="589" t="s">
        <v>251</v>
      </c>
      <c r="O274" s="594">
        <v>45356</v>
      </c>
      <c r="P274" s="593">
        <f t="shared" si="17"/>
        <v>-87</v>
      </c>
      <c r="Q274" s="594">
        <v>45443</v>
      </c>
      <c r="R274" s="593">
        <f t="shared" ca="1" si="18"/>
        <v>-2</v>
      </c>
      <c r="S274" s="589" t="str">
        <f>VLOOKUP(Q274,Mapping!L:M,2,0)</f>
        <v>W22_2024</v>
      </c>
      <c r="T274" s="589" t="str">
        <f t="shared" ca="1" si="19"/>
        <v>Not Due</v>
      </c>
      <c r="W274" s="591"/>
    </row>
    <row r="275" spans="1:23" s="589" customFormat="1" x14ac:dyDescent="0.2">
      <c r="A275" s="589" t="s">
        <v>56</v>
      </c>
      <c r="B275" s="589" t="s">
        <v>890</v>
      </c>
      <c r="C275" s="590" t="s">
        <v>1825</v>
      </c>
      <c r="D275" s="589" t="s">
        <v>100</v>
      </c>
      <c r="E275" s="589" t="s">
        <v>104</v>
      </c>
      <c r="F275" s="589" t="s">
        <v>112</v>
      </c>
      <c r="G275" s="589" t="s">
        <v>51</v>
      </c>
      <c r="H275" s="589" t="s">
        <v>242</v>
      </c>
      <c r="I275" s="589" t="s">
        <v>2191</v>
      </c>
      <c r="J275" s="589" t="s">
        <v>35</v>
      </c>
      <c r="K275" s="591">
        <v>2536.8670000000002</v>
      </c>
      <c r="L275" s="592">
        <f>IF(J275="TND",1,IF(J275="EUR",Vertical_Cash_flow!$C$16,IF(J275="USD",Vertical_Cash_flow!$F$16,0)))</f>
        <v>1</v>
      </c>
      <c r="M275" s="593">
        <f t="shared" si="16"/>
        <v>2536.8670000000002</v>
      </c>
      <c r="N275" s="589" t="s">
        <v>251</v>
      </c>
      <c r="O275" s="594">
        <v>45350</v>
      </c>
      <c r="P275" s="593">
        <f t="shared" si="17"/>
        <v>-93</v>
      </c>
      <c r="Q275" s="594">
        <v>45443</v>
      </c>
      <c r="R275" s="593">
        <f t="shared" ca="1" si="18"/>
        <v>-2</v>
      </c>
      <c r="S275" s="589" t="str">
        <f>VLOOKUP(Q275,Mapping!L:M,2,0)</f>
        <v>W22_2024</v>
      </c>
      <c r="T275" s="589" t="str">
        <f t="shared" ca="1" si="19"/>
        <v>Not Due</v>
      </c>
      <c r="W275" s="591"/>
    </row>
    <row r="276" spans="1:23" s="589" customFormat="1" x14ac:dyDescent="0.2">
      <c r="A276" s="589" t="s">
        <v>56</v>
      </c>
      <c r="B276" s="589" t="s">
        <v>764</v>
      </c>
      <c r="C276" s="590" t="s">
        <v>1831</v>
      </c>
      <c r="D276" s="589" t="s">
        <v>100</v>
      </c>
      <c r="E276" s="589" t="s">
        <v>104</v>
      </c>
      <c r="F276" s="589" t="s">
        <v>112</v>
      </c>
      <c r="G276" s="589" t="s">
        <v>51</v>
      </c>
      <c r="H276" s="589" t="s">
        <v>242</v>
      </c>
      <c r="I276" s="589" t="s">
        <v>2196</v>
      </c>
      <c r="J276" s="589" t="s">
        <v>35</v>
      </c>
      <c r="K276" s="591">
        <v>2348.614</v>
      </c>
      <c r="L276" s="592">
        <f>IF(J276="TND",1,IF(J276="EUR",Vertical_Cash_flow!$C$16,IF(J276="USD",Vertical_Cash_flow!$F$16,0)))</f>
        <v>1</v>
      </c>
      <c r="M276" s="593">
        <f t="shared" si="16"/>
        <v>2348.614</v>
      </c>
      <c r="N276" s="589" t="s">
        <v>251</v>
      </c>
      <c r="O276" s="594">
        <v>45348</v>
      </c>
      <c r="P276" s="593">
        <f t="shared" si="17"/>
        <v>-95</v>
      </c>
      <c r="Q276" s="594">
        <v>45443</v>
      </c>
      <c r="R276" s="593">
        <f t="shared" ca="1" si="18"/>
        <v>-2</v>
      </c>
      <c r="S276" s="589" t="str">
        <f>VLOOKUP(Q276,Mapping!L:M,2,0)</f>
        <v>W22_2024</v>
      </c>
      <c r="T276" s="589" t="str">
        <f t="shared" ca="1" si="19"/>
        <v>Not Due</v>
      </c>
      <c r="W276" s="591"/>
    </row>
    <row r="277" spans="1:23" s="589" customFormat="1" x14ac:dyDescent="0.2">
      <c r="A277" s="589" t="s">
        <v>56</v>
      </c>
      <c r="B277" s="589" t="s">
        <v>354</v>
      </c>
      <c r="C277" s="590" t="s">
        <v>1830</v>
      </c>
      <c r="D277" s="589" t="s">
        <v>100</v>
      </c>
      <c r="E277" s="589" t="s">
        <v>104</v>
      </c>
      <c r="F277" s="589" t="s">
        <v>112</v>
      </c>
      <c r="G277" s="589" t="s">
        <v>51</v>
      </c>
      <c r="H277" s="589" t="s">
        <v>242</v>
      </c>
      <c r="I277" s="589" t="s">
        <v>2195</v>
      </c>
      <c r="J277" s="589" t="s">
        <v>35</v>
      </c>
      <c r="K277" s="591">
        <v>2371.94</v>
      </c>
      <c r="L277" s="592">
        <f>IF(J277="TND",1,IF(J277="EUR",Vertical_Cash_flow!$C$16,IF(J277="USD",Vertical_Cash_flow!$F$16,0)))</f>
        <v>1</v>
      </c>
      <c r="M277" s="593">
        <f t="shared" ref="M277:M340" si="20">K277/L277</f>
        <v>2371.94</v>
      </c>
      <c r="N277" s="589" t="s">
        <v>251</v>
      </c>
      <c r="O277" s="594">
        <v>45348</v>
      </c>
      <c r="P277" s="593">
        <f t="shared" ref="P277:P340" si="21">O277-Q277</f>
        <v>-95</v>
      </c>
      <c r="Q277" s="594">
        <v>45443</v>
      </c>
      <c r="R277" s="593">
        <f t="shared" ref="R277:R340" ca="1" si="22">$W$1-Q277</f>
        <v>-2</v>
      </c>
      <c r="S277" s="589" t="str">
        <f>VLOOKUP(Q277,Mapping!L:M,2,0)</f>
        <v>W22_2024</v>
      </c>
      <c r="T277" s="589" t="str">
        <f t="shared" ref="T277:T340" ca="1" si="23">IF(R277="","",IF(R277&lt;0,"Not Due",IF(AND(R277&gt;=0,R277&lt;=30),"up to 30 days",IF(AND(R277&gt;30,R277&lt;=60),"30-60 days",IF(AND(R277&gt;60,R277&lt;=90),"60-90 days",IF(AND(R277&gt;90,R277&lt;=120),"90-120 days",IF(AND(R277&gt;120,R277&lt;=180),"120-180 days",IF(AND(R277&gt;180,R277&lt;=360),"180-360 days",IF(R277&gt;360,"more than 360 days","ok")))))))))</f>
        <v>Not Due</v>
      </c>
      <c r="W277" s="591"/>
    </row>
    <row r="278" spans="1:23" s="589" customFormat="1" x14ac:dyDescent="0.2">
      <c r="A278" s="589" t="s">
        <v>56</v>
      </c>
      <c r="B278" s="589" t="s">
        <v>592</v>
      </c>
      <c r="C278" s="590" t="s">
        <v>1821</v>
      </c>
      <c r="D278" s="589" t="s">
        <v>100</v>
      </c>
      <c r="E278" s="589" t="s">
        <v>104</v>
      </c>
      <c r="F278" s="589" t="s">
        <v>112</v>
      </c>
      <c r="G278" s="589" t="s">
        <v>51</v>
      </c>
      <c r="H278" s="589" t="s">
        <v>242</v>
      </c>
      <c r="I278" s="589" t="s">
        <v>852</v>
      </c>
      <c r="J278" s="589" t="s">
        <v>35</v>
      </c>
      <c r="K278" s="591">
        <v>1942.634</v>
      </c>
      <c r="L278" s="592">
        <f>IF(J278="TND",1,IF(J278="EUR",Vertical_Cash_flow!$C$16,IF(J278="USD",Vertical_Cash_flow!$F$16,0)))</f>
        <v>1</v>
      </c>
      <c r="M278" s="593">
        <f t="shared" si="20"/>
        <v>1942.634</v>
      </c>
      <c r="N278" s="589" t="s">
        <v>251</v>
      </c>
      <c r="O278" s="594">
        <v>45355</v>
      </c>
      <c r="P278" s="593">
        <f t="shared" si="21"/>
        <v>-88</v>
      </c>
      <c r="Q278" s="594">
        <v>45443</v>
      </c>
      <c r="R278" s="593">
        <f t="shared" ca="1" si="22"/>
        <v>-2</v>
      </c>
      <c r="S278" s="589" t="str">
        <f>VLOOKUP(Q278,Mapping!L:M,2,0)</f>
        <v>W22_2024</v>
      </c>
      <c r="T278" s="589" t="str">
        <f t="shared" ca="1" si="23"/>
        <v>Not Due</v>
      </c>
      <c r="W278" s="591"/>
    </row>
    <row r="279" spans="1:23" s="589" customFormat="1" x14ac:dyDescent="0.2">
      <c r="A279" s="589" t="s">
        <v>56</v>
      </c>
      <c r="B279" s="589" t="s">
        <v>809</v>
      </c>
      <c r="C279" s="590" t="s">
        <v>994</v>
      </c>
      <c r="D279" s="589" t="s">
        <v>100</v>
      </c>
      <c r="E279" s="589" t="s">
        <v>104</v>
      </c>
      <c r="F279" s="589" t="s">
        <v>112</v>
      </c>
      <c r="G279" s="589" t="s">
        <v>51</v>
      </c>
      <c r="H279" s="589" t="s">
        <v>242</v>
      </c>
      <c r="I279" s="589" t="s">
        <v>811</v>
      </c>
      <c r="J279" s="589" t="s">
        <v>35</v>
      </c>
      <c r="K279" s="591">
        <v>8260.9279999999999</v>
      </c>
      <c r="L279" s="592">
        <f>IF(J279="TND",1,IF(J279="EUR",Vertical_Cash_flow!$C$16,IF(J279="USD",Vertical_Cash_flow!$F$16,0)))</f>
        <v>1</v>
      </c>
      <c r="M279" s="593">
        <f t="shared" si="20"/>
        <v>8260.9279999999999</v>
      </c>
      <c r="N279" s="589" t="s">
        <v>251</v>
      </c>
      <c r="O279" s="594">
        <v>45278</v>
      </c>
      <c r="P279" s="593">
        <f t="shared" si="21"/>
        <v>-165</v>
      </c>
      <c r="Q279" s="594">
        <v>45443</v>
      </c>
      <c r="R279" s="593">
        <f t="shared" ca="1" si="22"/>
        <v>-2</v>
      </c>
      <c r="S279" s="589" t="str">
        <f>VLOOKUP(Q279,Mapping!L:M,2,0)</f>
        <v>W22_2024</v>
      </c>
      <c r="T279" s="589" t="str">
        <f t="shared" ca="1" si="23"/>
        <v>Not Due</v>
      </c>
      <c r="W279" s="591"/>
    </row>
    <row r="280" spans="1:23" s="589" customFormat="1" x14ac:dyDescent="0.2">
      <c r="A280" s="589" t="s">
        <v>56</v>
      </c>
      <c r="B280" s="589" t="s">
        <v>515</v>
      </c>
      <c r="C280" s="590" t="s">
        <v>1812</v>
      </c>
      <c r="D280" s="589" t="s">
        <v>100</v>
      </c>
      <c r="E280" s="589" t="s">
        <v>104</v>
      </c>
      <c r="F280" s="589" t="s">
        <v>112</v>
      </c>
      <c r="G280" s="589" t="s">
        <v>51</v>
      </c>
      <c r="H280" s="589" t="s">
        <v>242</v>
      </c>
      <c r="I280" s="589" t="s">
        <v>2181</v>
      </c>
      <c r="J280" s="589" t="s">
        <v>35</v>
      </c>
      <c r="K280" s="591">
        <v>3279.114</v>
      </c>
      <c r="L280" s="592">
        <f>IF(J280="TND",1,IF(J280="EUR",Vertical_Cash_flow!$C$16,IF(J280="USD",Vertical_Cash_flow!$F$16,0)))</f>
        <v>1</v>
      </c>
      <c r="M280" s="593">
        <f t="shared" si="20"/>
        <v>3279.114</v>
      </c>
      <c r="N280" s="589" t="s">
        <v>251</v>
      </c>
      <c r="O280" s="594">
        <v>45373</v>
      </c>
      <c r="P280" s="593">
        <f t="shared" si="21"/>
        <v>-70</v>
      </c>
      <c r="Q280" s="594">
        <v>45443</v>
      </c>
      <c r="R280" s="593">
        <f t="shared" ca="1" si="22"/>
        <v>-2</v>
      </c>
      <c r="S280" s="589" t="str">
        <f>VLOOKUP(Q280,Mapping!L:M,2,0)</f>
        <v>W22_2024</v>
      </c>
      <c r="T280" s="589" t="str">
        <f t="shared" ca="1" si="23"/>
        <v>Not Due</v>
      </c>
      <c r="W280" s="591"/>
    </row>
    <row r="281" spans="1:23" s="589" customFormat="1" x14ac:dyDescent="0.2">
      <c r="A281" s="589" t="s">
        <v>56</v>
      </c>
      <c r="B281" s="589" t="s">
        <v>370</v>
      </c>
      <c r="C281" s="590" t="s">
        <v>1319</v>
      </c>
      <c r="D281" s="589" t="s">
        <v>100</v>
      </c>
      <c r="E281" s="589" t="s">
        <v>104</v>
      </c>
      <c r="F281" s="589" t="s">
        <v>112</v>
      </c>
      <c r="G281" s="589" t="s">
        <v>51</v>
      </c>
      <c r="H281" s="589" t="s">
        <v>242</v>
      </c>
      <c r="I281" s="589" t="s">
        <v>1422</v>
      </c>
      <c r="J281" s="589" t="s">
        <v>35</v>
      </c>
      <c r="K281" s="591">
        <v>610.07799999999997</v>
      </c>
      <c r="L281" s="592">
        <f>IF(J281="TND",1,IF(J281="EUR",Vertical_Cash_flow!$C$16,IF(J281="USD",Vertical_Cash_flow!$F$16,0)))</f>
        <v>1</v>
      </c>
      <c r="M281" s="593">
        <f t="shared" si="20"/>
        <v>610.07799999999997</v>
      </c>
      <c r="N281" s="589" t="s">
        <v>251</v>
      </c>
      <c r="O281" s="594">
        <v>45344</v>
      </c>
      <c r="P281" s="593">
        <f t="shared" si="21"/>
        <v>-99</v>
      </c>
      <c r="Q281" s="594">
        <v>45443</v>
      </c>
      <c r="R281" s="593">
        <f t="shared" ca="1" si="22"/>
        <v>-2</v>
      </c>
      <c r="S281" s="589" t="str">
        <f>VLOOKUP(Q281,Mapping!L:M,2,0)</f>
        <v>W22_2024</v>
      </c>
      <c r="T281" s="589" t="str">
        <f t="shared" ca="1" si="23"/>
        <v>Not Due</v>
      </c>
      <c r="W281" s="591"/>
    </row>
    <row r="282" spans="1:23" s="589" customFormat="1" x14ac:dyDescent="0.2">
      <c r="A282" s="589" t="s">
        <v>56</v>
      </c>
      <c r="B282" s="589" t="s">
        <v>755</v>
      </c>
      <c r="C282" s="590" t="s">
        <v>1318</v>
      </c>
      <c r="D282" s="589" t="s">
        <v>100</v>
      </c>
      <c r="E282" s="589" t="s">
        <v>104</v>
      </c>
      <c r="F282" s="589" t="s">
        <v>112</v>
      </c>
      <c r="G282" s="589" t="s">
        <v>51</v>
      </c>
      <c r="H282" s="589" t="s">
        <v>242</v>
      </c>
      <c r="I282" s="589" t="s">
        <v>1421</v>
      </c>
      <c r="J282" s="589" t="s">
        <v>35</v>
      </c>
      <c r="K282" s="591">
        <v>3580.6210000000001</v>
      </c>
      <c r="L282" s="592">
        <f>IF(J282="TND",1,IF(J282="EUR",Vertical_Cash_flow!$C$16,IF(J282="USD",Vertical_Cash_flow!$F$16,0)))</f>
        <v>1</v>
      </c>
      <c r="M282" s="593">
        <f t="shared" si="20"/>
        <v>3580.6210000000001</v>
      </c>
      <c r="N282" s="589" t="s">
        <v>251</v>
      </c>
      <c r="O282" s="594">
        <v>45345</v>
      </c>
      <c r="P282" s="593">
        <f t="shared" si="21"/>
        <v>-98</v>
      </c>
      <c r="Q282" s="594">
        <v>45443</v>
      </c>
      <c r="R282" s="593">
        <f t="shared" ca="1" si="22"/>
        <v>-2</v>
      </c>
      <c r="S282" s="589" t="str">
        <f>VLOOKUP(Q282,Mapping!L:M,2,0)</f>
        <v>W22_2024</v>
      </c>
      <c r="T282" s="589" t="str">
        <f t="shared" ca="1" si="23"/>
        <v>Not Due</v>
      </c>
      <c r="W282" s="591"/>
    </row>
    <row r="283" spans="1:23" s="589" customFormat="1" x14ac:dyDescent="0.2">
      <c r="A283" s="589" t="s">
        <v>56</v>
      </c>
      <c r="B283" s="589" t="s">
        <v>356</v>
      </c>
      <c r="C283" s="590" t="s">
        <v>1813</v>
      </c>
      <c r="D283" s="589" t="s">
        <v>100</v>
      </c>
      <c r="E283" s="589" t="s">
        <v>104</v>
      </c>
      <c r="F283" s="589" t="s">
        <v>112</v>
      </c>
      <c r="G283" s="589" t="s">
        <v>51</v>
      </c>
      <c r="H283" s="589" t="s">
        <v>242</v>
      </c>
      <c r="I283" s="589" t="s">
        <v>2182</v>
      </c>
      <c r="J283" s="589" t="s">
        <v>35</v>
      </c>
      <c r="K283" s="591">
        <v>2813.0439999999999</v>
      </c>
      <c r="L283" s="592">
        <f>IF(J283="TND",1,IF(J283="EUR",Vertical_Cash_flow!$C$16,IF(J283="USD",Vertical_Cash_flow!$F$16,0)))</f>
        <v>1</v>
      </c>
      <c r="M283" s="593">
        <f t="shared" si="20"/>
        <v>2813.0439999999999</v>
      </c>
      <c r="N283" s="589" t="s">
        <v>251</v>
      </c>
      <c r="O283" s="594">
        <v>45376</v>
      </c>
      <c r="P283" s="593">
        <f t="shared" si="21"/>
        <v>-67</v>
      </c>
      <c r="Q283" s="594">
        <v>45443</v>
      </c>
      <c r="R283" s="593">
        <f t="shared" ca="1" si="22"/>
        <v>-2</v>
      </c>
      <c r="S283" s="589" t="str">
        <f>VLOOKUP(Q283,Mapping!L:M,2,0)</f>
        <v>W22_2024</v>
      </c>
      <c r="T283" s="589" t="str">
        <f t="shared" ca="1" si="23"/>
        <v>Not Due</v>
      </c>
      <c r="W283" s="591"/>
    </row>
    <row r="284" spans="1:23" s="589" customFormat="1" x14ac:dyDescent="0.2">
      <c r="A284" s="589" t="s">
        <v>56</v>
      </c>
      <c r="B284" s="589" t="s">
        <v>849</v>
      </c>
      <c r="C284" s="590" t="s">
        <v>3199</v>
      </c>
      <c r="D284" s="589" t="s">
        <v>100</v>
      </c>
      <c r="E284" s="589" t="s">
        <v>104</v>
      </c>
      <c r="F284" s="589" t="s">
        <v>112</v>
      </c>
      <c r="G284" s="589" t="s">
        <v>51</v>
      </c>
      <c r="H284" s="589" t="s">
        <v>242</v>
      </c>
      <c r="I284" s="589" t="s">
        <v>1009</v>
      </c>
      <c r="J284" s="589" t="s">
        <v>35</v>
      </c>
      <c r="K284" s="591">
        <v>942.30200000000002</v>
      </c>
      <c r="L284" s="592">
        <f>IF(J284="TND",1,IF(J284="EUR",Vertical_Cash_flow!$C$16,IF(J284="USD",Vertical_Cash_flow!$F$16,0)))</f>
        <v>1</v>
      </c>
      <c r="M284" s="593">
        <f t="shared" si="20"/>
        <v>942.30200000000002</v>
      </c>
      <c r="N284" s="589" t="s">
        <v>251</v>
      </c>
      <c r="O284" s="594">
        <v>45419</v>
      </c>
      <c r="P284" s="593">
        <f t="shared" si="21"/>
        <v>-24</v>
      </c>
      <c r="Q284" s="594">
        <v>45443</v>
      </c>
      <c r="R284" s="593">
        <f t="shared" ca="1" si="22"/>
        <v>-2</v>
      </c>
      <c r="S284" s="589" t="str">
        <f>VLOOKUP(Q284,Mapping!L:M,2,0)</f>
        <v>W22_2024</v>
      </c>
      <c r="T284" s="589" t="str">
        <f t="shared" ca="1" si="23"/>
        <v>Not Due</v>
      </c>
      <c r="W284" s="591"/>
    </row>
    <row r="285" spans="1:23" s="589" customFormat="1" x14ac:dyDescent="0.2">
      <c r="A285" s="589" t="s">
        <v>56</v>
      </c>
      <c r="B285" s="589" t="s">
        <v>364</v>
      </c>
      <c r="C285" s="590" t="s">
        <v>1814</v>
      </c>
      <c r="D285" s="589" t="s">
        <v>100</v>
      </c>
      <c r="E285" s="589" t="s">
        <v>104</v>
      </c>
      <c r="F285" s="589" t="s">
        <v>112</v>
      </c>
      <c r="G285" s="589" t="s">
        <v>51</v>
      </c>
      <c r="H285" s="589" t="s">
        <v>242</v>
      </c>
      <c r="I285" s="589" t="s">
        <v>2183</v>
      </c>
      <c r="J285" s="589" t="s">
        <v>35</v>
      </c>
      <c r="K285" s="591">
        <v>5295.0889999999999</v>
      </c>
      <c r="L285" s="592">
        <f>IF(J285="TND",1,IF(J285="EUR",Vertical_Cash_flow!$C$16,IF(J285="USD",Vertical_Cash_flow!$F$16,0)))</f>
        <v>1</v>
      </c>
      <c r="M285" s="593">
        <f t="shared" si="20"/>
        <v>5295.0889999999999</v>
      </c>
      <c r="N285" s="589" t="s">
        <v>251</v>
      </c>
      <c r="O285" s="594">
        <v>45376</v>
      </c>
      <c r="P285" s="593">
        <f t="shared" si="21"/>
        <v>-67</v>
      </c>
      <c r="Q285" s="594">
        <v>45443</v>
      </c>
      <c r="R285" s="593">
        <f t="shared" ca="1" si="22"/>
        <v>-2</v>
      </c>
      <c r="S285" s="589" t="str">
        <f>VLOOKUP(Q285,Mapping!L:M,2,0)</f>
        <v>W22_2024</v>
      </c>
      <c r="T285" s="589" t="str">
        <f t="shared" ca="1" si="23"/>
        <v>Not Due</v>
      </c>
      <c r="W285" s="591"/>
    </row>
    <row r="286" spans="1:23" s="589" customFormat="1" x14ac:dyDescent="0.2">
      <c r="A286" s="589" t="s">
        <v>56</v>
      </c>
      <c r="B286" s="589" t="s">
        <v>879</v>
      </c>
      <c r="C286" s="590" t="s">
        <v>1815</v>
      </c>
      <c r="D286" s="589" t="s">
        <v>100</v>
      </c>
      <c r="E286" s="589" t="s">
        <v>104</v>
      </c>
      <c r="F286" s="589" t="s">
        <v>112</v>
      </c>
      <c r="G286" s="589" t="s">
        <v>51</v>
      </c>
      <c r="H286" s="589" t="s">
        <v>242</v>
      </c>
      <c r="I286" s="589" t="s">
        <v>2184</v>
      </c>
      <c r="J286" s="589" t="s">
        <v>35</v>
      </c>
      <c r="K286" s="591">
        <v>774.51199999999994</v>
      </c>
      <c r="L286" s="592">
        <f>IF(J286="TND",1,IF(J286="EUR",Vertical_Cash_flow!$C$16,IF(J286="USD",Vertical_Cash_flow!$F$16,0)))</f>
        <v>1</v>
      </c>
      <c r="M286" s="593">
        <f t="shared" si="20"/>
        <v>774.51199999999994</v>
      </c>
      <c r="N286" s="589" t="s">
        <v>251</v>
      </c>
      <c r="O286" s="594">
        <v>45376</v>
      </c>
      <c r="P286" s="593">
        <f t="shared" si="21"/>
        <v>-67</v>
      </c>
      <c r="Q286" s="594">
        <v>45443</v>
      </c>
      <c r="R286" s="593">
        <f t="shared" ca="1" si="22"/>
        <v>-2</v>
      </c>
      <c r="S286" s="589" t="str">
        <f>VLOOKUP(Q286,Mapping!L:M,2,0)</f>
        <v>W22_2024</v>
      </c>
      <c r="T286" s="589" t="str">
        <f t="shared" ca="1" si="23"/>
        <v>Not Due</v>
      </c>
      <c r="W286" s="591"/>
    </row>
    <row r="287" spans="1:23" s="589" customFormat="1" x14ac:dyDescent="0.2">
      <c r="A287" s="589" t="s">
        <v>56</v>
      </c>
      <c r="B287" s="589" t="s">
        <v>287</v>
      </c>
      <c r="C287" s="590" t="s">
        <v>1816</v>
      </c>
      <c r="D287" s="589" t="s">
        <v>100</v>
      </c>
      <c r="E287" s="589" t="s">
        <v>104</v>
      </c>
      <c r="F287" s="589" t="s">
        <v>112</v>
      </c>
      <c r="G287" s="589" t="s">
        <v>51</v>
      </c>
      <c r="H287" s="589" t="s">
        <v>242</v>
      </c>
      <c r="I287" s="589" t="s">
        <v>908</v>
      </c>
      <c r="J287" s="589" t="s">
        <v>35</v>
      </c>
      <c r="K287" s="591">
        <v>323.19299999999998</v>
      </c>
      <c r="L287" s="592">
        <f>IF(J287="TND",1,IF(J287="EUR",Vertical_Cash_flow!$C$16,IF(J287="USD",Vertical_Cash_flow!$F$16,0)))</f>
        <v>1</v>
      </c>
      <c r="M287" s="593">
        <f t="shared" si="20"/>
        <v>323.19299999999998</v>
      </c>
      <c r="N287" s="589" t="s">
        <v>251</v>
      </c>
      <c r="O287" s="594">
        <v>45376</v>
      </c>
      <c r="P287" s="593">
        <f t="shared" si="21"/>
        <v>-67</v>
      </c>
      <c r="Q287" s="594">
        <v>45443</v>
      </c>
      <c r="R287" s="593">
        <f t="shared" ca="1" si="22"/>
        <v>-2</v>
      </c>
      <c r="S287" s="589" t="str">
        <f>VLOOKUP(Q287,Mapping!L:M,2,0)</f>
        <v>W22_2024</v>
      </c>
      <c r="T287" s="589" t="str">
        <f t="shared" ca="1" si="23"/>
        <v>Not Due</v>
      </c>
      <c r="W287" s="591"/>
    </row>
    <row r="288" spans="1:23" s="589" customFormat="1" x14ac:dyDescent="0.2">
      <c r="A288" s="589" t="s">
        <v>56</v>
      </c>
      <c r="B288" s="589" t="s">
        <v>295</v>
      </c>
      <c r="C288" s="590" t="s">
        <v>1827</v>
      </c>
      <c r="D288" s="589" t="s">
        <v>100</v>
      </c>
      <c r="E288" s="589" t="s">
        <v>104</v>
      </c>
      <c r="F288" s="589" t="s">
        <v>112</v>
      </c>
      <c r="G288" s="589" t="s">
        <v>51</v>
      </c>
      <c r="H288" s="589" t="s">
        <v>242</v>
      </c>
      <c r="I288" s="589" t="s">
        <v>2192</v>
      </c>
      <c r="J288" s="589" t="s">
        <v>35</v>
      </c>
      <c r="K288" s="591">
        <v>1189.6199999999999</v>
      </c>
      <c r="L288" s="592">
        <f>IF(J288="TND",1,IF(J288="EUR",Vertical_Cash_flow!$C$16,IF(J288="USD",Vertical_Cash_flow!$F$16,0)))</f>
        <v>1</v>
      </c>
      <c r="M288" s="593">
        <f t="shared" si="20"/>
        <v>1189.6199999999999</v>
      </c>
      <c r="N288" s="589" t="s">
        <v>251</v>
      </c>
      <c r="O288" s="594">
        <v>45351</v>
      </c>
      <c r="P288" s="593">
        <f t="shared" si="21"/>
        <v>-92</v>
      </c>
      <c r="Q288" s="594">
        <v>45443</v>
      </c>
      <c r="R288" s="593">
        <f t="shared" ca="1" si="22"/>
        <v>-2</v>
      </c>
      <c r="S288" s="589" t="str">
        <f>VLOOKUP(Q288,Mapping!L:M,2,0)</f>
        <v>W22_2024</v>
      </c>
      <c r="T288" s="589" t="str">
        <f t="shared" ca="1" si="23"/>
        <v>Not Due</v>
      </c>
      <c r="W288" s="591"/>
    </row>
    <row r="289" spans="1:23" s="589" customFormat="1" x14ac:dyDescent="0.2">
      <c r="A289" s="589" t="s">
        <v>56</v>
      </c>
      <c r="B289" s="589" t="s">
        <v>596</v>
      </c>
      <c r="C289" s="590" t="s">
        <v>1817</v>
      </c>
      <c r="D289" s="589" t="s">
        <v>100</v>
      </c>
      <c r="E289" s="589" t="s">
        <v>104</v>
      </c>
      <c r="F289" s="589" t="s">
        <v>112</v>
      </c>
      <c r="G289" s="589" t="s">
        <v>51</v>
      </c>
      <c r="H289" s="589" t="s">
        <v>242</v>
      </c>
      <c r="I289" s="589" t="s">
        <v>2185</v>
      </c>
      <c r="J289" s="589" t="s">
        <v>35</v>
      </c>
      <c r="K289" s="591">
        <v>1253.4760000000001</v>
      </c>
      <c r="L289" s="592">
        <f>IF(J289="TND",1,IF(J289="EUR",Vertical_Cash_flow!$C$16,IF(J289="USD",Vertical_Cash_flow!$F$16,0)))</f>
        <v>1</v>
      </c>
      <c r="M289" s="593">
        <f t="shared" si="20"/>
        <v>1253.4760000000001</v>
      </c>
      <c r="N289" s="589" t="s">
        <v>251</v>
      </c>
      <c r="O289" s="594">
        <v>45376</v>
      </c>
      <c r="P289" s="593">
        <f t="shared" si="21"/>
        <v>-67</v>
      </c>
      <c r="Q289" s="594">
        <v>45443</v>
      </c>
      <c r="R289" s="593">
        <f t="shared" ca="1" si="22"/>
        <v>-2</v>
      </c>
      <c r="S289" s="589" t="str">
        <f>VLOOKUP(Q289,Mapping!L:M,2,0)</f>
        <v>W22_2024</v>
      </c>
      <c r="T289" s="589" t="str">
        <f t="shared" ca="1" si="23"/>
        <v>Not Due</v>
      </c>
      <c r="W289" s="591"/>
    </row>
    <row r="290" spans="1:23" s="589" customFormat="1" x14ac:dyDescent="0.2">
      <c r="A290" s="589" t="s">
        <v>56</v>
      </c>
      <c r="B290" s="589" t="s">
        <v>358</v>
      </c>
      <c r="C290" s="590" t="s">
        <v>1317</v>
      </c>
      <c r="D290" s="589" t="s">
        <v>100</v>
      </c>
      <c r="E290" s="589" t="s">
        <v>104</v>
      </c>
      <c r="F290" s="589" t="s">
        <v>112</v>
      </c>
      <c r="G290" s="589" t="s">
        <v>51</v>
      </c>
      <c r="H290" s="589" t="s">
        <v>242</v>
      </c>
      <c r="I290" s="589" t="s">
        <v>1420</v>
      </c>
      <c r="J290" s="589" t="s">
        <v>35</v>
      </c>
      <c r="K290" s="591">
        <v>2370.663</v>
      </c>
      <c r="L290" s="592">
        <f>IF(J290="TND",1,IF(J290="EUR",Vertical_Cash_flow!$C$16,IF(J290="USD",Vertical_Cash_flow!$F$16,0)))</f>
        <v>1</v>
      </c>
      <c r="M290" s="593">
        <f t="shared" si="20"/>
        <v>2370.663</v>
      </c>
      <c r="N290" s="589" t="s">
        <v>251</v>
      </c>
      <c r="O290" s="594">
        <v>45342</v>
      </c>
      <c r="P290" s="593">
        <f t="shared" si="21"/>
        <v>-101</v>
      </c>
      <c r="Q290" s="594">
        <v>45443</v>
      </c>
      <c r="R290" s="593">
        <f t="shared" ca="1" si="22"/>
        <v>-2</v>
      </c>
      <c r="S290" s="589" t="str">
        <f>VLOOKUP(Q290,Mapping!L:M,2,0)</f>
        <v>W22_2024</v>
      </c>
      <c r="T290" s="589" t="str">
        <f t="shared" ca="1" si="23"/>
        <v>Not Due</v>
      </c>
      <c r="W290" s="591"/>
    </row>
    <row r="291" spans="1:23" s="589" customFormat="1" x14ac:dyDescent="0.2">
      <c r="A291" s="589" t="s">
        <v>56</v>
      </c>
      <c r="B291" s="589" t="s">
        <v>355</v>
      </c>
      <c r="C291" s="590" t="s">
        <v>1323</v>
      </c>
      <c r="D291" s="589" t="s">
        <v>100</v>
      </c>
      <c r="E291" s="589" t="s">
        <v>104</v>
      </c>
      <c r="F291" s="589" t="s">
        <v>112</v>
      </c>
      <c r="G291" s="589" t="s">
        <v>51</v>
      </c>
      <c r="H291" s="589" t="s">
        <v>242</v>
      </c>
      <c r="I291" s="589" t="s">
        <v>1426</v>
      </c>
      <c r="J291" s="589" t="s">
        <v>35</v>
      </c>
      <c r="K291" s="591">
        <v>8825.0879999999997</v>
      </c>
      <c r="L291" s="592">
        <f>IF(J291="TND",1,IF(J291="EUR",Vertical_Cash_flow!$C$16,IF(J291="USD",Vertical_Cash_flow!$F$16,0)))</f>
        <v>1</v>
      </c>
      <c r="M291" s="593">
        <f t="shared" si="20"/>
        <v>8825.0879999999997</v>
      </c>
      <c r="N291" s="589" t="s">
        <v>251</v>
      </c>
      <c r="O291" s="594">
        <v>45342</v>
      </c>
      <c r="P291" s="593">
        <f t="shared" si="21"/>
        <v>-101</v>
      </c>
      <c r="Q291" s="594">
        <v>45443</v>
      </c>
      <c r="R291" s="593">
        <f t="shared" ca="1" si="22"/>
        <v>-2</v>
      </c>
      <c r="S291" s="589" t="str">
        <f>VLOOKUP(Q291,Mapping!L:M,2,0)</f>
        <v>W22_2024</v>
      </c>
      <c r="T291" s="589" t="str">
        <f t="shared" ca="1" si="23"/>
        <v>Not Due</v>
      </c>
      <c r="W291" s="591"/>
    </row>
    <row r="292" spans="1:23" s="589" customFormat="1" x14ac:dyDescent="0.2">
      <c r="A292" s="589" t="s">
        <v>56</v>
      </c>
      <c r="B292" s="589" t="s">
        <v>312</v>
      </c>
      <c r="C292" s="590" t="s">
        <v>1818</v>
      </c>
      <c r="D292" s="589" t="s">
        <v>100</v>
      </c>
      <c r="E292" s="589" t="s">
        <v>104</v>
      </c>
      <c r="F292" s="589" t="s">
        <v>112</v>
      </c>
      <c r="G292" s="589" t="s">
        <v>51</v>
      </c>
      <c r="H292" s="589" t="s">
        <v>242</v>
      </c>
      <c r="I292" s="589" t="s">
        <v>2186</v>
      </c>
      <c r="J292" s="589" t="s">
        <v>35</v>
      </c>
      <c r="K292" s="591">
        <v>1339.0920000000001</v>
      </c>
      <c r="L292" s="592">
        <f>IF(J292="TND",1,IF(J292="EUR",Vertical_Cash_flow!$C$16,IF(J292="USD",Vertical_Cash_flow!$F$16,0)))</f>
        <v>1</v>
      </c>
      <c r="M292" s="593">
        <f t="shared" si="20"/>
        <v>1339.0920000000001</v>
      </c>
      <c r="N292" s="589" t="s">
        <v>251</v>
      </c>
      <c r="O292" s="594">
        <v>45377</v>
      </c>
      <c r="P292" s="593">
        <f t="shared" si="21"/>
        <v>-66</v>
      </c>
      <c r="Q292" s="594">
        <v>45443</v>
      </c>
      <c r="R292" s="593">
        <f t="shared" ca="1" si="22"/>
        <v>-2</v>
      </c>
      <c r="S292" s="589" t="str">
        <f>VLOOKUP(Q292,Mapping!L:M,2,0)</f>
        <v>W22_2024</v>
      </c>
      <c r="T292" s="589" t="str">
        <f t="shared" ca="1" si="23"/>
        <v>Not Due</v>
      </c>
      <c r="W292" s="591"/>
    </row>
    <row r="293" spans="1:23" s="589" customFormat="1" x14ac:dyDescent="0.2">
      <c r="A293" s="589" t="s">
        <v>56</v>
      </c>
      <c r="B293" s="589" t="s">
        <v>860</v>
      </c>
      <c r="C293" s="590" t="s">
        <v>1316</v>
      </c>
      <c r="D293" s="589" t="s">
        <v>100</v>
      </c>
      <c r="E293" s="589" t="s">
        <v>104</v>
      </c>
      <c r="F293" s="589" t="s">
        <v>112</v>
      </c>
      <c r="G293" s="589" t="s">
        <v>51</v>
      </c>
      <c r="H293" s="589" t="s">
        <v>242</v>
      </c>
      <c r="I293" s="589" t="s">
        <v>880</v>
      </c>
      <c r="J293" s="589" t="s">
        <v>35</v>
      </c>
      <c r="K293" s="591">
        <v>1068.1369999999999</v>
      </c>
      <c r="L293" s="592">
        <f>IF(J293="TND",1,IF(J293="EUR",Vertical_Cash_flow!$C$16,IF(J293="USD",Vertical_Cash_flow!$F$16,0)))</f>
        <v>1</v>
      </c>
      <c r="M293" s="593">
        <f t="shared" si="20"/>
        <v>1068.1369999999999</v>
      </c>
      <c r="N293" s="589" t="s">
        <v>251</v>
      </c>
      <c r="O293" s="594">
        <v>45336</v>
      </c>
      <c r="P293" s="593">
        <f t="shared" si="21"/>
        <v>-107</v>
      </c>
      <c r="Q293" s="594">
        <v>45443</v>
      </c>
      <c r="R293" s="593">
        <f t="shared" ca="1" si="22"/>
        <v>-2</v>
      </c>
      <c r="S293" s="589" t="str">
        <f>VLOOKUP(Q293,Mapping!L:M,2,0)</f>
        <v>W22_2024</v>
      </c>
      <c r="T293" s="589" t="str">
        <f t="shared" ca="1" si="23"/>
        <v>Not Due</v>
      </c>
      <c r="W293" s="591"/>
    </row>
    <row r="294" spans="1:23" s="589" customFormat="1" x14ac:dyDescent="0.2">
      <c r="A294" s="589" t="s">
        <v>56</v>
      </c>
      <c r="B294" s="589" t="s">
        <v>600</v>
      </c>
      <c r="C294" s="590" t="s">
        <v>1807</v>
      </c>
      <c r="D294" s="589" t="s">
        <v>100</v>
      </c>
      <c r="E294" s="589" t="s">
        <v>104</v>
      </c>
      <c r="F294" s="589" t="s">
        <v>112</v>
      </c>
      <c r="G294" s="589" t="s">
        <v>51</v>
      </c>
      <c r="H294" s="589" t="s">
        <v>242</v>
      </c>
      <c r="I294" s="589" t="s">
        <v>1461</v>
      </c>
      <c r="J294" s="589" t="s">
        <v>35</v>
      </c>
      <c r="K294" s="591">
        <v>1016.189</v>
      </c>
      <c r="L294" s="592">
        <f>IF(J294="TND",1,IF(J294="EUR",Vertical_Cash_flow!$C$16,IF(J294="USD",Vertical_Cash_flow!$F$16,0)))</f>
        <v>1</v>
      </c>
      <c r="M294" s="593">
        <f t="shared" si="20"/>
        <v>1016.189</v>
      </c>
      <c r="N294" s="589" t="s">
        <v>251</v>
      </c>
      <c r="O294" s="594">
        <v>45377</v>
      </c>
      <c r="P294" s="593">
        <f t="shared" si="21"/>
        <v>-66</v>
      </c>
      <c r="Q294" s="594">
        <v>45443</v>
      </c>
      <c r="R294" s="593">
        <f t="shared" ca="1" si="22"/>
        <v>-2</v>
      </c>
      <c r="S294" s="589" t="str">
        <f>VLOOKUP(Q294,Mapping!L:M,2,0)</f>
        <v>W22_2024</v>
      </c>
      <c r="T294" s="589" t="str">
        <f t="shared" ca="1" si="23"/>
        <v>Not Due</v>
      </c>
      <c r="W294" s="591"/>
    </row>
    <row r="295" spans="1:23" s="589" customFormat="1" x14ac:dyDescent="0.2">
      <c r="A295" s="589" t="s">
        <v>56</v>
      </c>
      <c r="B295" s="589" t="s">
        <v>361</v>
      </c>
      <c r="C295" s="590" t="s">
        <v>1321</v>
      </c>
      <c r="D295" s="589" t="s">
        <v>100</v>
      </c>
      <c r="E295" s="589" t="s">
        <v>104</v>
      </c>
      <c r="F295" s="589" t="s">
        <v>112</v>
      </c>
      <c r="G295" s="589" t="s">
        <v>51</v>
      </c>
      <c r="H295" s="589" t="s">
        <v>242</v>
      </c>
      <c r="I295" s="589" t="s">
        <v>1424</v>
      </c>
      <c r="J295" s="589" t="s">
        <v>35</v>
      </c>
      <c r="K295" s="591">
        <v>2425</v>
      </c>
      <c r="L295" s="592">
        <f>IF(J295="TND",1,IF(J295="EUR",Vertical_Cash_flow!$C$16,IF(J295="USD",Vertical_Cash_flow!$F$16,0)))</f>
        <v>1</v>
      </c>
      <c r="M295" s="593">
        <f t="shared" si="20"/>
        <v>2425</v>
      </c>
      <c r="N295" s="589" t="s">
        <v>251</v>
      </c>
      <c r="O295" s="594">
        <v>45334</v>
      </c>
      <c r="P295" s="593">
        <f t="shared" si="21"/>
        <v>-109</v>
      </c>
      <c r="Q295" s="594">
        <v>45443</v>
      </c>
      <c r="R295" s="593">
        <f t="shared" ca="1" si="22"/>
        <v>-2</v>
      </c>
      <c r="S295" s="589" t="str">
        <f>VLOOKUP(Q295,Mapping!L:M,2,0)</f>
        <v>W22_2024</v>
      </c>
      <c r="T295" s="589" t="str">
        <f t="shared" ca="1" si="23"/>
        <v>Not Due</v>
      </c>
      <c r="W295" s="591"/>
    </row>
    <row r="296" spans="1:23" s="589" customFormat="1" x14ac:dyDescent="0.2">
      <c r="A296" s="589" t="s">
        <v>56</v>
      </c>
      <c r="B296" s="589" t="s">
        <v>353</v>
      </c>
      <c r="C296" s="590" t="s">
        <v>1094</v>
      </c>
      <c r="D296" s="589" t="s">
        <v>100</v>
      </c>
      <c r="E296" s="589" t="s">
        <v>104</v>
      </c>
      <c r="F296" s="589" t="s">
        <v>112</v>
      </c>
      <c r="G296" s="589" t="s">
        <v>51</v>
      </c>
      <c r="H296" s="589" t="s">
        <v>242</v>
      </c>
      <c r="I296" s="589" t="s">
        <v>1169</v>
      </c>
      <c r="J296" s="589" t="s">
        <v>35</v>
      </c>
      <c r="K296" s="591">
        <v>1336.576</v>
      </c>
      <c r="L296" s="592">
        <f>IF(J296="TND",1,IF(J296="EUR",Vertical_Cash_flow!$C$16,IF(J296="USD",Vertical_Cash_flow!$F$16,0)))</f>
        <v>1</v>
      </c>
      <c r="M296" s="593">
        <f t="shared" si="20"/>
        <v>1336.576</v>
      </c>
      <c r="N296" s="589" t="s">
        <v>251</v>
      </c>
      <c r="O296" s="594">
        <v>45315</v>
      </c>
      <c r="P296" s="593">
        <f t="shared" si="21"/>
        <v>-128</v>
      </c>
      <c r="Q296" s="594">
        <v>45443</v>
      </c>
      <c r="R296" s="593">
        <f t="shared" ca="1" si="22"/>
        <v>-2</v>
      </c>
      <c r="S296" s="589" t="str">
        <f>VLOOKUP(Q296,Mapping!L:M,2,0)</f>
        <v>W22_2024</v>
      </c>
      <c r="T296" s="589" t="str">
        <f t="shared" ca="1" si="23"/>
        <v>Not Due</v>
      </c>
      <c r="W296" s="591"/>
    </row>
    <row r="297" spans="1:23" s="589" customFormat="1" x14ac:dyDescent="0.2">
      <c r="A297" s="589" t="s">
        <v>56</v>
      </c>
      <c r="B297" s="589" t="s">
        <v>633</v>
      </c>
      <c r="C297" s="590" t="s">
        <v>1808</v>
      </c>
      <c r="D297" s="589" t="s">
        <v>100</v>
      </c>
      <c r="E297" s="589" t="s">
        <v>104</v>
      </c>
      <c r="F297" s="589" t="s">
        <v>112</v>
      </c>
      <c r="G297" s="589" t="s">
        <v>51</v>
      </c>
      <c r="H297" s="589" t="s">
        <v>242</v>
      </c>
      <c r="I297" s="589" t="s">
        <v>2178</v>
      </c>
      <c r="J297" s="589" t="s">
        <v>35</v>
      </c>
      <c r="K297" s="591">
        <v>3376.14</v>
      </c>
      <c r="L297" s="592">
        <f>IF(J297="TND",1,IF(J297="EUR",Vertical_Cash_flow!$C$16,IF(J297="USD",Vertical_Cash_flow!$F$16,0)))</f>
        <v>1</v>
      </c>
      <c r="M297" s="593">
        <f t="shared" si="20"/>
        <v>3376.14</v>
      </c>
      <c r="N297" s="589" t="s">
        <v>251</v>
      </c>
      <c r="O297" s="594">
        <v>45369</v>
      </c>
      <c r="P297" s="593">
        <f t="shared" si="21"/>
        <v>-74</v>
      </c>
      <c r="Q297" s="594">
        <v>45443</v>
      </c>
      <c r="R297" s="593">
        <f t="shared" ca="1" si="22"/>
        <v>-2</v>
      </c>
      <c r="S297" s="589" t="str">
        <f>VLOOKUP(Q297,Mapping!L:M,2,0)</f>
        <v>W22_2024</v>
      </c>
      <c r="T297" s="589" t="str">
        <f t="shared" ca="1" si="23"/>
        <v>Not Due</v>
      </c>
      <c r="W297" s="591"/>
    </row>
    <row r="298" spans="1:23" s="589" customFormat="1" x14ac:dyDescent="0.2">
      <c r="A298" s="589" t="s">
        <v>56</v>
      </c>
      <c r="B298" s="589" t="s">
        <v>847</v>
      </c>
      <c r="C298" s="590" t="s">
        <v>1811</v>
      </c>
      <c r="D298" s="589" t="s">
        <v>100</v>
      </c>
      <c r="E298" s="589" t="s">
        <v>104</v>
      </c>
      <c r="F298" s="589" t="s">
        <v>112</v>
      </c>
      <c r="G298" s="589" t="s">
        <v>51</v>
      </c>
      <c r="H298" s="589" t="s">
        <v>242</v>
      </c>
      <c r="I298" s="589" t="s">
        <v>2180</v>
      </c>
      <c r="J298" s="589" t="s">
        <v>35</v>
      </c>
      <c r="K298" s="591">
        <v>2208.69</v>
      </c>
      <c r="L298" s="592">
        <f>IF(J298="TND",1,IF(J298="EUR",Vertical_Cash_flow!$C$16,IF(J298="USD",Vertical_Cash_flow!$F$16,0)))</f>
        <v>1</v>
      </c>
      <c r="M298" s="593">
        <f t="shared" si="20"/>
        <v>2208.69</v>
      </c>
      <c r="N298" s="589" t="s">
        <v>251</v>
      </c>
      <c r="O298" s="594">
        <v>45365</v>
      </c>
      <c r="P298" s="593">
        <f t="shared" si="21"/>
        <v>-78</v>
      </c>
      <c r="Q298" s="594">
        <v>45443</v>
      </c>
      <c r="R298" s="593">
        <f t="shared" ca="1" si="22"/>
        <v>-2</v>
      </c>
      <c r="S298" s="589" t="str">
        <f>VLOOKUP(Q298,Mapping!L:M,2,0)</f>
        <v>W22_2024</v>
      </c>
      <c r="T298" s="589" t="str">
        <f t="shared" ca="1" si="23"/>
        <v>Not Due</v>
      </c>
      <c r="W298" s="591"/>
    </row>
    <row r="299" spans="1:23" s="589" customFormat="1" x14ac:dyDescent="0.2">
      <c r="A299" s="589" t="s">
        <v>56</v>
      </c>
      <c r="B299" s="589" t="s">
        <v>1487</v>
      </c>
      <c r="C299" s="590" t="s">
        <v>1820</v>
      </c>
      <c r="D299" s="589" t="s">
        <v>100</v>
      </c>
      <c r="E299" s="589" t="s">
        <v>104</v>
      </c>
      <c r="F299" s="589" t="s">
        <v>112</v>
      </c>
      <c r="G299" s="589" t="s">
        <v>51</v>
      </c>
      <c r="H299" s="589" t="s">
        <v>242</v>
      </c>
      <c r="I299" s="589" t="s">
        <v>2188</v>
      </c>
      <c r="J299" s="589" t="s">
        <v>35</v>
      </c>
      <c r="K299" s="591">
        <v>1609.222</v>
      </c>
      <c r="L299" s="592">
        <f>IF(J299="TND",1,IF(J299="EUR",Vertical_Cash_flow!$C$16,IF(J299="USD",Vertical_Cash_flow!$F$16,0)))</f>
        <v>1</v>
      </c>
      <c r="M299" s="593">
        <f t="shared" si="20"/>
        <v>1609.222</v>
      </c>
      <c r="N299" s="589" t="s">
        <v>251</v>
      </c>
      <c r="O299" s="594">
        <v>45378</v>
      </c>
      <c r="P299" s="593">
        <f t="shared" si="21"/>
        <v>-65</v>
      </c>
      <c r="Q299" s="594">
        <v>45443</v>
      </c>
      <c r="R299" s="593">
        <f t="shared" ca="1" si="22"/>
        <v>-2</v>
      </c>
      <c r="S299" s="589" t="str">
        <f>VLOOKUP(Q299,Mapping!L:M,2,0)</f>
        <v>W22_2024</v>
      </c>
      <c r="T299" s="589" t="str">
        <f t="shared" ca="1" si="23"/>
        <v>Not Due</v>
      </c>
      <c r="W299" s="591"/>
    </row>
    <row r="300" spans="1:23" s="589" customFormat="1" x14ac:dyDescent="0.2">
      <c r="A300" s="589" t="s">
        <v>56</v>
      </c>
      <c r="B300" s="589" t="s">
        <v>1488</v>
      </c>
      <c r="C300" s="590" t="s">
        <v>1829</v>
      </c>
      <c r="D300" s="589" t="s">
        <v>100</v>
      </c>
      <c r="E300" s="589" t="s">
        <v>104</v>
      </c>
      <c r="F300" s="589" t="s">
        <v>112</v>
      </c>
      <c r="G300" s="589" t="s">
        <v>51</v>
      </c>
      <c r="H300" s="589" t="s">
        <v>242</v>
      </c>
      <c r="I300" s="589" t="s">
        <v>2194</v>
      </c>
      <c r="J300" s="589" t="s">
        <v>35</v>
      </c>
      <c r="K300" s="591">
        <v>1877.588</v>
      </c>
      <c r="L300" s="592">
        <f>IF(J300="TND",1,IF(J300="EUR",Vertical_Cash_flow!$C$16,IF(J300="USD",Vertical_Cash_flow!$F$16,0)))</f>
        <v>1</v>
      </c>
      <c r="M300" s="593">
        <f t="shared" si="20"/>
        <v>1877.588</v>
      </c>
      <c r="N300" s="589" t="s">
        <v>251</v>
      </c>
      <c r="O300" s="594">
        <v>45348</v>
      </c>
      <c r="P300" s="593">
        <f t="shared" si="21"/>
        <v>-95</v>
      </c>
      <c r="Q300" s="594">
        <v>45443</v>
      </c>
      <c r="R300" s="593">
        <f t="shared" ca="1" si="22"/>
        <v>-2</v>
      </c>
      <c r="S300" s="589" t="str">
        <f>VLOOKUP(Q300,Mapping!L:M,2,0)</f>
        <v>W22_2024</v>
      </c>
      <c r="T300" s="589" t="str">
        <f t="shared" ca="1" si="23"/>
        <v>Not Due</v>
      </c>
      <c r="W300" s="591"/>
    </row>
    <row r="301" spans="1:23" s="589" customFormat="1" x14ac:dyDescent="0.2">
      <c r="A301" s="589" t="s">
        <v>56</v>
      </c>
      <c r="B301" s="589" t="s">
        <v>359</v>
      </c>
      <c r="C301" s="590" t="s">
        <v>1320</v>
      </c>
      <c r="D301" s="589" t="s">
        <v>100</v>
      </c>
      <c r="E301" s="589" t="s">
        <v>104</v>
      </c>
      <c r="F301" s="589" t="s">
        <v>112</v>
      </c>
      <c r="G301" s="589" t="s">
        <v>51</v>
      </c>
      <c r="H301" s="589" t="s">
        <v>242</v>
      </c>
      <c r="I301" s="589" t="s">
        <v>1423</v>
      </c>
      <c r="J301" s="589" t="s">
        <v>35</v>
      </c>
      <c r="K301" s="591">
        <v>536.80899999999997</v>
      </c>
      <c r="L301" s="592">
        <f>IF(J301="TND",1,IF(J301="EUR",Vertical_Cash_flow!$C$16,IF(J301="USD",Vertical_Cash_flow!$F$16,0)))</f>
        <v>1</v>
      </c>
      <c r="M301" s="593">
        <f t="shared" si="20"/>
        <v>536.80899999999997</v>
      </c>
      <c r="N301" s="589" t="s">
        <v>251</v>
      </c>
      <c r="O301" s="594">
        <v>45344</v>
      </c>
      <c r="P301" s="593">
        <f t="shared" si="21"/>
        <v>-99</v>
      </c>
      <c r="Q301" s="594">
        <v>45443</v>
      </c>
      <c r="R301" s="593">
        <f t="shared" ca="1" si="22"/>
        <v>-2</v>
      </c>
      <c r="S301" s="589" t="str">
        <f>VLOOKUP(Q301,Mapping!L:M,2,0)</f>
        <v>W22_2024</v>
      </c>
      <c r="T301" s="589" t="str">
        <f t="shared" ca="1" si="23"/>
        <v>Not Due</v>
      </c>
      <c r="W301" s="591"/>
    </row>
    <row r="302" spans="1:23" s="589" customFormat="1" x14ac:dyDescent="0.2">
      <c r="A302" s="589" t="s">
        <v>56</v>
      </c>
      <c r="B302" s="589" t="s">
        <v>296</v>
      </c>
      <c r="C302" s="590" t="s">
        <v>1828</v>
      </c>
      <c r="D302" s="589" t="s">
        <v>100</v>
      </c>
      <c r="E302" s="589" t="s">
        <v>104</v>
      </c>
      <c r="F302" s="589" t="s">
        <v>112</v>
      </c>
      <c r="G302" s="589" t="s">
        <v>51</v>
      </c>
      <c r="H302" s="589" t="s">
        <v>242</v>
      </c>
      <c r="I302" s="589" t="s">
        <v>2193</v>
      </c>
      <c r="J302" s="589" t="s">
        <v>35</v>
      </c>
      <c r="K302" s="591">
        <v>4451.8280000000004</v>
      </c>
      <c r="L302" s="592">
        <f>IF(J302="TND",1,IF(J302="EUR",Vertical_Cash_flow!$C$16,IF(J302="USD",Vertical_Cash_flow!$F$16,0)))</f>
        <v>1</v>
      </c>
      <c r="M302" s="593">
        <f t="shared" si="20"/>
        <v>4451.8280000000004</v>
      </c>
      <c r="N302" s="589" t="s">
        <v>251</v>
      </c>
      <c r="O302" s="594">
        <v>45357</v>
      </c>
      <c r="P302" s="593">
        <f t="shared" si="21"/>
        <v>-86</v>
      </c>
      <c r="Q302" s="594">
        <v>45443</v>
      </c>
      <c r="R302" s="593">
        <f t="shared" ca="1" si="22"/>
        <v>-2</v>
      </c>
      <c r="S302" s="589" t="str">
        <f>VLOOKUP(Q302,Mapping!L:M,2,0)</f>
        <v>W22_2024</v>
      </c>
      <c r="T302" s="589" t="str">
        <f t="shared" ca="1" si="23"/>
        <v>Not Due</v>
      </c>
      <c r="W302" s="591"/>
    </row>
    <row r="303" spans="1:23" s="589" customFormat="1" x14ac:dyDescent="0.2">
      <c r="A303" s="589" t="s">
        <v>56</v>
      </c>
      <c r="B303" s="589" t="s">
        <v>638</v>
      </c>
      <c r="C303" s="590" t="s">
        <v>1823</v>
      </c>
      <c r="D303" s="589" t="s">
        <v>100</v>
      </c>
      <c r="E303" s="589" t="s">
        <v>104</v>
      </c>
      <c r="F303" s="589" t="s">
        <v>112</v>
      </c>
      <c r="G303" s="589" t="s">
        <v>51</v>
      </c>
      <c r="H303" s="589" t="s">
        <v>242</v>
      </c>
      <c r="I303" s="589" t="s">
        <v>2189</v>
      </c>
      <c r="J303" s="589" t="s">
        <v>35</v>
      </c>
      <c r="K303" s="591">
        <v>2221.8960000000002</v>
      </c>
      <c r="L303" s="592">
        <f>IF(J303="TND",1,IF(J303="EUR",Vertical_Cash_flow!$C$16,IF(J303="USD",Vertical_Cash_flow!$F$16,0)))</f>
        <v>1</v>
      </c>
      <c r="M303" s="593">
        <f t="shared" si="20"/>
        <v>2221.8960000000002</v>
      </c>
      <c r="N303" s="589" t="s">
        <v>251</v>
      </c>
      <c r="O303" s="594">
        <v>45357</v>
      </c>
      <c r="P303" s="593">
        <f t="shared" si="21"/>
        <v>-86</v>
      </c>
      <c r="Q303" s="594">
        <v>45443</v>
      </c>
      <c r="R303" s="593">
        <f t="shared" ca="1" si="22"/>
        <v>-2</v>
      </c>
      <c r="S303" s="589" t="str">
        <f>VLOOKUP(Q303,Mapping!L:M,2,0)</f>
        <v>W22_2024</v>
      </c>
      <c r="T303" s="589" t="str">
        <f t="shared" ca="1" si="23"/>
        <v>Not Due</v>
      </c>
      <c r="W303" s="591"/>
    </row>
    <row r="304" spans="1:23" s="589" customFormat="1" x14ac:dyDescent="0.2">
      <c r="A304" s="589" t="s">
        <v>56</v>
      </c>
      <c r="B304" s="589" t="s">
        <v>357</v>
      </c>
      <c r="C304" s="590" t="s">
        <v>1322</v>
      </c>
      <c r="D304" s="589" t="s">
        <v>100</v>
      </c>
      <c r="E304" s="589" t="s">
        <v>104</v>
      </c>
      <c r="F304" s="589" t="s">
        <v>112</v>
      </c>
      <c r="G304" s="589" t="s">
        <v>51</v>
      </c>
      <c r="H304" s="589" t="s">
        <v>242</v>
      </c>
      <c r="I304" s="589" t="s">
        <v>1425</v>
      </c>
      <c r="J304" s="589" t="s">
        <v>35</v>
      </c>
      <c r="K304" s="591">
        <v>4561.0150000000003</v>
      </c>
      <c r="L304" s="592">
        <f>IF(J304="TND",1,IF(J304="EUR",Vertical_Cash_flow!$C$16,IF(J304="USD",Vertical_Cash_flow!$F$16,0)))</f>
        <v>1</v>
      </c>
      <c r="M304" s="593">
        <f t="shared" si="20"/>
        <v>4561.0150000000003</v>
      </c>
      <c r="N304" s="589" t="s">
        <v>251</v>
      </c>
      <c r="O304" s="594">
        <v>45336</v>
      </c>
      <c r="P304" s="593">
        <f t="shared" si="21"/>
        <v>-107</v>
      </c>
      <c r="Q304" s="594">
        <v>45443</v>
      </c>
      <c r="R304" s="593">
        <f t="shared" ca="1" si="22"/>
        <v>-2</v>
      </c>
      <c r="S304" s="589" t="str">
        <f>VLOOKUP(Q304,Mapping!L:M,2,0)</f>
        <v>W22_2024</v>
      </c>
      <c r="T304" s="589" t="str">
        <f t="shared" ca="1" si="23"/>
        <v>Not Due</v>
      </c>
      <c r="W304" s="591"/>
    </row>
    <row r="305" spans="1:23" s="589" customFormat="1" x14ac:dyDescent="0.2">
      <c r="A305" s="589" t="s">
        <v>56</v>
      </c>
      <c r="B305" s="589" t="s">
        <v>598</v>
      </c>
      <c r="C305" s="590" t="s">
        <v>1824</v>
      </c>
      <c r="D305" s="589" t="s">
        <v>100</v>
      </c>
      <c r="E305" s="589" t="s">
        <v>104</v>
      </c>
      <c r="F305" s="589" t="s">
        <v>112</v>
      </c>
      <c r="G305" s="589" t="s">
        <v>51</v>
      </c>
      <c r="H305" s="589" t="s">
        <v>242</v>
      </c>
      <c r="I305" s="589" t="s">
        <v>2190</v>
      </c>
      <c r="J305" s="589" t="s">
        <v>35</v>
      </c>
      <c r="K305" s="591">
        <v>404.589</v>
      </c>
      <c r="L305" s="592">
        <f>IF(J305="TND",1,IF(J305="EUR",Vertical_Cash_flow!$C$16,IF(J305="USD",Vertical_Cash_flow!$F$16,0)))</f>
        <v>1</v>
      </c>
      <c r="M305" s="593">
        <f t="shared" si="20"/>
        <v>404.589</v>
      </c>
      <c r="N305" s="589" t="s">
        <v>251</v>
      </c>
      <c r="O305" s="594">
        <v>45365</v>
      </c>
      <c r="P305" s="593">
        <f t="shared" si="21"/>
        <v>-78</v>
      </c>
      <c r="Q305" s="594">
        <v>45443</v>
      </c>
      <c r="R305" s="593">
        <f t="shared" ca="1" si="22"/>
        <v>-2</v>
      </c>
      <c r="S305" s="589" t="str">
        <f>VLOOKUP(Q305,Mapping!L:M,2,0)</f>
        <v>W22_2024</v>
      </c>
      <c r="T305" s="589" t="str">
        <f t="shared" ca="1" si="23"/>
        <v>Not Due</v>
      </c>
      <c r="W305" s="591"/>
    </row>
    <row r="306" spans="1:23" s="589" customFormat="1" x14ac:dyDescent="0.2">
      <c r="A306" s="589" t="s">
        <v>56</v>
      </c>
      <c r="B306" s="589" t="s">
        <v>366</v>
      </c>
      <c r="C306" s="590" t="s">
        <v>1826</v>
      </c>
      <c r="D306" s="589" t="s">
        <v>100</v>
      </c>
      <c r="E306" s="589" t="s">
        <v>104</v>
      </c>
      <c r="F306" s="589" t="s">
        <v>112</v>
      </c>
      <c r="G306" s="589" t="s">
        <v>51</v>
      </c>
      <c r="H306" s="589" t="s">
        <v>242</v>
      </c>
      <c r="I306" s="589" t="s">
        <v>896</v>
      </c>
      <c r="J306" s="589" t="s">
        <v>35</v>
      </c>
      <c r="K306" s="591">
        <v>447.322</v>
      </c>
      <c r="L306" s="592">
        <f>IF(J306="TND",1,IF(J306="EUR",Vertical_Cash_flow!$C$16,IF(J306="USD",Vertical_Cash_flow!$F$16,0)))</f>
        <v>1</v>
      </c>
      <c r="M306" s="593">
        <f t="shared" si="20"/>
        <v>447.322</v>
      </c>
      <c r="N306" s="589" t="s">
        <v>251</v>
      </c>
      <c r="O306" s="594">
        <v>45365</v>
      </c>
      <c r="P306" s="593">
        <f t="shared" si="21"/>
        <v>-78</v>
      </c>
      <c r="Q306" s="594">
        <v>45443</v>
      </c>
      <c r="R306" s="593">
        <f t="shared" ca="1" si="22"/>
        <v>-2</v>
      </c>
      <c r="S306" s="589" t="str">
        <f>VLOOKUP(Q306,Mapping!L:M,2,0)</f>
        <v>W22_2024</v>
      </c>
      <c r="T306" s="589" t="str">
        <f t="shared" ca="1" si="23"/>
        <v>Not Due</v>
      </c>
      <c r="W306" s="591"/>
    </row>
    <row r="307" spans="1:23" s="589" customFormat="1" x14ac:dyDescent="0.2">
      <c r="A307" s="589" t="s">
        <v>56</v>
      </c>
      <c r="B307" s="589" t="s">
        <v>360</v>
      </c>
      <c r="C307" s="590" t="s">
        <v>1819</v>
      </c>
      <c r="D307" s="589" t="s">
        <v>100</v>
      </c>
      <c r="E307" s="589" t="s">
        <v>104</v>
      </c>
      <c r="F307" s="589" t="s">
        <v>112</v>
      </c>
      <c r="G307" s="589" t="s">
        <v>51</v>
      </c>
      <c r="H307" s="589" t="s">
        <v>242</v>
      </c>
      <c r="I307" s="589" t="s">
        <v>2187</v>
      </c>
      <c r="J307" s="589" t="s">
        <v>35</v>
      </c>
      <c r="K307" s="591">
        <v>2353.674</v>
      </c>
      <c r="L307" s="592">
        <f>IF(J307="TND",1,IF(J307="EUR",Vertical_Cash_flow!$C$16,IF(J307="USD",Vertical_Cash_flow!$F$16,0)))</f>
        <v>1</v>
      </c>
      <c r="M307" s="593">
        <f t="shared" si="20"/>
        <v>2353.674</v>
      </c>
      <c r="N307" s="589" t="s">
        <v>251</v>
      </c>
      <c r="O307" s="594">
        <v>45349</v>
      </c>
      <c r="P307" s="593">
        <f t="shared" si="21"/>
        <v>-94</v>
      </c>
      <c r="Q307" s="594">
        <v>45443</v>
      </c>
      <c r="R307" s="593">
        <f t="shared" ca="1" si="22"/>
        <v>-2</v>
      </c>
      <c r="S307" s="589" t="str">
        <f>VLOOKUP(Q307,Mapping!L:M,2,0)</f>
        <v>W22_2024</v>
      </c>
      <c r="T307" s="589" t="str">
        <f t="shared" ca="1" si="23"/>
        <v>Not Due</v>
      </c>
      <c r="W307" s="591"/>
    </row>
    <row r="308" spans="1:23" s="589" customFormat="1" x14ac:dyDescent="0.2">
      <c r="A308" s="589" t="s">
        <v>56</v>
      </c>
      <c r="B308" s="589" t="s">
        <v>3418</v>
      </c>
      <c r="C308" s="590" t="s">
        <v>3571</v>
      </c>
      <c r="D308" s="589" t="s">
        <v>100</v>
      </c>
      <c r="E308" s="589" t="s">
        <v>104</v>
      </c>
      <c r="F308" s="589" t="s">
        <v>112</v>
      </c>
      <c r="G308" s="589" t="s">
        <v>51</v>
      </c>
      <c r="H308" s="589" t="s">
        <v>242</v>
      </c>
      <c r="I308" s="589" t="s">
        <v>3716</v>
      </c>
      <c r="J308" s="589" t="s">
        <v>35</v>
      </c>
      <c r="K308" s="591">
        <v>606.94799999999998</v>
      </c>
      <c r="L308" s="592">
        <f>IF(J308="TND",1,IF(J308="EUR",Vertical_Cash_flow!$C$16,IF(J308="USD",Vertical_Cash_flow!$F$16,0)))</f>
        <v>1</v>
      </c>
      <c r="M308" s="593">
        <f t="shared" si="20"/>
        <v>606.94799999999998</v>
      </c>
      <c r="N308" s="589" t="s">
        <v>251</v>
      </c>
      <c r="O308" s="594">
        <v>45427</v>
      </c>
      <c r="P308" s="593">
        <f t="shared" si="21"/>
        <v>-16</v>
      </c>
      <c r="Q308" s="594">
        <v>45443</v>
      </c>
      <c r="R308" s="593">
        <f t="shared" ca="1" si="22"/>
        <v>-2</v>
      </c>
      <c r="S308" s="589" t="str">
        <f>VLOOKUP(Q308,Mapping!L:M,2,0)</f>
        <v>W22_2024</v>
      </c>
      <c r="T308" s="589" t="str">
        <f t="shared" ca="1" si="23"/>
        <v>Not Due</v>
      </c>
      <c r="W308" s="591"/>
    </row>
    <row r="309" spans="1:23" s="589" customFormat="1" x14ac:dyDescent="0.2">
      <c r="A309" s="589" t="s">
        <v>56</v>
      </c>
      <c r="B309" s="589" t="s">
        <v>948</v>
      </c>
      <c r="C309" s="590" t="s">
        <v>2598</v>
      </c>
      <c r="D309" s="589" t="s">
        <v>100</v>
      </c>
      <c r="E309" s="589" t="s">
        <v>104</v>
      </c>
      <c r="F309" s="589" t="s">
        <v>112</v>
      </c>
      <c r="G309" s="589" t="s">
        <v>51</v>
      </c>
      <c r="H309" s="589" t="s">
        <v>242</v>
      </c>
      <c r="I309" s="589" t="s">
        <v>2910</v>
      </c>
      <c r="J309" s="589" t="s">
        <v>35</v>
      </c>
      <c r="K309" s="591">
        <v>5161.6059999999998</v>
      </c>
      <c r="L309" s="592">
        <f>IF(J309="TND",1,IF(J309="EUR",Vertical_Cash_flow!$C$16,IF(J309="USD",Vertical_Cash_flow!$F$16,0)))</f>
        <v>1</v>
      </c>
      <c r="M309" s="593">
        <f t="shared" si="20"/>
        <v>5161.6059999999998</v>
      </c>
      <c r="N309" s="589" t="s">
        <v>251</v>
      </c>
      <c r="O309" s="594">
        <v>45402</v>
      </c>
      <c r="P309" s="593">
        <f t="shared" si="21"/>
        <v>-41</v>
      </c>
      <c r="Q309" s="594">
        <v>45443</v>
      </c>
      <c r="R309" s="593">
        <f t="shared" ca="1" si="22"/>
        <v>-2</v>
      </c>
      <c r="S309" s="589" t="str">
        <f>VLOOKUP(Q309,Mapping!L:M,2,0)</f>
        <v>W22_2024</v>
      </c>
      <c r="T309" s="589" t="str">
        <f t="shared" ca="1" si="23"/>
        <v>Not Due</v>
      </c>
      <c r="W309" s="591"/>
    </row>
    <row r="310" spans="1:23" s="589" customFormat="1" x14ac:dyDescent="0.2">
      <c r="A310" s="589" t="s">
        <v>56</v>
      </c>
      <c r="B310" s="589" t="s">
        <v>1483</v>
      </c>
      <c r="C310" s="590" t="s">
        <v>2599</v>
      </c>
      <c r="D310" s="589" t="s">
        <v>100</v>
      </c>
      <c r="E310" s="589" t="s">
        <v>104</v>
      </c>
      <c r="F310" s="589" t="s">
        <v>112</v>
      </c>
      <c r="G310" s="589" t="s">
        <v>51</v>
      </c>
      <c r="H310" s="589" t="s">
        <v>242</v>
      </c>
      <c r="I310" s="589" t="s">
        <v>2911</v>
      </c>
      <c r="J310" s="589" t="s">
        <v>35</v>
      </c>
      <c r="K310" s="591">
        <v>2075.4180000000001</v>
      </c>
      <c r="L310" s="592">
        <f>IF(J310="TND",1,IF(J310="EUR",Vertical_Cash_flow!$C$16,IF(J310="USD",Vertical_Cash_flow!$F$16,0)))</f>
        <v>1</v>
      </c>
      <c r="M310" s="593">
        <f t="shared" si="20"/>
        <v>2075.4180000000001</v>
      </c>
      <c r="N310" s="589" t="s">
        <v>251</v>
      </c>
      <c r="O310" s="594">
        <v>45401</v>
      </c>
      <c r="P310" s="593">
        <f t="shared" si="21"/>
        <v>-42</v>
      </c>
      <c r="Q310" s="594">
        <v>45443</v>
      </c>
      <c r="R310" s="593">
        <f t="shared" ca="1" si="22"/>
        <v>-2</v>
      </c>
      <c r="S310" s="589" t="str">
        <f>VLOOKUP(Q310,Mapping!L:M,2,0)</f>
        <v>W22_2024</v>
      </c>
      <c r="T310" s="589" t="str">
        <f t="shared" ca="1" si="23"/>
        <v>Not Due</v>
      </c>
      <c r="W310" s="591"/>
    </row>
    <row r="311" spans="1:23" s="589" customFormat="1" x14ac:dyDescent="0.2">
      <c r="A311" s="589" t="s">
        <v>56</v>
      </c>
      <c r="B311" s="589" t="s">
        <v>848</v>
      </c>
      <c r="C311" s="590" t="s">
        <v>2600</v>
      </c>
      <c r="D311" s="589" t="s">
        <v>100</v>
      </c>
      <c r="E311" s="589" t="s">
        <v>104</v>
      </c>
      <c r="F311" s="589" t="s">
        <v>112</v>
      </c>
      <c r="G311" s="589" t="s">
        <v>51</v>
      </c>
      <c r="H311" s="589" t="s">
        <v>242</v>
      </c>
      <c r="I311" s="589" t="s">
        <v>2912</v>
      </c>
      <c r="J311" s="589" t="s">
        <v>35</v>
      </c>
      <c r="K311" s="591">
        <v>2000</v>
      </c>
      <c r="L311" s="592">
        <f>IF(J311="TND",1,IF(J311="EUR",Vertical_Cash_flow!$C$16,IF(J311="USD",Vertical_Cash_flow!$F$16,0)))</f>
        <v>1</v>
      </c>
      <c r="M311" s="593">
        <f t="shared" si="20"/>
        <v>2000</v>
      </c>
      <c r="N311" s="589" t="s">
        <v>251</v>
      </c>
      <c r="O311" s="594">
        <v>45401</v>
      </c>
      <c r="P311" s="593">
        <f t="shared" si="21"/>
        <v>-42</v>
      </c>
      <c r="Q311" s="594">
        <v>45443</v>
      </c>
      <c r="R311" s="593">
        <f t="shared" ca="1" si="22"/>
        <v>-2</v>
      </c>
      <c r="S311" s="589" t="str">
        <f>VLOOKUP(Q311,Mapping!L:M,2,0)</f>
        <v>W22_2024</v>
      </c>
      <c r="T311" s="589" t="str">
        <f t="shared" ca="1" si="23"/>
        <v>Not Due</v>
      </c>
      <c r="W311" s="591"/>
    </row>
    <row r="312" spans="1:23" s="589" customFormat="1" x14ac:dyDescent="0.2">
      <c r="A312" s="589" t="s">
        <v>56</v>
      </c>
      <c r="B312" s="589" t="s">
        <v>399</v>
      </c>
      <c r="C312" s="590" t="s">
        <v>1805</v>
      </c>
      <c r="D312" s="589" t="s">
        <v>100</v>
      </c>
      <c r="E312" s="589" t="s">
        <v>104</v>
      </c>
      <c r="F312" s="589" t="s">
        <v>112</v>
      </c>
      <c r="G312" s="589" t="s">
        <v>51</v>
      </c>
      <c r="H312" s="589" t="s">
        <v>242</v>
      </c>
      <c r="I312" s="589" t="s">
        <v>2176</v>
      </c>
      <c r="J312" s="589" t="s">
        <v>35</v>
      </c>
      <c r="K312" s="591">
        <v>7785.4189999999999</v>
      </c>
      <c r="L312" s="592">
        <f>IF(J312="TND",1,IF(J312="EUR",Vertical_Cash_flow!$C$16,IF(J312="USD",Vertical_Cash_flow!$F$16,0)))</f>
        <v>1</v>
      </c>
      <c r="M312" s="593">
        <f t="shared" si="20"/>
        <v>7785.4189999999999</v>
      </c>
      <c r="N312" s="589" t="s">
        <v>251</v>
      </c>
      <c r="O312" s="594">
        <v>45370</v>
      </c>
      <c r="P312" s="593">
        <f t="shared" si="21"/>
        <v>-73</v>
      </c>
      <c r="Q312" s="594">
        <v>45443</v>
      </c>
      <c r="R312" s="593">
        <f t="shared" ca="1" si="22"/>
        <v>-2</v>
      </c>
      <c r="S312" s="589" t="str">
        <f>VLOOKUP(Q312,Mapping!L:M,2,0)</f>
        <v>W22_2024</v>
      </c>
      <c r="T312" s="589" t="str">
        <f t="shared" ca="1" si="23"/>
        <v>Not Due</v>
      </c>
      <c r="W312" s="591"/>
    </row>
    <row r="313" spans="1:23" s="589" customFormat="1" x14ac:dyDescent="0.2">
      <c r="A313" s="589" t="s">
        <v>56</v>
      </c>
      <c r="B313" s="589" t="s">
        <v>406</v>
      </c>
      <c r="C313" s="590" t="s">
        <v>1802</v>
      </c>
      <c r="D313" s="589" t="s">
        <v>100</v>
      </c>
      <c r="E313" s="589" t="s">
        <v>104</v>
      </c>
      <c r="F313" s="589" t="s">
        <v>112</v>
      </c>
      <c r="G313" s="589" t="s">
        <v>51</v>
      </c>
      <c r="H313" s="589" t="s">
        <v>242</v>
      </c>
      <c r="I313" s="589" t="s">
        <v>2173</v>
      </c>
      <c r="J313" s="589" t="s">
        <v>35</v>
      </c>
      <c r="K313" s="591">
        <v>1318.2829999999999</v>
      </c>
      <c r="L313" s="592">
        <f>IF(J313="TND",1,IF(J313="EUR",Vertical_Cash_flow!$C$16,IF(J313="USD",Vertical_Cash_flow!$F$16,0)))</f>
        <v>1</v>
      </c>
      <c r="M313" s="593">
        <f t="shared" si="20"/>
        <v>1318.2829999999999</v>
      </c>
      <c r="N313" s="589" t="s">
        <v>251</v>
      </c>
      <c r="O313" s="594">
        <v>45379</v>
      </c>
      <c r="P313" s="593">
        <f t="shared" si="21"/>
        <v>-64</v>
      </c>
      <c r="Q313" s="594">
        <v>45443</v>
      </c>
      <c r="R313" s="593">
        <f t="shared" ca="1" si="22"/>
        <v>-2</v>
      </c>
      <c r="S313" s="589" t="str">
        <f>VLOOKUP(Q313,Mapping!L:M,2,0)</f>
        <v>W22_2024</v>
      </c>
      <c r="T313" s="589" t="str">
        <f t="shared" ca="1" si="23"/>
        <v>Not Due</v>
      </c>
      <c r="W313" s="591"/>
    </row>
    <row r="314" spans="1:23" s="589" customFormat="1" x14ac:dyDescent="0.2">
      <c r="A314" s="589" t="s">
        <v>56</v>
      </c>
      <c r="B314" s="589" t="s">
        <v>289</v>
      </c>
      <c r="C314" s="590" t="s">
        <v>2601</v>
      </c>
      <c r="D314" s="589" t="s">
        <v>100</v>
      </c>
      <c r="E314" s="589" t="s">
        <v>104</v>
      </c>
      <c r="F314" s="589" t="s">
        <v>112</v>
      </c>
      <c r="G314" s="589" t="s">
        <v>51</v>
      </c>
      <c r="H314" s="589" t="s">
        <v>242</v>
      </c>
      <c r="I314" s="589" t="s">
        <v>2913</v>
      </c>
      <c r="J314" s="589" t="s">
        <v>35</v>
      </c>
      <c r="K314" s="591">
        <v>1670</v>
      </c>
      <c r="L314" s="592">
        <f>IF(J314="TND",1,IF(J314="EUR",Vertical_Cash_flow!$C$16,IF(J314="USD",Vertical_Cash_flow!$F$16,0)))</f>
        <v>1</v>
      </c>
      <c r="M314" s="593">
        <f t="shared" si="20"/>
        <v>1670</v>
      </c>
      <c r="N314" s="589" t="s">
        <v>251</v>
      </c>
      <c r="O314" s="594">
        <v>45388</v>
      </c>
      <c r="P314" s="593">
        <f t="shared" si="21"/>
        <v>-55</v>
      </c>
      <c r="Q314" s="594">
        <v>45443</v>
      </c>
      <c r="R314" s="593">
        <f t="shared" ca="1" si="22"/>
        <v>-2</v>
      </c>
      <c r="S314" s="589" t="str">
        <f>VLOOKUP(Q314,Mapping!L:M,2,0)</f>
        <v>W22_2024</v>
      </c>
      <c r="T314" s="589" t="str">
        <f t="shared" ca="1" si="23"/>
        <v>Not Due</v>
      </c>
      <c r="W314" s="591"/>
    </row>
    <row r="315" spans="1:23" s="589" customFormat="1" x14ac:dyDescent="0.2">
      <c r="A315" s="589" t="s">
        <v>56</v>
      </c>
      <c r="B315" s="589" t="s">
        <v>481</v>
      </c>
      <c r="C315" s="590" t="s">
        <v>1090</v>
      </c>
      <c r="D315" s="589" t="s">
        <v>100</v>
      </c>
      <c r="E315" s="589" t="s">
        <v>104</v>
      </c>
      <c r="F315" s="589" t="s">
        <v>112</v>
      </c>
      <c r="G315" s="589" t="s">
        <v>51</v>
      </c>
      <c r="H315" s="589" t="s">
        <v>242</v>
      </c>
      <c r="I315" s="589" t="s">
        <v>1165</v>
      </c>
      <c r="J315" s="589" t="s">
        <v>35</v>
      </c>
      <c r="K315" s="591">
        <v>5942.1180000000004</v>
      </c>
      <c r="L315" s="592">
        <f>IF(J315="TND",1,IF(J315="EUR",Vertical_Cash_flow!$C$16,IF(J315="USD",Vertical_Cash_flow!$F$16,0)))</f>
        <v>1</v>
      </c>
      <c r="M315" s="593">
        <f t="shared" si="20"/>
        <v>5942.1180000000004</v>
      </c>
      <c r="N315" s="589" t="s">
        <v>251</v>
      </c>
      <c r="O315" s="594">
        <v>45324</v>
      </c>
      <c r="P315" s="593">
        <f t="shared" si="21"/>
        <v>-119</v>
      </c>
      <c r="Q315" s="594">
        <v>45443</v>
      </c>
      <c r="R315" s="593">
        <f t="shared" ca="1" si="22"/>
        <v>-2</v>
      </c>
      <c r="S315" s="589" t="str">
        <f>VLOOKUP(Q315,Mapping!L:M,2,0)</f>
        <v>W22_2024</v>
      </c>
      <c r="T315" s="589" t="str">
        <f t="shared" ca="1" si="23"/>
        <v>Not Due</v>
      </c>
      <c r="W315" s="591"/>
    </row>
    <row r="316" spans="1:23" s="589" customFormat="1" x14ac:dyDescent="0.2">
      <c r="A316" s="589" t="s">
        <v>56</v>
      </c>
      <c r="B316" s="589" t="s">
        <v>393</v>
      </c>
      <c r="C316" s="590" t="s">
        <v>2602</v>
      </c>
      <c r="D316" s="589" t="s">
        <v>100</v>
      </c>
      <c r="E316" s="589" t="s">
        <v>104</v>
      </c>
      <c r="F316" s="589" t="s">
        <v>112</v>
      </c>
      <c r="G316" s="589" t="s">
        <v>51</v>
      </c>
      <c r="H316" s="589" t="s">
        <v>242</v>
      </c>
      <c r="I316" s="589" t="s">
        <v>2914</v>
      </c>
      <c r="J316" s="589" t="s">
        <v>35</v>
      </c>
      <c r="K316" s="591">
        <v>3379.7860000000001</v>
      </c>
      <c r="L316" s="592">
        <f>IF(J316="TND",1,IF(J316="EUR",Vertical_Cash_flow!$C$16,IF(J316="USD",Vertical_Cash_flow!$F$16,0)))</f>
        <v>1</v>
      </c>
      <c r="M316" s="593">
        <f t="shared" si="20"/>
        <v>3379.7860000000001</v>
      </c>
      <c r="N316" s="589" t="s">
        <v>251</v>
      </c>
      <c r="O316" s="594">
        <v>45386</v>
      </c>
      <c r="P316" s="593">
        <f t="shared" si="21"/>
        <v>-57</v>
      </c>
      <c r="Q316" s="594">
        <v>45443</v>
      </c>
      <c r="R316" s="593">
        <f t="shared" ca="1" si="22"/>
        <v>-2</v>
      </c>
      <c r="S316" s="589" t="str">
        <f>VLOOKUP(Q316,Mapping!L:M,2,0)</f>
        <v>W22_2024</v>
      </c>
      <c r="T316" s="589" t="str">
        <f t="shared" ca="1" si="23"/>
        <v>Not Due</v>
      </c>
      <c r="W316" s="591"/>
    </row>
    <row r="317" spans="1:23" s="589" customFormat="1" x14ac:dyDescent="0.2">
      <c r="A317" s="589" t="s">
        <v>56</v>
      </c>
      <c r="B317" s="589" t="s">
        <v>481</v>
      </c>
      <c r="C317" s="590" t="s">
        <v>1091</v>
      </c>
      <c r="D317" s="589" t="s">
        <v>100</v>
      </c>
      <c r="E317" s="589" t="s">
        <v>104</v>
      </c>
      <c r="F317" s="589" t="s">
        <v>112</v>
      </c>
      <c r="G317" s="589" t="s">
        <v>51</v>
      </c>
      <c r="H317" s="589" t="s">
        <v>242</v>
      </c>
      <c r="I317" s="589" t="s">
        <v>1166</v>
      </c>
      <c r="J317" s="589" t="s">
        <v>35</v>
      </c>
      <c r="K317" s="591">
        <v>5920</v>
      </c>
      <c r="L317" s="592">
        <f>IF(J317="TND",1,IF(J317="EUR",Vertical_Cash_flow!$C$16,IF(J317="USD",Vertical_Cash_flow!$F$16,0)))</f>
        <v>1</v>
      </c>
      <c r="M317" s="593">
        <f t="shared" si="20"/>
        <v>5920</v>
      </c>
      <c r="N317" s="589" t="s">
        <v>251</v>
      </c>
      <c r="O317" s="594">
        <v>45324</v>
      </c>
      <c r="P317" s="593">
        <f t="shared" si="21"/>
        <v>-119</v>
      </c>
      <c r="Q317" s="594">
        <v>45443</v>
      </c>
      <c r="R317" s="593">
        <f t="shared" ca="1" si="22"/>
        <v>-2</v>
      </c>
      <c r="S317" s="589" t="str">
        <f>VLOOKUP(Q317,Mapping!L:M,2,0)</f>
        <v>W22_2024</v>
      </c>
      <c r="T317" s="589" t="str">
        <f t="shared" ca="1" si="23"/>
        <v>Not Due</v>
      </c>
      <c r="W317" s="591"/>
    </row>
    <row r="318" spans="1:23" s="589" customFormat="1" x14ac:dyDescent="0.2">
      <c r="A318" s="589" t="s">
        <v>56</v>
      </c>
      <c r="B318" s="589" t="s">
        <v>396</v>
      </c>
      <c r="C318" s="590" t="s">
        <v>1803</v>
      </c>
      <c r="D318" s="589" t="s">
        <v>100</v>
      </c>
      <c r="E318" s="589" t="s">
        <v>104</v>
      </c>
      <c r="F318" s="589" t="s">
        <v>112</v>
      </c>
      <c r="G318" s="589" t="s">
        <v>51</v>
      </c>
      <c r="H318" s="589" t="s">
        <v>242</v>
      </c>
      <c r="I318" s="589" t="s">
        <v>2174</v>
      </c>
      <c r="J318" s="589" t="s">
        <v>35</v>
      </c>
      <c r="K318" s="591">
        <v>790</v>
      </c>
      <c r="L318" s="592">
        <f>IF(J318="TND",1,IF(J318="EUR",Vertical_Cash_flow!$C$16,IF(J318="USD",Vertical_Cash_flow!$F$16,0)))</f>
        <v>1</v>
      </c>
      <c r="M318" s="593">
        <f t="shared" si="20"/>
        <v>790</v>
      </c>
      <c r="N318" s="589" t="s">
        <v>251</v>
      </c>
      <c r="O318" s="594">
        <v>45350</v>
      </c>
      <c r="P318" s="593">
        <f t="shared" si="21"/>
        <v>-93</v>
      </c>
      <c r="Q318" s="594">
        <v>45443</v>
      </c>
      <c r="R318" s="593">
        <f t="shared" ca="1" si="22"/>
        <v>-2</v>
      </c>
      <c r="S318" s="589" t="str">
        <f>VLOOKUP(Q318,Mapping!L:M,2,0)</f>
        <v>W22_2024</v>
      </c>
      <c r="T318" s="589" t="str">
        <f t="shared" ca="1" si="23"/>
        <v>Not Due</v>
      </c>
      <c r="W318" s="591"/>
    </row>
    <row r="319" spans="1:23" s="589" customFormat="1" x14ac:dyDescent="0.2">
      <c r="A319" s="589" t="s">
        <v>56</v>
      </c>
      <c r="B319" s="589" t="s">
        <v>395</v>
      </c>
      <c r="C319" s="590" t="s">
        <v>1315</v>
      </c>
      <c r="D319" s="589" t="s">
        <v>100</v>
      </c>
      <c r="E319" s="589" t="s">
        <v>104</v>
      </c>
      <c r="F319" s="589" t="s">
        <v>112</v>
      </c>
      <c r="G319" s="589" t="s">
        <v>51</v>
      </c>
      <c r="H319" s="589" t="s">
        <v>242</v>
      </c>
      <c r="I319" s="589" t="s">
        <v>1419</v>
      </c>
      <c r="J319" s="589" t="s">
        <v>35</v>
      </c>
      <c r="K319" s="591">
        <v>2774.9160000000002</v>
      </c>
      <c r="L319" s="592">
        <f>IF(J319="TND",1,IF(J319="EUR",Vertical_Cash_flow!$C$16,IF(J319="USD",Vertical_Cash_flow!$F$16,0)))</f>
        <v>1</v>
      </c>
      <c r="M319" s="593">
        <f t="shared" si="20"/>
        <v>2774.9160000000002</v>
      </c>
      <c r="N319" s="589" t="s">
        <v>251</v>
      </c>
      <c r="O319" s="594">
        <v>45329</v>
      </c>
      <c r="P319" s="593">
        <f t="shared" si="21"/>
        <v>-114</v>
      </c>
      <c r="Q319" s="594">
        <v>45443</v>
      </c>
      <c r="R319" s="593">
        <f t="shared" ca="1" si="22"/>
        <v>-2</v>
      </c>
      <c r="S319" s="589" t="str">
        <f>VLOOKUP(Q319,Mapping!L:M,2,0)</f>
        <v>W22_2024</v>
      </c>
      <c r="T319" s="589" t="str">
        <f t="shared" ca="1" si="23"/>
        <v>Not Due</v>
      </c>
      <c r="W319" s="591"/>
    </row>
    <row r="320" spans="1:23" s="589" customFormat="1" x14ac:dyDescent="0.2">
      <c r="A320" s="589" t="s">
        <v>56</v>
      </c>
      <c r="B320" s="589" t="s">
        <v>392</v>
      </c>
      <c r="C320" s="590" t="s">
        <v>1092</v>
      </c>
      <c r="D320" s="589" t="s">
        <v>100</v>
      </c>
      <c r="E320" s="589" t="s">
        <v>104</v>
      </c>
      <c r="F320" s="589" t="s">
        <v>112</v>
      </c>
      <c r="G320" s="589" t="s">
        <v>51</v>
      </c>
      <c r="H320" s="589" t="s">
        <v>242</v>
      </c>
      <c r="I320" s="589" t="s">
        <v>1167</v>
      </c>
      <c r="J320" s="589" t="s">
        <v>35</v>
      </c>
      <c r="K320" s="591">
        <v>5000</v>
      </c>
      <c r="L320" s="592">
        <f>IF(J320="TND",1,IF(J320="EUR",Vertical_Cash_flow!$C$16,IF(J320="USD",Vertical_Cash_flow!$F$16,0)))</f>
        <v>1</v>
      </c>
      <c r="M320" s="593">
        <f t="shared" si="20"/>
        <v>5000</v>
      </c>
      <c r="N320" s="589" t="s">
        <v>251</v>
      </c>
      <c r="O320" s="594">
        <v>45317</v>
      </c>
      <c r="P320" s="593">
        <f t="shared" si="21"/>
        <v>-126</v>
      </c>
      <c r="Q320" s="594">
        <v>45443</v>
      </c>
      <c r="R320" s="593">
        <f t="shared" ca="1" si="22"/>
        <v>-2</v>
      </c>
      <c r="S320" s="589" t="str">
        <f>VLOOKUP(Q320,Mapping!L:M,2,0)</f>
        <v>W22_2024</v>
      </c>
      <c r="T320" s="589" t="str">
        <f t="shared" ca="1" si="23"/>
        <v>Not Due</v>
      </c>
      <c r="W320" s="591"/>
    </row>
    <row r="321" spans="1:23" s="589" customFormat="1" x14ac:dyDescent="0.2">
      <c r="A321" s="589" t="s">
        <v>56</v>
      </c>
      <c r="B321" s="589" t="s">
        <v>349</v>
      </c>
      <c r="C321" s="590" t="s">
        <v>1093</v>
      </c>
      <c r="D321" s="589" t="s">
        <v>100</v>
      </c>
      <c r="E321" s="589" t="s">
        <v>104</v>
      </c>
      <c r="F321" s="589" t="s">
        <v>112</v>
      </c>
      <c r="G321" s="589" t="s">
        <v>51</v>
      </c>
      <c r="H321" s="589" t="s">
        <v>242</v>
      </c>
      <c r="I321" s="589" t="s">
        <v>1168</v>
      </c>
      <c r="J321" s="589" t="s">
        <v>35</v>
      </c>
      <c r="K321" s="591">
        <v>8474.3809999999994</v>
      </c>
      <c r="L321" s="592">
        <f>IF(J321="TND",1,IF(J321="EUR",Vertical_Cash_flow!$C$16,IF(J321="USD",Vertical_Cash_flow!$F$16,0)))</f>
        <v>1</v>
      </c>
      <c r="M321" s="593">
        <f t="shared" si="20"/>
        <v>8474.3809999999994</v>
      </c>
      <c r="N321" s="589" t="s">
        <v>251</v>
      </c>
      <c r="O321" s="594">
        <v>45318</v>
      </c>
      <c r="P321" s="593">
        <f t="shared" si="21"/>
        <v>-125</v>
      </c>
      <c r="Q321" s="594">
        <v>45443</v>
      </c>
      <c r="R321" s="593">
        <f t="shared" ca="1" si="22"/>
        <v>-2</v>
      </c>
      <c r="S321" s="589" t="str">
        <f>VLOOKUP(Q321,Mapping!L:M,2,0)</f>
        <v>W22_2024</v>
      </c>
      <c r="T321" s="589" t="str">
        <f t="shared" ca="1" si="23"/>
        <v>Not Due</v>
      </c>
      <c r="W321" s="591"/>
    </row>
    <row r="322" spans="1:23" s="589" customFormat="1" x14ac:dyDescent="0.2">
      <c r="A322" s="589" t="s">
        <v>56</v>
      </c>
      <c r="B322" s="589" t="s">
        <v>401</v>
      </c>
      <c r="C322" s="590" t="s">
        <v>1804</v>
      </c>
      <c r="D322" s="589" t="s">
        <v>100</v>
      </c>
      <c r="E322" s="589" t="s">
        <v>104</v>
      </c>
      <c r="F322" s="589" t="s">
        <v>112</v>
      </c>
      <c r="G322" s="589" t="s">
        <v>51</v>
      </c>
      <c r="H322" s="589" t="s">
        <v>242</v>
      </c>
      <c r="I322" s="589" t="s">
        <v>2175</v>
      </c>
      <c r="J322" s="589" t="s">
        <v>35</v>
      </c>
      <c r="K322" s="591">
        <v>3683.1419999999998</v>
      </c>
      <c r="L322" s="592">
        <f>IF(J322="TND",1,IF(J322="EUR",Vertical_Cash_flow!$C$16,IF(J322="USD",Vertical_Cash_flow!$F$16,0)))</f>
        <v>1</v>
      </c>
      <c r="M322" s="593">
        <f t="shared" si="20"/>
        <v>3683.1419999999998</v>
      </c>
      <c r="N322" s="589" t="s">
        <v>251</v>
      </c>
      <c r="O322" s="594">
        <v>45351</v>
      </c>
      <c r="P322" s="593">
        <f t="shared" si="21"/>
        <v>-92</v>
      </c>
      <c r="Q322" s="594">
        <v>45443</v>
      </c>
      <c r="R322" s="593">
        <f t="shared" ca="1" si="22"/>
        <v>-2</v>
      </c>
      <c r="S322" s="589" t="str">
        <f>VLOOKUP(Q322,Mapping!L:M,2,0)</f>
        <v>W22_2024</v>
      </c>
      <c r="T322" s="589" t="str">
        <f t="shared" ca="1" si="23"/>
        <v>Not Due</v>
      </c>
      <c r="W322" s="591"/>
    </row>
    <row r="323" spans="1:23" s="589" customFormat="1" x14ac:dyDescent="0.2">
      <c r="A323" s="589" t="s">
        <v>56</v>
      </c>
      <c r="B323" s="589" t="s">
        <v>394</v>
      </c>
      <c r="C323" s="590" t="s">
        <v>1037</v>
      </c>
      <c r="D323" s="589" t="s">
        <v>100</v>
      </c>
      <c r="E323" s="589" t="s">
        <v>104</v>
      </c>
      <c r="F323" s="589" t="s">
        <v>112</v>
      </c>
      <c r="G323" s="589" t="s">
        <v>51</v>
      </c>
      <c r="H323" s="589" t="s">
        <v>242</v>
      </c>
      <c r="I323" s="589" t="s">
        <v>1042</v>
      </c>
      <c r="J323" s="589" t="s">
        <v>35</v>
      </c>
      <c r="K323" s="591">
        <v>903.70500000000004</v>
      </c>
      <c r="L323" s="592">
        <f>IF(J323="TND",1,IF(J323="EUR",Vertical_Cash_flow!$C$16,IF(J323="USD",Vertical_Cash_flow!$F$16,0)))</f>
        <v>1</v>
      </c>
      <c r="M323" s="593">
        <f t="shared" si="20"/>
        <v>903.70500000000004</v>
      </c>
      <c r="N323" s="589" t="s">
        <v>251</v>
      </c>
      <c r="O323" s="594">
        <v>45308</v>
      </c>
      <c r="P323" s="593">
        <f t="shared" si="21"/>
        <v>-135</v>
      </c>
      <c r="Q323" s="594">
        <v>45443</v>
      </c>
      <c r="R323" s="593">
        <f t="shared" ca="1" si="22"/>
        <v>-2</v>
      </c>
      <c r="S323" s="589" t="str">
        <f>VLOOKUP(Q323,Mapping!L:M,2,0)</f>
        <v>W22_2024</v>
      </c>
      <c r="T323" s="589" t="str">
        <f t="shared" ca="1" si="23"/>
        <v>Not Due</v>
      </c>
      <c r="W323" s="591"/>
    </row>
    <row r="324" spans="1:23" s="589" customFormat="1" x14ac:dyDescent="0.2">
      <c r="A324" s="589" t="s">
        <v>56</v>
      </c>
      <c r="B324" s="589" t="s">
        <v>278</v>
      </c>
      <c r="C324" s="590" t="s">
        <v>990</v>
      </c>
      <c r="D324" s="589" t="s">
        <v>100</v>
      </c>
      <c r="E324" s="589" t="s">
        <v>104</v>
      </c>
      <c r="F324" s="589" t="s">
        <v>112</v>
      </c>
      <c r="G324" s="589" t="s">
        <v>51</v>
      </c>
      <c r="H324" s="589" t="s">
        <v>242</v>
      </c>
      <c r="I324" s="589" t="s">
        <v>1000</v>
      </c>
      <c r="J324" s="589" t="s">
        <v>35</v>
      </c>
      <c r="K324" s="591">
        <v>1500</v>
      </c>
      <c r="L324" s="592">
        <f>IF(J324="TND",1,IF(J324="EUR",Vertical_Cash_flow!$C$16,IF(J324="USD",Vertical_Cash_flow!$F$16,0)))</f>
        <v>1</v>
      </c>
      <c r="M324" s="593">
        <f t="shared" si="20"/>
        <v>1500</v>
      </c>
      <c r="N324" s="589" t="s">
        <v>251</v>
      </c>
      <c r="O324" s="594">
        <v>45287</v>
      </c>
      <c r="P324" s="593">
        <f t="shared" si="21"/>
        <v>-156</v>
      </c>
      <c r="Q324" s="594">
        <v>45443</v>
      </c>
      <c r="R324" s="593">
        <f t="shared" ca="1" si="22"/>
        <v>-2</v>
      </c>
      <c r="S324" s="589" t="str">
        <f>VLOOKUP(Q324,Mapping!L:M,2,0)</f>
        <v>W22_2024</v>
      </c>
      <c r="T324" s="589" t="str">
        <f t="shared" ca="1" si="23"/>
        <v>Not Due</v>
      </c>
      <c r="W324" s="591"/>
    </row>
    <row r="325" spans="1:23" s="589" customFormat="1" x14ac:dyDescent="0.2">
      <c r="A325" s="589" t="s">
        <v>56</v>
      </c>
      <c r="B325" s="589" t="s">
        <v>1249</v>
      </c>
      <c r="C325" s="590" t="s">
        <v>2597</v>
      </c>
      <c r="D325" s="589" t="s">
        <v>100</v>
      </c>
      <c r="E325" s="589" t="s">
        <v>104</v>
      </c>
      <c r="F325" s="589" t="s">
        <v>112</v>
      </c>
      <c r="G325" s="589" t="s">
        <v>51</v>
      </c>
      <c r="H325" s="589" t="s">
        <v>242</v>
      </c>
      <c r="I325" s="589" t="s">
        <v>2909</v>
      </c>
      <c r="J325" s="589" t="s">
        <v>35</v>
      </c>
      <c r="K325" s="591">
        <v>293.517</v>
      </c>
      <c r="L325" s="592">
        <f>IF(J325="TND",1,IF(J325="EUR",Vertical_Cash_flow!$C$16,IF(J325="USD",Vertical_Cash_flow!$F$16,0)))</f>
        <v>1</v>
      </c>
      <c r="M325" s="593">
        <f t="shared" si="20"/>
        <v>293.517</v>
      </c>
      <c r="N325" s="589" t="s">
        <v>251</v>
      </c>
      <c r="O325" s="594">
        <v>45385</v>
      </c>
      <c r="P325" s="593">
        <f t="shared" si="21"/>
        <v>-58</v>
      </c>
      <c r="Q325" s="594">
        <v>45443</v>
      </c>
      <c r="R325" s="593">
        <f t="shared" ca="1" si="22"/>
        <v>-2</v>
      </c>
      <c r="S325" s="589" t="str">
        <f>VLOOKUP(Q325,Mapping!L:M,2,0)</f>
        <v>W22_2024</v>
      </c>
      <c r="T325" s="589" t="str">
        <f t="shared" ca="1" si="23"/>
        <v>Not Due</v>
      </c>
      <c r="W325" s="591"/>
    </row>
    <row r="326" spans="1:23" s="589" customFormat="1" x14ac:dyDescent="0.2">
      <c r="A326" s="589" t="s">
        <v>56</v>
      </c>
      <c r="B326" s="589" t="s">
        <v>605</v>
      </c>
      <c r="C326" s="590" t="s">
        <v>951</v>
      </c>
      <c r="D326" s="589" t="s">
        <v>100</v>
      </c>
      <c r="E326" s="589" t="s">
        <v>104</v>
      </c>
      <c r="F326" s="589" t="s">
        <v>112</v>
      </c>
      <c r="G326" s="589" t="s">
        <v>51</v>
      </c>
      <c r="H326" s="589" t="s">
        <v>242</v>
      </c>
      <c r="I326" s="589" t="s">
        <v>959</v>
      </c>
      <c r="J326" s="589" t="s">
        <v>35</v>
      </c>
      <c r="K326" s="591">
        <v>5500</v>
      </c>
      <c r="L326" s="592">
        <f>IF(J326="TND",1,IF(J326="EUR",Vertical_Cash_flow!$C$16,IF(J326="USD",Vertical_Cash_flow!$F$16,0)))</f>
        <v>1</v>
      </c>
      <c r="M326" s="593">
        <f t="shared" si="20"/>
        <v>5500</v>
      </c>
      <c r="N326" s="589" t="s">
        <v>251</v>
      </c>
      <c r="O326" s="594">
        <v>45260</v>
      </c>
      <c r="P326" s="593">
        <f t="shared" si="21"/>
        <v>-183</v>
      </c>
      <c r="Q326" s="594">
        <v>45443</v>
      </c>
      <c r="R326" s="593">
        <f t="shared" ca="1" si="22"/>
        <v>-2</v>
      </c>
      <c r="S326" s="589" t="str">
        <f>VLOOKUP(Q326,Mapping!L:M,2,0)</f>
        <v>W22_2024</v>
      </c>
      <c r="T326" s="589" t="str">
        <f t="shared" ca="1" si="23"/>
        <v>Not Due</v>
      </c>
      <c r="W326" s="591"/>
    </row>
    <row r="327" spans="1:23" s="589" customFormat="1" x14ac:dyDescent="0.2">
      <c r="A327" s="589" t="s">
        <v>56</v>
      </c>
      <c r="B327" s="589" t="s">
        <v>1048</v>
      </c>
      <c r="C327" s="590" t="s">
        <v>1796</v>
      </c>
      <c r="D327" s="589" t="s">
        <v>100</v>
      </c>
      <c r="E327" s="589" t="s">
        <v>104</v>
      </c>
      <c r="F327" s="589" t="s">
        <v>112</v>
      </c>
      <c r="G327" s="589" t="s">
        <v>51</v>
      </c>
      <c r="H327" s="589" t="s">
        <v>242</v>
      </c>
      <c r="I327" s="589" t="s">
        <v>2015</v>
      </c>
      <c r="J327" s="589" t="s">
        <v>35</v>
      </c>
      <c r="K327" s="591">
        <v>378.71300000000002</v>
      </c>
      <c r="L327" s="592">
        <f>IF(J327="TND",1,IF(J327="EUR",Vertical_Cash_flow!$C$16,IF(J327="USD",Vertical_Cash_flow!$F$16,0)))</f>
        <v>1</v>
      </c>
      <c r="M327" s="593">
        <f t="shared" si="20"/>
        <v>378.71300000000002</v>
      </c>
      <c r="N327" s="589" t="s">
        <v>251</v>
      </c>
      <c r="O327" s="594">
        <v>45380</v>
      </c>
      <c r="P327" s="593">
        <f t="shared" si="21"/>
        <v>-63</v>
      </c>
      <c r="Q327" s="594">
        <v>45443</v>
      </c>
      <c r="R327" s="593">
        <f t="shared" ca="1" si="22"/>
        <v>-2</v>
      </c>
      <c r="S327" s="589" t="str">
        <f>VLOOKUP(Q327,Mapping!L:M,2,0)</f>
        <v>W22_2024</v>
      </c>
      <c r="T327" s="589" t="str">
        <f t="shared" ca="1" si="23"/>
        <v>Not Due</v>
      </c>
      <c r="W327" s="591"/>
    </row>
    <row r="328" spans="1:23" s="589" customFormat="1" x14ac:dyDescent="0.2">
      <c r="A328" s="589" t="s">
        <v>56</v>
      </c>
      <c r="B328" s="589" t="s">
        <v>385</v>
      </c>
      <c r="C328" s="590" t="s">
        <v>1313</v>
      </c>
      <c r="D328" s="589" t="s">
        <v>100</v>
      </c>
      <c r="E328" s="589" t="s">
        <v>104</v>
      </c>
      <c r="F328" s="589" t="s">
        <v>112</v>
      </c>
      <c r="G328" s="589" t="s">
        <v>51</v>
      </c>
      <c r="H328" s="589" t="s">
        <v>242</v>
      </c>
      <c r="I328" s="589" t="s">
        <v>1417</v>
      </c>
      <c r="J328" s="589" t="s">
        <v>35</v>
      </c>
      <c r="K328" s="591">
        <v>3276.884</v>
      </c>
      <c r="L328" s="592">
        <f>IF(J328="TND",1,IF(J328="EUR",Vertical_Cash_flow!$C$16,IF(J328="USD",Vertical_Cash_flow!$F$16,0)))</f>
        <v>1</v>
      </c>
      <c r="M328" s="593">
        <f t="shared" si="20"/>
        <v>3276.884</v>
      </c>
      <c r="N328" s="589" t="s">
        <v>251</v>
      </c>
      <c r="O328" s="594">
        <v>45328</v>
      </c>
      <c r="P328" s="593">
        <f t="shared" si="21"/>
        <v>-115</v>
      </c>
      <c r="Q328" s="594">
        <v>45443</v>
      </c>
      <c r="R328" s="593">
        <f t="shared" ca="1" si="22"/>
        <v>-2</v>
      </c>
      <c r="S328" s="589" t="str">
        <f>VLOOKUP(Q328,Mapping!L:M,2,0)</f>
        <v>W22_2024</v>
      </c>
      <c r="T328" s="589" t="str">
        <f t="shared" ca="1" si="23"/>
        <v>Not Due</v>
      </c>
      <c r="W328" s="591"/>
    </row>
    <row r="329" spans="1:23" s="589" customFormat="1" x14ac:dyDescent="0.2">
      <c r="A329" s="589" t="s">
        <v>56</v>
      </c>
      <c r="B329" s="589" t="s">
        <v>344</v>
      </c>
      <c r="C329" s="590" t="s">
        <v>1800</v>
      </c>
      <c r="D329" s="589" t="s">
        <v>100</v>
      </c>
      <c r="E329" s="589" t="s">
        <v>104</v>
      </c>
      <c r="F329" s="589" t="s">
        <v>112</v>
      </c>
      <c r="G329" s="589" t="s">
        <v>51</v>
      </c>
      <c r="H329" s="589" t="s">
        <v>242</v>
      </c>
      <c r="I329" s="589" t="s">
        <v>2171</v>
      </c>
      <c r="J329" s="589" t="s">
        <v>35</v>
      </c>
      <c r="K329" s="591">
        <v>2766.7959999999998</v>
      </c>
      <c r="L329" s="592">
        <f>IF(J329="TND",1,IF(J329="EUR",Vertical_Cash_flow!$C$16,IF(J329="USD",Vertical_Cash_flow!$F$16,0)))</f>
        <v>1</v>
      </c>
      <c r="M329" s="593">
        <f t="shared" si="20"/>
        <v>2766.7959999999998</v>
      </c>
      <c r="N329" s="589" t="s">
        <v>251</v>
      </c>
      <c r="O329" s="594">
        <v>45351</v>
      </c>
      <c r="P329" s="593">
        <f t="shared" si="21"/>
        <v>-92</v>
      </c>
      <c r="Q329" s="594">
        <v>45443</v>
      </c>
      <c r="R329" s="593">
        <f t="shared" ca="1" si="22"/>
        <v>-2</v>
      </c>
      <c r="S329" s="589" t="str">
        <f>VLOOKUP(Q329,Mapping!L:M,2,0)</f>
        <v>W22_2024</v>
      </c>
      <c r="T329" s="589" t="str">
        <f t="shared" ca="1" si="23"/>
        <v>Not Due</v>
      </c>
      <c r="W329" s="591"/>
    </row>
    <row r="330" spans="1:23" s="589" customFormat="1" x14ac:dyDescent="0.2">
      <c r="A330" s="589" t="s">
        <v>56</v>
      </c>
      <c r="B330" s="589" t="s">
        <v>389</v>
      </c>
      <c r="C330" s="590" t="s">
        <v>1801</v>
      </c>
      <c r="D330" s="589" t="s">
        <v>100</v>
      </c>
      <c r="E330" s="589" t="s">
        <v>104</v>
      </c>
      <c r="F330" s="589" t="s">
        <v>112</v>
      </c>
      <c r="G330" s="589" t="s">
        <v>51</v>
      </c>
      <c r="H330" s="589" t="s">
        <v>242</v>
      </c>
      <c r="I330" s="589" t="s">
        <v>2172</v>
      </c>
      <c r="J330" s="589" t="s">
        <v>35</v>
      </c>
      <c r="K330" s="591">
        <v>2703.9169999999999</v>
      </c>
      <c r="L330" s="592">
        <f>IF(J330="TND",1,IF(J330="EUR",Vertical_Cash_flow!$C$16,IF(J330="USD",Vertical_Cash_flow!$F$16,0)))</f>
        <v>1</v>
      </c>
      <c r="M330" s="593">
        <f t="shared" si="20"/>
        <v>2703.9169999999999</v>
      </c>
      <c r="N330" s="589" t="s">
        <v>251</v>
      </c>
      <c r="O330" s="594">
        <v>45364</v>
      </c>
      <c r="P330" s="593">
        <f t="shared" si="21"/>
        <v>-79</v>
      </c>
      <c r="Q330" s="594">
        <v>45443</v>
      </c>
      <c r="R330" s="593">
        <f t="shared" ca="1" si="22"/>
        <v>-2</v>
      </c>
      <c r="S330" s="589" t="str">
        <f>VLOOKUP(Q330,Mapping!L:M,2,0)</f>
        <v>W22_2024</v>
      </c>
      <c r="T330" s="589" t="str">
        <f t="shared" ca="1" si="23"/>
        <v>Not Due</v>
      </c>
      <c r="W330" s="591"/>
    </row>
    <row r="331" spans="1:23" s="589" customFormat="1" x14ac:dyDescent="0.2">
      <c r="A331" s="589" t="s">
        <v>56</v>
      </c>
      <c r="B331" s="589" t="s">
        <v>893</v>
      </c>
      <c r="C331" s="590" t="s">
        <v>1799</v>
      </c>
      <c r="D331" s="589" t="s">
        <v>100</v>
      </c>
      <c r="E331" s="589" t="s">
        <v>104</v>
      </c>
      <c r="F331" s="589" t="s">
        <v>112</v>
      </c>
      <c r="G331" s="589" t="s">
        <v>51</v>
      </c>
      <c r="H331" s="589" t="s">
        <v>242</v>
      </c>
      <c r="I331" s="589" t="s">
        <v>2170</v>
      </c>
      <c r="J331" s="589" t="s">
        <v>35</v>
      </c>
      <c r="K331" s="591">
        <v>2102.25</v>
      </c>
      <c r="L331" s="592">
        <f>IF(J331="TND",1,IF(J331="EUR",Vertical_Cash_flow!$C$16,IF(J331="USD",Vertical_Cash_flow!$F$16,0)))</f>
        <v>1</v>
      </c>
      <c r="M331" s="593">
        <f t="shared" si="20"/>
        <v>2102.25</v>
      </c>
      <c r="N331" s="589" t="s">
        <v>251</v>
      </c>
      <c r="O331" s="594">
        <v>45348</v>
      </c>
      <c r="P331" s="593">
        <f t="shared" si="21"/>
        <v>-95</v>
      </c>
      <c r="Q331" s="594">
        <v>45443</v>
      </c>
      <c r="R331" s="593">
        <f t="shared" ca="1" si="22"/>
        <v>-2</v>
      </c>
      <c r="S331" s="589" t="str">
        <f>VLOOKUP(Q331,Mapping!L:M,2,0)</f>
        <v>W22_2024</v>
      </c>
      <c r="T331" s="589" t="str">
        <f t="shared" ca="1" si="23"/>
        <v>Not Due</v>
      </c>
      <c r="W331" s="591"/>
    </row>
    <row r="332" spans="1:23" s="589" customFormat="1" x14ac:dyDescent="0.2">
      <c r="A332" s="589" t="s">
        <v>56</v>
      </c>
      <c r="B332" s="589" t="s">
        <v>388</v>
      </c>
      <c r="C332" s="590" t="s">
        <v>1088</v>
      </c>
      <c r="D332" s="589" t="s">
        <v>100</v>
      </c>
      <c r="E332" s="589" t="s">
        <v>104</v>
      </c>
      <c r="F332" s="589" t="s">
        <v>112</v>
      </c>
      <c r="G332" s="589" t="s">
        <v>51</v>
      </c>
      <c r="H332" s="589" t="s">
        <v>242</v>
      </c>
      <c r="I332" s="589" t="s">
        <v>1163</v>
      </c>
      <c r="J332" s="589" t="s">
        <v>35</v>
      </c>
      <c r="K332" s="591">
        <v>4505</v>
      </c>
      <c r="L332" s="592">
        <f>IF(J332="TND",1,IF(J332="EUR",Vertical_Cash_flow!$C$16,IF(J332="USD",Vertical_Cash_flow!$F$16,0)))</f>
        <v>1</v>
      </c>
      <c r="M332" s="593">
        <f t="shared" si="20"/>
        <v>4505</v>
      </c>
      <c r="N332" s="589" t="s">
        <v>251</v>
      </c>
      <c r="O332" s="594">
        <v>45322</v>
      </c>
      <c r="P332" s="593">
        <f t="shared" si="21"/>
        <v>-121</v>
      </c>
      <c r="Q332" s="594">
        <v>45443</v>
      </c>
      <c r="R332" s="593">
        <f t="shared" ca="1" si="22"/>
        <v>-2</v>
      </c>
      <c r="S332" s="589" t="str">
        <f>VLOOKUP(Q332,Mapping!L:M,2,0)</f>
        <v>W22_2024</v>
      </c>
      <c r="T332" s="589" t="str">
        <f t="shared" ca="1" si="23"/>
        <v>Not Due</v>
      </c>
      <c r="W332" s="591"/>
    </row>
    <row r="333" spans="1:23" s="589" customFormat="1" x14ac:dyDescent="0.2">
      <c r="A333" s="589" t="s">
        <v>56</v>
      </c>
      <c r="B333" s="589" t="s">
        <v>893</v>
      </c>
      <c r="C333" s="590" t="s">
        <v>1795</v>
      </c>
      <c r="D333" s="589" t="s">
        <v>100</v>
      </c>
      <c r="E333" s="589" t="s">
        <v>104</v>
      </c>
      <c r="F333" s="589" t="s">
        <v>112</v>
      </c>
      <c r="G333" s="589" t="s">
        <v>51</v>
      </c>
      <c r="H333" s="589" t="s">
        <v>242</v>
      </c>
      <c r="I333" s="589" t="s">
        <v>2167</v>
      </c>
      <c r="J333" s="589" t="s">
        <v>35</v>
      </c>
      <c r="K333" s="591">
        <v>1200</v>
      </c>
      <c r="L333" s="592">
        <f>IF(J333="TND",1,IF(J333="EUR",Vertical_Cash_flow!$C$16,IF(J333="USD",Vertical_Cash_flow!$F$16,0)))</f>
        <v>1</v>
      </c>
      <c r="M333" s="593">
        <f t="shared" si="20"/>
        <v>1200</v>
      </c>
      <c r="N333" s="589" t="s">
        <v>251</v>
      </c>
      <c r="O333" s="594">
        <v>45373</v>
      </c>
      <c r="P333" s="593">
        <f t="shared" si="21"/>
        <v>-70</v>
      </c>
      <c r="Q333" s="594">
        <v>45443</v>
      </c>
      <c r="R333" s="593">
        <f t="shared" ca="1" si="22"/>
        <v>-2</v>
      </c>
      <c r="S333" s="589" t="str">
        <f>VLOOKUP(Q333,Mapping!L:M,2,0)</f>
        <v>W22_2024</v>
      </c>
      <c r="T333" s="589" t="str">
        <f t="shared" ca="1" si="23"/>
        <v>Not Due</v>
      </c>
      <c r="W333" s="591"/>
    </row>
    <row r="334" spans="1:23" s="589" customFormat="1" x14ac:dyDescent="0.2">
      <c r="A334" s="589" t="s">
        <v>56</v>
      </c>
      <c r="B334" s="589" t="s">
        <v>387</v>
      </c>
      <c r="C334" s="590" t="s">
        <v>1314</v>
      </c>
      <c r="D334" s="589" t="s">
        <v>100</v>
      </c>
      <c r="E334" s="589" t="s">
        <v>104</v>
      </c>
      <c r="F334" s="589" t="s">
        <v>112</v>
      </c>
      <c r="G334" s="589" t="s">
        <v>51</v>
      </c>
      <c r="H334" s="589" t="s">
        <v>242</v>
      </c>
      <c r="I334" s="589" t="s">
        <v>1418</v>
      </c>
      <c r="J334" s="589" t="s">
        <v>35</v>
      </c>
      <c r="K334" s="591">
        <v>1125.702</v>
      </c>
      <c r="L334" s="592">
        <f>IF(J334="TND",1,IF(J334="EUR",Vertical_Cash_flow!$C$16,IF(J334="USD",Vertical_Cash_flow!$F$16,0)))</f>
        <v>1</v>
      </c>
      <c r="M334" s="593">
        <f t="shared" si="20"/>
        <v>1125.702</v>
      </c>
      <c r="N334" s="589" t="s">
        <v>251</v>
      </c>
      <c r="O334" s="594">
        <v>45328</v>
      </c>
      <c r="P334" s="593">
        <f t="shared" si="21"/>
        <v>-115</v>
      </c>
      <c r="Q334" s="594">
        <v>45443</v>
      </c>
      <c r="R334" s="593">
        <f t="shared" ca="1" si="22"/>
        <v>-2</v>
      </c>
      <c r="S334" s="589" t="str">
        <f>VLOOKUP(Q334,Mapping!L:M,2,0)</f>
        <v>W22_2024</v>
      </c>
      <c r="T334" s="589" t="str">
        <f t="shared" ca="1" si="23"/>
        <v>Not Due</v>
      </c>
      <c r="W334" s="591"/>
    </row>
    <row r="335" spans="1:23" s="589" customFormat="1" x14ac:dyDescent="0.2">
      <c r="A335" s="589" t="s">
        <v>56</v>
      </c>
      <c r="B335" s="589" t="s">
        <v>1494</v>
      </c>
      <c r="C335" s="590" t="s">
        <v>1797</v>
      </c>
      <c r="D335" s="589" t="s">
        <v>100</v>
      </c>
      <c r="E335" s="589" t="s">
        <v>104</v>
      </c>
      <c r="F335" s="589" t="s">
        <v>112</v>
      </c>
      <c r="G335" s="589" t="s">
        <v>51</v>
      </c>
      <c r="H335" s="589" t="s">
        <v>242</v>
      </c>
      <c r="I335" s="589" t="s">
        <v>2168</v>
      </c>
      <c r="J335" s="589" t="s">
        <v>35</v>
      </c>
      <c r="K335" s="591">
        <v>600.38499999999999</v>
      </c>
      <c r="L335" s="592">
        <f>IF(J335="TND",1,IF(J335="EUR",Vertical_Cash_flow!$C$16,IF(J335="USD",Vertical_Cash_flow!$F$16,0)))</f>
        <v>1</v>
      </c>
      <c r="M335" s="593">
        <f t="shared" si="20"/>
        <v>600.38499999999999</v>
      </c>
      <c r="N335" s="589" t="s">
        <v>251</v>
      </c>
      <c r="O335" s="594">
        <v>45349</v>
      </c>
      <c r="P335" s="593">
        <f t="shared" si="21"/>
        <v>-94</v>
      </c>
      <c r="Q335" s="594">
        <v>45443</v>
      </c>
      <c r="R335" s="593">
        <f t="shared" ca="1" si="22"/>
        <v>-2</v>
      </c>
      <c r="S335" s="589" t="str">
        <f>VLOOKUP(Q335,Mapping!L:M,2,0)</f>
        <v>W22_2024</v>
      </c>
      <c r="T335" s="589" t="str">
        <f t="shared" ca="1" si="23"/>
        <v>Not Due</v>
      </c>
      <c r="W335" s="591"/>
    </row>
    <row r="336" spans="1:23" s="589" customFormat="1" x14ac:dyDescent="0.2">
      <c r="A336" s="589" t="s">
        <v>56</v>
      </c>
      <c r="B336" s="589" t="s">
        <v>1485</v>
      </c>
      <c r="C336" s="590" t="s">
        <v>1798</v>
      </c>
      <c r="D336" s="589" t="s">
        <v>100</v>
      </c>
      <c r="E336" s="589" t="s">
        <v>104</v>
      </c>
      <c r="F336" s="589" t="s">
        <v>112</v>
      </c>
      <c r="G336" s="589" t="s">
        <v>51</v>
      </c>
      <c r="H336" s="589" t="s">
        <v>242</v>
      </c>
      <c r="I336" s="589" t="s">
        <v>2169</v>
      </c>
      <c r="J336" s="589" t="s">
        <v>35</v>
      </c>
      <c r="K336" s="591">
        <v>2061.1689999999999</v>
      </c>
      <c r="L336" s="592">
        <f>IF(J336="TND",1,IF(J336="EUR",Vertical_Cash_flow!$C$16,IF(J336="USD",Vertical_Cash_flow!$F$16,0)))</f>
        <v>1</v>
      </c>
      <c r="M336" s="593">
        <f t="shared" si="20"/>
        <v>2061.1689999999999</v>
      </c>
      <c r="N336" s="589" t="s">
        <v>251</v>
      </c>
      <c r="O336" s="594">
        <v>45362</v>
      </c>
      <c r="P336" s="593">
        <f t="shared" si="21"/>
        <v>-81</v>
      </c>
      <c r="Q336" s="594">
        <v>45443</v>
      </c>
      <c r="R336" s="593">
        <f t="shared" ca="1" si="22"/>
        <v>-2</v>
      </c>
      <c r="S336" s="589" t="str">
        <f>VLOOKUP(Q336,Mapping!L:M,2,0)</f>
        <v>W22_2024</v>
      </c>
      <c r="T336" s="589" t="str">
        <f t="shared" ca="1" si="23"/>
        <v>Not Due</v>
      </c>
      <c r="W336" s="591"/>
    </row>
    <row r="337" spans="1:23" s="589" customFormat="1" x14ac:dyDescent="0.2">
      <c r="A337" s="589" t="s">
        <v>56</v>
      </c>
      <c r="B337" s="589" t="s">
        <v>534</v>
      </c>
      <c r="C337" s="590" t="s">
        <v>941</v>
      </c>
      <c r="D337" s="589" t="s">
        <v>100</v>
      </c>
      <c r="E337" s="589" t="s">
        <v>104</v>
      </c>
      <c r="F337" s="589" t="s">
        <v>112</v>
      </c>
      <c r="G337" s="589" t="s">
        <v>51</v>
      </c>
      <c r="H337" s="589" t="s">
        <v>242</v>
      </c>
      <c r="I337" s="589" t="s">
        <v>851</v>
      </c>
      <c r="J337" s="589" t="s">
        <v>35</v>
      </c>
      <c r="K337" s="591">
        <v>30155.327000000001</v>
      </c>
      <c r="L337" s="592">
        <f>IF(J337="TND",1,IF(J337="EUR",Vertical_Cash_flow!$C$16,IF(J337="USD",Vertical_Cash_flow!$F$16,0)))</f>
        <v>1</v>
      </c>
      <c r="M337" s="593">
        <f t="shared" si="20"/>
        <v>30155.327000000001</v>
      </c>
      <c r="N337" s="589" t="s">
        <v>251</v>
      </c>
      <c r="O337" s="594">
        <v>45230</v>
      </c>
      <c r="P337" s="593">
        <f t="shared" si="21"/>
        <v>-213</v>
      </c>
      <c r="Q337" s="594">
        <v>45443</v>
      </c>
      <c r="R337" s="593">
        <f t="shared" ca="1" si="22"/>
        <v>-2</v>
      </c>
      <c r="S337" s="589" t="str">
        <f>VLOOKUP(Q337,Mapping!L:M,2,0)</f>
        <v>W22_2024</v>
      </c>
      <c r="T337" s="589" t="str">
        <f t="shared" ca="1" si="23"/>
        <v>Not Due</v>
      </c>
      <c r="W337" s="591"/>
    </row>
    <row r="338" spans="1:23" s="589" customFormat="1" x14ac:dyDescent="0.2">
      <c r="A338" s="589" t="s">
        <v>56</v>
      </c>
      <c r="B338" s="589" t="s">
        <v>279</v>
      </c>
      <c r="C338" s="590" t="s">
        <v>1089</v>
      </c>
      <c r="D338" s="589" t="s">
        <v>100</v>
      </c>
      <c r="E338" s="589" t="s">
        <v>104</v>
      </c>
      <c r="F338" s="589" t="s">
        <v>112</v>
      </c>
      <c r="G338" s="589" t="s">
        <v>51</v>
      </c>
      <c r="H338" s="589" t="s">
        <v>242</v>
      </c>
      <c r="I338" s="589" t="s">
        <v>1164</v>
      </c>
      <c r="J338" s="589" t="s">
        <v>35</v>
      </c>
      <c r="K338" s="591">
        <v>3700</v>
      </c>
      <c r="L338" s="592">
        <f>IF(J338="TND",1,IF(J338="EUR",Vertical_Cash_flow!$C$16,IF(J338="USD",Vertical_Cash_flow!$F$16,0)))</f>
        <v>1</v>
      </c>
      <c r="M338" s="593">
        <f t="shared" si="20"/>
        <v>3700</v>
      </c>
      <c r="N338" s="589" t="s">
        <v>251</v>
      </c>
      <c r="O338" s="594">
        <v>45324</v>
      </c>
      <c r="P338" s="593">
        <f t="shared" si="21"/>
        <v>-119</v>
      </c>
      <c r="Q338" s="594">
        <v>45443</v>
      </c>
      <c r="R338" s="593">
        <f t="shared" ca="1" si="22"/>
        <v>-2</v>
      </c>
      <c r="S338" s="589" t="str">
        <f>VLOOKUP(Q338,Mapping!L:M,2,0)</f>
        <v>W22_2024</v>
      </c>
      <c r="T338" s="589" t="str">
        <f t="shared" ca="1" si="23"/>
        <v>Not Due</v>
      </c>
      <c r="W338" s="591"/>
    </row>
    <row r="339" spans="1:23" s="589" customFormat="1" x14ac:dyDescent="0.2">
      <c r="A339" s="589" t="s">
        <v>56</v>
      </c>
      <c r="B339" s="589" t="s">
        <v>3414</v>
      </c>
      <c r="C339" s="590" t="s">
        <v>3570</v>
      </c>
      <c r="D339" s="589" t="s">
        <v>100</v>
      </c>
      <c r="E339" s="589" t="s">
        <v>104</v>
      </c>
      <c r="F339" s="589" t="s">
        <v>112</v>
      </c>
      <c r="G339" s="589" t="s">
        <v>51</v>
      </c>
      <c r="H339" s="589" t="s">
        <v>242</v>
      </c>
      <c r="I339" s="589" t="s">
        <v>3715</v>
      </c>
      <c r="J339" s="589" t="s">
        <v>35</v>
      </c>
      <c r="K339" s="591">
        <v>1000</v>
      </c>
      <c r="L339" s="592">
        <f>IF(J339="TND",1,IF(J339="EUR",Vertical_Cash_flow!$C$16,IF(J339="USD",Vertical_Cash_flow!$F$16,0)))</f>
        <v>1</v>
      </c>
      <c r="M339" s="593">
        <f t="shared" si="20"/>
        <v>1000</v>
      </c>
      <c r="N339" s="589" t="s">
        <v>251</v>
      </c>
      <c r="O339" s="594">
        <v>45430</v>
      </c>
      <c r="P339" s="593">
        <f t="shared" si="21"/>
        <v>-13</v>
      </c>
      <c r="Q339" s="594">
        <v>45443</v>
      </c>
      <c r="R339" s="593">
        <f t="shared" ca="1" si="22"/>
        <v>-2</v>
      </c>
      <c r="S339" s="589" t="str">
        <f>VLOOKUP(Q339,Mapping!L:M,2,0)</f>
        <v>W22_2024</v>
      </c>
      <c r="T339" s="589" t="str">
        <f t="shared" ca="1" si="23"/>
        <v>Not Due</v>
      </c>
      <c r="W339" s="591"/>
    </row>
    <row r="340" spans="1:23" s="589" customFormat="1" x14ac:dyDescent="0.2">
      <c r="A340" s="589" t="s">
        <v>56</v>
      </c>
      <c r="B340" s="589" t="s">
        <v>372</v>
      </c>
      <c r="C340" s="590" t="s">
        <v>1312</v>
      </c>
      <c r="D340" s="589" t="s">
        <v>100</v>
      </c>
      <c r="E340" s="589" t="s">
        <v>104</v>
      </c>
      <c r="F340" s="589" t="s">
        <v>112</v>
      </c>
      <c r="G340" s="589" t="s">
        <v>51</v>
      </c>
      <c r="H340" s="589" t="s">
        <v>242</v>
      </c>
      <c r="I340" s="589" t="s">
        <v>1416</v>
      </c>
      <c r="J340" s="589" t="s">
        <v>35</v>
      </c>
      <c r="K340" s="591">
        <v>1913.989</v>
      </c>
      <c r="L340" s="592">
        <f>IF(J340="TND",1,IF(J340="EUR",Vertical_Cash_flow!$C$16,IF(J340="USD",Vertical_Cash_flow!$F$16,0)))</f>
        <v>1</v>
      </c>
      <c r="M340" s="593">
        <f t="shared" si="20"/>
        <v>1913.989</v>
      </c>
      <c r="N340" s="589" t="s">
        <v>251</v>
      </c>
      <c r="O340" s="594">
        <v>45334</v>
      </c>
      <c r="P340" s="593">
        <f t="shared" si="21"/>
        <v>-109</v>
      </c>
      <c r="Q340" s="594">
        <v>45443</v>
      </c>
      <c r="R340" s="593">
        <f t="shared" ca="1" si="22"/>
        <v>-2</v>
      </c>
      <c r="S340" s="589" t="str">
        <f>VLOOKUP(Q340,Mapping!L:M,2,0)</f>
        <v>W22_2024</v>
      </c>
      <c r="T340" s="589" t="str">
        <f t="shared" ca="1" si="23"/>
        <v>Not Due</v>
      </c>
      <c r="W340" s="591"/>
    </row>
    <row r="341" spans="1:23" s="589" customFormat="1" x14ac:dyDescent="0.2">
      <c r="A341" s="589" t="s">
        <v>56</v>
      </c>
      <c r="B341" s="589" t="s">
        <v>572</v>
      </c>
      <c r="C341" s="590" t="s">
        <v>1792</v>
      </c>
      <c r="D341" s="589" t="s">
        <v>100</v>
      </c>
      <c r="E341" s="589" t="s">
        <v>104</v>
      </c>
      <c r="F341" s="589" t="s">
        <v>112</v>
      </c>
      <c r="G341" s="589" t="s">
        <v>51</v>
      </c>
      <c r="H341" s="589" t="s">
        <v>242</v>
      </c>
      <c r="I341" s="589" t="s">
        <v>2164</v>
      </c>
      <c r="J341" s="589" t="s">
        <v>35</v>
      </c>
      <c r="K341" s="591">
        <v>851.5</v>
      </c>
      <c r="L341" s="592">
        <f>IF(J341="TND",1,IF(J341="EUR",Vertical_Cash_flow!$C$16,IF(J341="USD",Vertical_Cash_flow!$F$16,0)))</f>
        <v>1</v>
      </c>
      <c r="M341" s="593">
        <f t="shared" ref="M341:M404" si="24">K341/L341</f>
        <v>851.5</v>
      </c>
      <c r="N341" s="589" t="s">
        <v>251</v>
      </c>
      <c r="O341" s="594">
        <v>45359</v>
      </c>
      <c r="P341" s="593">
        <f t="shared" ref="P341:P404" si="25">O341-Q341</f>
        <v>-84</v>
      </c>
      <c r="Q341" s="594">
        <v>45443</v>
      </c>
      <c r="R341" s="593">
        <f t="shared" ref="R341:R404" ca="1" si="26">$W$1-Q341</f>
        <v>-2</v>
      </c>
      <c r="S341" s="589" t="str">
        <f>VLOOKUP(Q341,Mapping!L:M,2,0)</f>
        <v>W22_2024</v>
      </c>
      <c r="T341" s="589" t="str">
        <f t="shared" ref="T341:T404" ca="1" si="27">IF(R341="","",IF(R341&lt;0,"Not Due",IF(AND(R341&gt;=0,R341&lt;=30),"up to 30 days",IF(AND(R341&gt;30,R341&lt;=60),"30-60 days",IF(AND(R341&gt;60,R341&lt;=90),"60-90 days",IF(AND(R341&gt;90,R341&lt;=120),"90-120 days",IF(AND(R341&gt;120,R341&lt;=180),"120-180 days",IF(AND(R341&gt;180,R341&lt;=360),"180-360 days",IF(R341&gt;360,"more than 360 days","ok")))))))))</f>
        <v>Not Due</v>
      </c>
      <c r="W341" s="591"/>
    </row>
    <row r="342" spans="1:23" s="589" customFormat="1" x14ac:dyDescent="0.2">
      <c r="A342" s="589" t="s">
        <v>56</v>
      </c>
      <c r="B342" s="589" t="s">
        <v>373</v>
      </c>
      <c r="C342" s="590" t="s">
        <v>1791</v>
      </c>
      <c r="D342" s="589" t="s">
        <v>100</v>
      </c>
      <c r="E342" s="589" t="s">
        <v>104</v>
      </c>
      <c r="F342" s="589" t="s">
        <v>112</v>
      </c>
      <c r="G342" s="589" t="s">
        <v>51</v>
      </c>
      <c r="H342" s="589" t="s">
        <v>242</v>
      </c>
      <c r="I342" s="589" t="s">
        <v>2163</v>
      </c>
      <c r="J342" s="589" t="s">
        <v>35</v>
      </c>
      <c r="K342" s="591">
        <v>1735.807</v>
      </c>
      <c r="L342" s="592">
        <f>IF(J342="TND",1,IF(J342="EUR",Vertical_Cash_flow!$C$16,IF(J342="USD",Vertical_Cash_flow!$F$16,0)))</f>
        <v>1</v>
      </c>
      <c r="M342" s="593">
        <f t="shared" si="24"/>
        <v>1735.807</v>
      </c>
      <c r="N342" s="589" t="s">
        <v>251</v>
      </c>
      <c r="O342" s="594">
        <v>45381</v>
      </c>
      <c r="P342" s="593">
        <f t="shared" si="25"/>
        <v>-62</v>
      </c>
      <c r="Q342" s="594">
        <v>45443</v>
      </c>
      <c r="R342" s="593">
        <f t="shared" ca="1" si="26"/>
        <v>-2</v>
      </c>
      <c r="S342" s="589" t="str">
        <f>VLOOKUP(Q342,Mapping!L:M,2,0)</f>
        <v>W22_2024</v>
      </c>
      <c r="T342" s="589" t="str">
        <f t="shared" ca="1" si="27"/>
        <v>Not Due</v>
      </c>
      <c r="W342" s="591"/>
    </row>
    <row r="343" spans="1:23" s="589" customFormat="1" x14ac:dyDescent="0.2">
      <c r="A343" s="589" t="s">
        <v>56</v>
      </c>
      <c r="B343" s="589" t="s">
        <v>322</v>
      </c>
      <c r="C343" s="590" t="s">
        <v>1794</v>
      </c>
      <c r="D343" s="589" t="s">
        <v>100</v>
      </c>
      <c r="E343" s="589" t="s">
        <v>104</v>
      </c>
      <c r="F343" s="589" t="s">
        <v>112</v>
      </c>
      <c r="G343" s="589" t="s">
        <v>51</v>
      </c>
      <c r="H343" s="589" t="s">
        <v>242</v>
      </c>
      <c r="I343" s="589" t="s">
        <v>2166</v>
      </c>
      <c r="J343" s="589" t="s">
        <v>35</v>
      </c>
      <c r="K343" s="591">
        <v>3000</v>
      </c>
      <c r="L343" s="592">
        <f>IF(J343="TND",1,IF(J343="EUR",Vertical_Cash_flow!$C$16,IF(J343="USD",Vertical_Cash_flow!$F$16,0)))</f>
        <v>1</v>
      </c>
      <c r="M343" s="593">
        <f t="shared" si="24"/>
        <v>3000</v>
      </c>
      <c r="N343" s="589" t="s">
        <v>251</v>
      </c>
      <c r="O343" s="594">
        <v>45350</v>
      </c>
      <c r="P343" s="593">
        <f t="shared" si="25"/>
        <v>-93</v>
      </c>
      <c r="Q343" s="594">
        <v>45443</v>
      </c>
      <c r="R343" s="593">
        <f t="shared" ca="1" si="26"/>
        <v>-2</v>
      </c>
      <c r="S343" s="589" t="str">
        <f>VLOOKUP(Q343,Mapping!L:M,2,0)</f>
        <v>W22_2024</v>
      </c>
      <c r="T343" s="589" t="str">
        <f t="shared" ca="1" si="27"/>
        <v>Not Due</v>
      </c>
      <c r="W343" s="591"/>
    </row>
    <row r="344" spans="1:23" s="589" customFormat="1" x14ac:dyDescent="0.2">
      <c r="A344" s="589" t="s">
        <v>56</v>
      </c>
      <c r="B344" s="589" t="s">
        <v>585</v>
      </c>
      <c r="C344" s="590" t="s">
        <v>1793</v>
      </c>
      <c r="D344" s="589" t="s">
        <v>100</v>
      </c>
      <c r="E344" s="589" t="s">
        <v>104</v>
      </c>
      <c r="F344" s="589" t="s">
        <v>112</v>
      </c>
      <c r="G344" s="589" t="s">
        <v>51</v>
      </c>
      <c r="H344" s="589" t="s">
        <v>242</v>
      </c>
      <c r="I344" s="589" t="s">
        <v>2165</v>
      </c>
      <c r="J344" s="589" t="s">
        <v>35</v>
      </c>
      <c r="K344" s="591">
        <v>243.49199999999999</v>
      </c>
      <c r="L344" s="592">
        <f>IF(J344="TND",1,IF(J344="EUR",Vertical_Cash_flow!$C$16,IF(J344="USD",Vertical_Cash_flow!$F$16,0)))</f>
        <v>1</v>
      </c>
      <c r="M344" s="593">
        <f t="shared" si="24"/>
        <v>243.49199999999999</v>
      </c>
      <c r="N344" s="589" t="s">
        <v>251</v>
      </c>
      <c r="O344" s="594">
        <v>45364</v>
      </c>
      <c r="P344" s="593">
        <f t="shared" si="25"/>
        <v>-79</v>
      </c>
      <c r="Q344" s="594">
        <v>45443</v>
      </c>
      <c r="R344" s="593">
        <f t="shared" ca="1" si="26"/>
        <v>-2</v>
      </c>
      <c r="S344" s="589" t="str">
        <f>VLOOKUP(Q344,Mapping!L:M,2,0)</f>
        <v>W22_2024</v>
      </c>
      <c r="T344" s="589" t="str">
        <f t="shared" ca="1" si="27"/>
        <v>Not Due</v>
      </c>
      <c r="W344" s="591"/>
    </row>
    <row r="345" spans="1:23" s="589" customFormat="1" x14ac:dyDescent="0.2">
      <c r="A345" s="589" t="s">
        <v>56</v>
      </c>
      <c r="B345" s="589" t="s">
        <v>1495</v>
      </c>
      <c r="C345" s="590" t="s">
        <v>1790</v>
      </c>
      <c r="D345" s="589" t="s">
        <v>100</v>
      </c>
      <c r="E345" s="589" t="s">
        <v>104</v>
      </c>
      <c r="F345" s="589" t="s">
        <v>112</v>
      </c>
      <c r="G345" s="589" t="s">
        <v>51</v>
      </c>
      <c r="H345" s="589" t="s">
        <v>242</v>
      </c>
      <c r="I345" s="589" t="s">
        <v>2162</v>
      </c>
      <c r="J345" s="589" t="s">
        <v>35</v>
      </c>
      <c r="K345" s="591">
        <v>2212.5189999999998</v>
      </c>
      <c r="L345" s="592">
        <f>IF(J345="TND",1,IF(J345="EUR",Vertical_Cash_flow!$C$16,IF(J345="USD",Vertical_Cash_flow!$F$16,0)))</f>
        <v>1</v>
      </c>
      <c r="M345" s="593">
        <f t="shared" si="24"/>
        <v>2212.5189999999998</v>
      </c>
      <c r="N345" s="589" t="s">
        <v>251</v>
      </c>
      <c r="O345" s="594">
        <v>45353</v>
      </c>
      <c r="P345" s="593">
        <f t="shared" si="25"/>
        <v>-90</v>
      </c>
      <c r="Q345" s="594">
        <v>45443</v>
      </c>
      <c r="R345" s="593">
        <f t="shared" ca="1" si="26"/>
        <v>-2</v>
      </c>
      <c r="S345" s="589" t="str">
        <f>VLOOKUP(Q345,Mapping!L:M,2,0)</f>
        <v>W22_2024</v>
      </c>
      <c r="T345" s="589" t="str">
        <f t="shared" ca="1" si="27"/>
        <v>Not Due</v>
      </c>
      <c r="W345" s="591"/>
    </row>
    <row r="346" spans="1:23" s="589" customFormat="1" x14ac:dyDescent="0.2">
      <c r="A346" s="589" t="s">
        <v>56</v>
      </c>
      <c r="B346" s="589" t="s">
        <v>375</v>
      </c>
      <c r="C346" s="590" t="s">
        <v>1789</v>
      </c>
      <c r="D346" s="589" t="s">
        <v>100</v>
      </c>
      <c r="E346" s="589" t="s">
        <v>104</v>
      </c>
      <c r="F346" s="589" t="s">
        <v>112</v>
      </c>
      <c r="G346" s="589" t="s">
        <v>51</v>
      </c>
      <c r="H346" s="589" t="s">
        <v>242</v>
      </c>
      <c r="I346" s="589" t="s">
        <v>2161</v>
      </c>
      <c r="J346" s="589" t="s">
        <v>35</v>
      </c>
      <c r="K346" s="591">
        <v>2786</v>
      </c>
      <c r="L346" s="592">
        <f>IF(J346="TND",1,IF(J346="EUR",Vertical_Cash_flow!$C$16,IF(J346="USD",Vertical_Cash_flow!$F$16,0)))</f>
        <v>1</v>
      </c>
      <c r="M346" s="593">
        <f t="shared" si="24"/>
        <v>2786</v>
      </c>
      <c r="N346" s="589" t="s">
        <v>251</v>
      </c>
      <c r="O346" s="594">
        <v>45350</v>
      </c>
      <c r="P346" s="593">
        <f t="shared" si="25"/>
        <v>-93</v>
      </c>
      <c r="Q346" s="594">
        <v>45443</v>
      </c>
      <c r="R346" s="593">
        <f t="shared" ca="1" si="26"/>
        <v>-2</v>
      </c>
      <c r="S346" s="589" t="str">
        <f>VLOOKUP(Q346,Mapping!L:M,2,0)</f>
        <v>W22_2024</v>
      </c>
      <c r="T346" s="589" t="str">
        <f t="shared" ca="1" si="27"/>
        <v>Not Due</v>
      </c>
      <c r="W346" s="591"/>
    </row>
    <row r="347" spans="1:23" s="589" customFormat="1" x14ac:dyDescent="0.2">
      <c r="A347" s="589" t="s">
        <v>56</v>
      </c>
      <c r="B347" s="589" t="s">
        <v>337</v>
      </c>
      <c r="C347" s="590" t="s">
        <v>3569</v>
      </c>
      <c r="D347" s="589" t="s">
        <v>100</v>
      </c>
      <c r="E347" s="589" t="s">
        <v>104</v>
      </c>
      <c r="F347" s="589" t="s">
        <v>112</v>
      </c>
      <c r="G347" s="589" t="s">
        <v>51</v>
      </c>
      <c r="H347" s="589" t="s">
        <v>242</v>
      </c>
      <c r="I347" s="589" t="s">
        <v>3714</v>
      </c>
      <c r="J347" s="589" t="s">
        <v>35</v>
      </c>
      <c r="K347" s="591">
        <v>9439.6919999999991</v>
      </c>
      <c r="L347" s="592">
        <f>IF(J347="TND",1,IF(J347="EUR",Vertical_Cash_flow!$C$16,IF(J347="USD",Vertical_Cash_flow!$F$16,0)))</f>
        <v>1</v>
      </c>
      <c r="M347" s="593">
        <f t="shared" si="24"/>
        <v>9439.6919999999991</v>
      </c>
      <c r="N347" s="589" t="s">
        <v>251</v>
      </c>
      <c r="O347" s="594">
        <v>45427</v>
      </c>
      <c r="P347" s="593">
        <f t="shared" si="25"/>
        <v>-16</v>
      </c>
      <c r="Q347" s="594">
        <v>45443</v>
      </c>
      <c r="R347" s="593">
        <f t="shared" ca="1" si="26"/>
        <v>-2</v>
      </c>
      <c r="S347" s="589" t="str">
        <f>VLOOKUP(Q347,Mapping!L:M,2,0)</f>
        <v>W22_2024</v>
      </c>
      <c r="T347" s="589" t="str">
        <f t="shared" ca="1" si="27"/>
        <v>Not Due</v>
      </c>
      <c r="W347" s="591"/>
    </row>
    <row r="348" spans="1:23" s="589" customFormat="1" x14ac:dyDescent="0.2">
      <c r="A348" s="589" t="s">
        <v>56</v>
      </c>
      <c r="B348" s="589" t="s">
        <v>334</v>
      </c>
      <c r="C348" s="590" t="s">
        <v>1311</v>
      </c>
      <c r="D348" s="589" t="s">
        <v>100</v>
      </c>
      <c r="E348" s="589" t="s">
        <v>104</v>
      </c>
      <c r="F348" s="589" t="s">
        <v>112</v>
      </c>
      <c r="G348" s="589" t="s">
        <v>51</v>
      </c>
      <c r="H348" s="589" t="s">
        <v>242</v>
      </c>
      <c r="I348" s="589" t="s">
        <v>1415</v>
      </c>
      <c r="J348" s="589" t="s">
        <v>35</v>
      </c>
      <c r="K348" s="591">
        <v>720.33399999999995</v>
      </c>
      <c r="L348" s="592">
        <f>IF(J348="TND",1,IF(J348="EUR",Vertical_Cash_flow!$C$16,IF(J348="USD",Vertical_Cash_flow!$F$16,0)))</f>
        <v>1</v>
      </c>
      <c r="M348" s="593">
        <f t="shared" si="24"/>
        <v>720.33399999999995</v>
      </c>
      <c r="N348" s="589" t="s">
        <v>251</v>
      </c>
      <c r="O348" s="594">
        <v>45336</v>
      </c>
      <c r="P348" s="593">
        <f t="shared" si="25"/>
        <v>-107</v>
      </c>
      <c r="Q348" s="594">
        <v>45443</v>
      </c>
      <c r="R348" s="593">
        <f t="shared" ca="1" si="26"/>
        <v>-2</v>
      </c>
      <c r="S348" s="589" t="str">
        <f>VLOOKUP(Q348,Mapping!L:M,2,0)</f>
        <v>W22_2024</v>
      </c>
      <c r="T348" s="589" t="str">
        <f t="shared" ca="1" si="27"/>
        <v>Not Due</v>
      </c>
      <c r="W348" s="591"/>
    </row>
    <row r="349" spans="1:23" s="589" customFormat="1" x14ac:dyDescent="0.2">
      <c r="A349" s="589" t="s">
        <v>56</v>
      </c>
      <c r="B349" s="589" t="s">
        <v>1052</v>
      </c>
      <c r="C349" s="590" t="s">
        <v>3568</v>
      </c>
      <c r="D349" s="589" t="s">
        <v>100</v>
      </c>
      <c r="E349" s="589" t="s">
        <v>104</v>
      </c>
      <c r="F349" s="589" t="s">
        <v>112</v>
      </c>
      <c r="G349" s="589" t="s">
        <v>51</v>
      </c>
      <c r="H349" s="589" t="s">
        <v>242</v>
      </c>
      <c r="I349" s="589" t="s">
        <v>3713</v>
      </c>
      <c r="J349" s="589" t="s">
        <v>35</v>
      </c>
      <c r="K349" s="591">
        <v>7663.1769999999997</v>
      </c>
      <c r="L349" s="592">
        <f>IF(J349="TND",1,IF(J349="EUR",Vertical_Cash_flow!$C$16,IF(J349="USD",Vertical_Cash_flow!$F$16,0)))</f>
        <v>1</v>
      </c>
      <c r="M349" s="593">
        <f t="shared" si="24"/>
        <v>7663.1769999999997</v>
      </c>
      <c r="N349" s="589" t="s">
        <v>251</v>
      </c>
      <c r="O349" s="594">
        <v>45432</v>
      </c>
      <c r="P349" s="593">
        <f t="shared" si="25"/>
        <v>-11</v>
      </c>
      <c r="Q349" s="594">
        <v>45443</v>
      </c>
      <c r="R349" s="593">
        <f t="shared" ca="1" si="26"/>
        <v>-2</v>
      </c>
      <c r="S349" s="589" t="str">
        <f>VLOOKUP(Q349,Mapping!L:M,2,0)</f>
        <v>W22_2024</v>
      </c>
      <c r="T349" s="589" t="str">
        <f t="shared" ca="1" si="27"/>
        <v>Not Due</v>
      </c>
      <c r="W349" s="591"/>
    </row>
    <row r="350" spans="1:23" s="589" customFormat="1" x14ac:dyDescent="0.2">
      <c r="A350" s="589" t="s">
        <v>56</v>
      </c>
      <c r="B350" s="589" t="s">
        <v>508</v>
      </c>
      <c r="C350" s="590" t="s">
        <v>1788</v>
      </c>
      <c r="D350" s="589" t="s">
        <v>100</v>
      </c>
      <c r="E350" s="589" t="s">
        <v>104</v>
      </c>
      <c r="F350" s="589" t="s">
        <v>112</v>
      </c>
      <c r="G350" s="589" t="s">
        <v>51</v>
      </c>
      <c r="H350" s="589" t="s">
        <v>242</v>
      </c>
      <c r="I350" s="589" t="s">
        <v>2160</v>
      </c>
      <c r="J350" s="589" t="s">
        <v>35</v>
      </c>
      <c r="K350" s="591">
        <v>2831.058</v>
      </c>
      <c r="L350" s="592">
        <f>IF(J350="TND",1,IF(J350="EUR",Vertical_Cash_flow!$C$16,IF(J350="USD",Vertical_Cash_flow!$F$16,0)))</f>
        <v>1</v>
      </c>
      <c r="M350" s="593">
        <f t="shared" si="24"/>
        <v>2831.058</v>
      </c>
      <c r="N350" s="589" t="s">
        <v>251</v>
      </c>
      <c r="O350" s="594">
        <v>45357</v>
      </c>
      <c r="P350" s="593">
        <f t="shared" si="25"/>
        <v>-86</v>
      </c>
      <c r="Q350" s="594">
        <v>45443</v>
      </c>
      <c r="R350" s="593">
        <f t="shared" ca="1" si="26"/>
        <v>-2</v>
      </c>
      <c r="S350" s="589" t="str">
        <f>VLOOKUP(Q350,Mapping!L:M,2,0)</f>
        <v>W22_2024</v>
      </c>
      <c r="T350" s="589" t="str">
        <f t="shared" ca="1" si="27"/>
        <v>Not Due</v>
      </c>
      <c r="W350" s="591"/>
    </row>
    <row r="351" spans="1:23" s="589" customFormat="1" x14ac:dyDescent="0.2">
      <c r="A351" s="589" t="s">
        <v>56</v>
      </c>
      <c r="B351" s="589" t="s">
        <v>946</v>
      </c>
      <c r="C351" s="590" t="s">
        <v>3567</v>
      </c>
      <c r="D351" s="589" t="s">
        <v>100</v>
      </c>
      <c r="E351" s="589" t="s">
        <v>104</v>
      </c>
      <c r="F351" s="589" t="s">
        <v>112</v>
      </c>
      <c r="G351" s="589" t="s">
        <v>51</v>
      </c>
      <c r="H351" s="589" t="s">
        <v>242</v>
      </c>
      <c r="I351" s="589" t="s">
        <v>3712</v>
      </c>
      <c r="J351" s="589" t="s">
        <v>35</v>
      </c>
      <c r="K351" s="591">
        <v>968.803</v>
      </c>
      <c r="L351" s="592">
        <f>IF(J351="TND",1,IF(J351="EUR",Vertical_Cash_flow!$C$16,IF(J351="USD",Vertical_Cash_flow!$F$16,0)))</f>
        <v>1</v>
      </c>
      <c r="M351" s="593">
        <f t="shared" si="24"/>
        <v>968.803</v>
      </c>
      <c r="N351" s="589" t="s">
        <v>251</v>
      </c>
      <c r="O351" s="594">
        <v>45423</v>
      </c>
      <c r="P351" s="593">
        <f t="shared" si="25"/>
        <v>-20</v>
      </c>
      <c r="Q351" s="594">
        <v>45443</v>
      </c>
      <c r="R351" s="593">
        <f t="shared" ca="1" si="26"/>
        <v>-2</v>
      </c>
      <c r="S351" s="589" t="str">
        <f>VLOOKUP(Q351,Mapping!L:M,2,0)</f>
        <v>W22_2024</v>
      </c>
      <c r="T351" s="589" t="str">
        <f t="shared" ca="1" si="27"/>
        <v>Not Due</v>
      </c>
      <c r="W351" s="591"/>
    </row>
    <row r="352" spans="1:23" s="589" customFormat="1" x14ac:dyDescent="0.2">
      <c r="A352" s="589" t="s">
        <v>56</v>
      </c>
      <c r="B352" s="589" t="s">
        <v>498</v>
      </c>
      <c r="C352" s="590" t="s">
        <v>1087</v>
      </c>
      <c r="D352" s="589" t="s">
        <v>100</v>
      </c>
      <c r="E352" s="589" t="s">
        <v>104</v>
      </c>
      <c r="F352" s="589" t="s">
        <v>112</v>
      </c>
      <c r="G352" s="589" t="s">
        <v>51</v>
      </c>
      <c r="H352" s="589" t="s">
        <v>242</v>
      </c>
      <c r="I352" s="589" t="s">
        <v>1162</v>
      </c>
      <c r="J352" s="589" t="s">
        <v>35</v>
      </c>
      <c r="K352" s="591">
        <v>8275</v>
      </c>
      <c r="L352" s="592">
        <f>IF(J352="TND",1,IF(J352="EUR",Vertical_Cash_flow!$C$16,IF(J352="USD",Vertical_Cash_flow!$F$16,0)))</f>
        <v>1</v>
      </c>
      <c r="M352" s="593">
        <f t="shared" si="24"/>
        <v>8275</v>
      </c>
      <c r="N352" s="589" t="s">
        <v>251</v>
      </c>
      <c r="O352" s="594">
        <v>45320</v>
      </c>
      <c r="P352" s="593">
        <f t="shared" si="25"/>
        <v>-124</v>
      </c>
      <c r="Q352" s="594">
        <v>45444</v>
      </c>
      <c r="R352" s="593">
        <f t="shared" ca="1" si="26"/>
        <v>-3</v>
      </c>
      <c r="S352" s="589" t="str">
        <f>VLOOKUP(Q352,Mapping!L:M,2,0)</f>
        <v>W23_2024</v>
      </c>
      <c r="T352" s="589" t="str">
        <f t="shared" ca="1" si="27"/>
        <v>Not Due</v>
      </c>
      <c r="W352" s="591"/>
    </row>
    <row r="353" spans="1:23" s="589" customFormat="1" x14ac:dyDescent="0.2">
      <c r="A353" s="589" t="s">
        <v>56</v>
      </c>
      <c r="B353" s="589" t="s">
        <v>1496</v>
      </c>
      <c r="C353" s="590" t="s">
        <v>1787</v>
      </c>
      <c r="D353" s="589" t="s">
        <v>100</v>
      </c>
      <c r="E353" s="589" t="s">
        <v>104</v>
      </c>
      <c r="F353" s="589" t="s">
        <v>112</v>
      </c>
      <c r="G353" s="589" t="s">
        <v>51</v>
      </c>
      <c r="H353" s="589" t="s">
        <v>242</v>
      </c>
      <c r="I353" s="589" t="s">
        <v>2159</v>
      </c>
      <c r="J353" s="589" t="s">
        <v>35</v>
      </c>
      <c r="K353" s="591">
        <v>897.178</v>
      </c>
      <c r="L353" s="592">
        <f>IF(J353="TND",1,IF(J353="EUR",Vertical_Cash_flow!$C$16,IF(J353="USD",Vertical_Cash_flow!$F$16,0)))</f>
        <v>1</v>
      </c>
      <c r="M353" s="593">
        <f t="shared" si="24"/>
        <v>897.178</v>
      </c>
      <c r="N353" s="589" t="s">
        <v>251</v>
      </c>
      <c r="O353" s="594">
        <v>45379</v>
      </c>
      <c r="P353" s="593">
        <f t="shared" si="25"/>
        <v>-65</v>
      </c>
      <c r="Q353" s="594">
        <v>45444</v>
      </c>
      <c r="R353" s="593">
        <f t="shared" ca="1" si="26"/>
        <v>-3</v>
      </c>
      <c r="S353" s="589" t="str">
        <f>VLOOKUP(Q353,Mapping!L:M,2,0)</f>
        <v>W23_2024</v>
      </c>
      <c r="T353" s="589" t="str">
        <f t="shared" ca="1" si="27"/>
        <v>Not Due</v>
      </c>
      <c r="W353" s="591"/>
    </row>
    <row r="354" spans="1:23" s="589" customFormat="1" x14ac:dyDescent="0.2">
      <c r="A354" s="589" t="s">
        <v>56</v>
      </c>
      <c r="B354" s="589" t="s">
        <v>603</v>
      </c>
      <c r="C354" s="590" t="s">
        <v>1786</v>
      </c>
      <c r="D354" s="589" t="s">
        <v>100</v>
      </c>
      <c r="E354" s="589" t="s">
        <v>104</v>
      </c>
      <c r="F354" s="589" t="s">
        <v>112</v>
      </c>
      <c r="G354" s="589" t="s">
        <v>51</v>
      </c>
      <c r="H354" s="589" t="s">
        <v>242</v>
      </c>
      <c r="I354" s="589" t="s">
        <v>2158</v>
      </c>
      <c r="J354" s="589" t="s">
        <v>35</v>
      </c>
      <c r="K354" s="591">
        <v>7034.5820000000003</v>
      </c>
      <c r="L354" s="592">
        <f>IF(J354="TND",1,IF(J354="EUR",Vertical_Cash_flow!$C$16,IF(J354="USD",Vertical_Cash_flow!$F$16,0)))</f>
        <v>1</v>
      </c>
      <c r="M354" s="593">
        <f t="shared" si="24"/>
        <v>7034.5820000000003</v>
      </c>
      <c r="N354" s="589" t="s">
        <v>251</v>
      </c>
      <c r="O354" s="594">
        <v>45357</v>
      </c>
      <c r="P354" s="593">
        <f t="shared" si="25"/>
        <v>-87</v>
      </c>
      <c r="Q354" s="594">
        <v>45444</v>
      </c>
      <c r="R354" s="593">
        <f t="shared" ca="1" si="26"/>
        <v>-3</v>
      </c>
      <c r="S354" s="589" t="str">
        <f>VLOOKUP(Q354,Mapping!L:M,2,0)</f>
        <v>W23_2024</v>
      </c>
      <c r="T354" s="589" t="str">
        <f t="shared" ca="1" si="27"/>
        <v>Not Due</v>
      </c>
      <c r="W354" s="591"/>
    </row>
    <row r="355" spans="1:23" s="589" customFormat="1" x14ac:dyDescent="0.2">
      <c r="A355" s="589" t="s">
        <v>56</v>
      </c>
      <c r="B355" s="589" t="s">
        <v>369</v>
      </c>
      <c r="C355" s="590" t="s">
        <v>2596</v>
      </c>
      <c r="D355" s="589" t="s">
        <v>100</v>
      </c>
      <c r="E355" s="589" t="s">
        <v>104</v>
      </c>
      <c r="F355" s="589" t="s">
        <v>112</v>
      </c>
      <c r="G355" s="589" t="s">
        <v>51</v>
      </c>
      <c r="H355" s="589" t="s">
        <v>242</v>
      </c>
      <c r="I355" s="589" t="s">
        <v>2908</v>
      </c>
      <c r="J355" s="589" t="s">
        <v>35</v>
      </c>
      <c r="K355" s="591">
        <v>7500</v>
      </c>
      <c r="L355" s="592">
        <f>IF(J355="TND",1,IF(J355="EUR",Vertical_Cash_flow!$C$16,IF(J355="USD",Vertical_Cash_flow!$F$16,0)))</f>
        <v>1</v>
      </c>
      <c r="M355" s="593">
        <f t="shared" si="24"/>
        <v>7500</v>
      </c>
      <c r="N355" s="589" t="s">
        <v>251</v>
      </c>
      <c r="O355" s="594">
        <v>45387</v>
      </c>
      <c r="P355" s="593">
        <f t="shared" si="25"/>
        <v>-58</v>
      </c>
      <c r="Q355" s="594">
        <v>45445</v>
      </c>
      <c r="R355" s="593">
        <f t="shared" ca="1" si="26"/>
        <v>-4</v>
      </c>
      <c r="S355" s="589" t="str">
        <f>VLOOKUP(Q355,Mapping!L:M,2,0)</f>
        <v>W23_2024</v>
      </c>
      <c r="T355" s="589" t="str">
        <f t="shared" ca="1" si="27"/>
        <v>Not Due</v>
      </c>
      <c r="W355" s="591"/>
    </row>
    <row r="356" spans="1:23" s="589" customFormat="1" x14ac:dyDescent="0.2">
      <c r="A356" s="589" t="s">
        <v>56</v>
      </c>
      <c r="B356" s="589" t="s">
        <v>798</v>
      </c>
      <c r="C356" s="590" t="s">
        <v>2595</v>
      </c>
      <c r="D356" s="589" t="s">
        <v>100</v>
      </c>
      <c r="E356" s="589" t="s">
        <v>104</v>
      </c>
      <c r="F356" s="589" t="s">
        <v>112</v>
      </c>
      <c r="G356" s="589" t="s">
        <v>51</v>
      </c>
      <c r="H356" s="589" t="s">
        <v>242</v>
      </c>
      <c r="I356" s="589" t="s">
        <v>844</v>
      </c>
      <c r="J356" s="589" t="s">
        <v>35</v>
      </c>
      <c r="K356" s="591">
        <v>3438.9690000000001</v>
      </c>
      <c r="L356" s="592">
        <f>IF(J356="TND",1,IF(J356="EUR",Vertical_Cash_flow!$C$16,IF(J356="USD",Vertical_Cash_flow!$F$16,0)))</f>
        <v>1</v>
      </c>
      <c r="M356" s="593">
        <f t="shared" si="24"/>
        <v>3438.9690000000001</v>
      </c>
      <c r="N356" s="589" t="s">
        <v>251</v>
      </c>
      <c r="O356" s="594">
        <v>45400</v>
      </c>
      <c r="P356" s="593">
        <f t="shared" si="25"/>
        <v>-45</v>
      </c>
      <c r="Q356" s="594">
        <v>45445</v>
      </c>
      <c r="R356" s="593">
        <f t="shared" ca="1" si="26"/>
        <v>-4</v>
      </c>
      <c r="S356" s="589" t="str">
        <f>VLOOKUP(Q356,Mapping!L:M,2,0)</f>
        <v>W23_2024</v>
      </c>
      <c r="T356" s="589" t="str">
        <f t="shared" ca="1" si="27"/>
        <v>Not Due</v>
      </c>
      <c r="W356" s="591"/>
    </row>
    <row r="357" spans="1:23" s="589" customFormat="1" x14ac:dyDescent="0.2">
      <c r="A357" s="589" t="s">
        <v>56</v>
      </c>
      <c r="B357" s="589" t="s">
        <v>499</v>
      </c>
      <c r="C357" s="590" t="s">
        <v>3566</v>
      </c>
      <c r="D357" s="589" t="s">
        <v>100</v>
      </c>
      <c r="E357" s="589" t="s">
        <v>104</v>
      </c>
      <c r="F357" s="589" t="s">
        <v>112</v>
      </c>
      <c r="G357" s="589" t="s">
        <v>51</v>
      </c>
      <c r="H357" s="589" t="s">
        <v>242</v>
      </c>
      <c r="I357" s="589" t="s">
        <v>3711</v>
      </c>
      <c r="J357" s="589" t="s">
        <v>35</v>
      </c>
      <c r="K357" s="591">
        <v>4956.2669999999998</v>
      </c>
      <c r="L357" s="592">
        <f>IF(J357="TND",1,IF(J357="EUR",Vertical_Cash_flow!$C$16,IF(J357="USD",Vertical_Cash_flow!$F$16,0)))</f>
        <v>1</v>
      </c>
      <c r="M357" s="593">
        <f t="shared" si="24"/>
        <v>4956.2669999999998</v>
      </c>
      <c r="N357" s="589" t="s">
        <v>251</v>
      </c>
      <c r="O357" s="594">
        <v>45429</v>
      </c>
      <c r="P357" s="593">
        <f t="shared" si="25"/>
        <v>-16</v>
      </c>
      <c r="Q357" s="594">
        <v>45445</v>
      </c>
      <c r="R357" s="593">
        <f t="shared" ca="1" si="26"/>
        <v>-4</v>
      </c>
      <c r="S357" s="589" t="str">
        <f>VLOOKUP(Q357,Mapping!L:M,2,0)</f>
        <v>W23_2024</v>
      </c>
      <c r="T357" s="589" t="str">
        <f t="shared" ca="1" si="27"/>
        <v>Not Due</v>
      </c>
      <c r="W357" s="591"/>
    </row>
    <row r="358" spans="1:23" s="589" customFormat="1" x14ac:dyDescent="0.2">
      <c r="A358" s="589" t="s">
        <v>56</v>
      </c>
      <c r="B358" s="589" t="s">
        <v>2329</v>
      </c>
      <c r="C358" s="590" t="s">
        <v>2592</v>
      </c>
      <c r="D358" s="589" t="s">
        <v>100</v>
      </c>
      <c r="E358" s="589" t="s">
        <v>104</v>
      </c>
      <c r="F358" s="589" t="s">
        <v>112</v>
      </c>
      <c r="G358" s="589" t="s">
        <v>51</v>
      </c>
      <c r="H358" s="589" t="s">
        <v>242</v>
      </c>
      <c r="I358" s="589" t="s">
        <v>2905</v>
      </c>
      <c r="J358" s="589" t="s">
        <v>35</v>
      </c>
      <c r="K358" s="591">
        <v>2882.3580000000002</v>
      </c>
      <c r="L358" s="592">
        <f>IF(J358="TND",1,IF(J358="EUR",Vertical_Cash_flow!$C$16,IF(J358="USD",Vertical_Cash_flow!$F$16,0)))</f>
        <v>1</v>
      </c>
      <c r="M358" s="593">
        <f t="shared" si="24"/>
        <v>2882.3580000000002</v>
      </c>
      <c r="N358" s="589" t="s">
        <v>251</v>
      </c>
      <c r="O358" s="594">
        <v>45406</v>
      </c>
      <c r="P358" s="593">
        <f t="shared" si="25"/>
        <v>-39</v>
      </c>
      <c r="Q358" s="594">
        <v>45445</v>
      </c>
      <c r="R358" s="593">
        <f t="shared" ca="1" si="26"/>
        <v>-4</v>
      </c>
      <c r="S358" s="589" t="str">
        <f>VLOOKUP(Q358,Mapping!L:M,2,0)</f>
        <v>W23_2024</v>
      </c>
      <c r="T358" s="589" t="str">
        <f t="shared" ca="1" si="27"/>
        <v>Not Due</v>
      </c>
      <c r="W358" s="591"/>
    </row>
    <row r="359" spans="1:23" s="589" customFormat="1" x14ac:dyDescent="0.2">
      <c r="A359" s="589" t="s">
        <v>56</v>
      </c>
      <c r="B359" s="589" t="s">
        <v>403</v>
      </c>
      <c r="C359" s="590" t="s">
        <v>2593</v>
      </c>
      <c r="D359" s="589" t="s">
        <v>100</v>
      </c>
      <c r="E359" s="589" t="s">
        <v>104</v>
      </c>
      <c r="F359" s="589" t="s">
        <v>112</v>
      </c>
      <c r="G359" s="589" t="s">
        <v>51</v>
      </c>
      <c r="H359" s="589" t="s">
        <v>242</v>
      </c>
      <c r="I359" s="589" t="s">
        <v>2906</v>
      </c>
      <c r="J359" s="589" t="s">
        <v>35</v>
      </c>
      <c r="K359" s="591">
        <v>2500</v>
      </c>
      <c r="L359" s="592">
        <f>IF(J359="TND",1,IF(J359="EUR",Vertical_Cash_flow!$C$16,IF(J359="USD",Vertical_Cash_flow!$F$16,0)))</f>
        <v>1</v>
      </c>
      <c r="M359" s="593">
        <f t="shared" si="24"/>
        <v>2500</v>
      </c>
      <c r="N359" s="589" t="s">
        <v>251</v>
      </c>
      <c r="O359" s="594">
        <v>45401</v>
      </c>
      <c r="P359" s="593">
        <f t="shared" si="25"/>
        <v>-44</v>
      </c>
      <c r="Q359" s="594">
        <v>45445</v>
      </c>
      <c r="R359" s="593">
        <f t="shared" ca="1" si="26"/>
        <v>-4</v>
      </c>
      <c r="S359" s="589" t="str">
        <f>VLOOKUP(Q359,Mapping!L:M,2,0)</f>
        <v>W23_2024</v>
      </c>
      <c r="T359" s="589" t="str">
        <f t="shared" ca="1" si="27"/>
        <v>Not Due</v>
      </c>
      <c r="W359" s="591"/>
    </row>
    <row r="360" spans="1:23" s="589" customFormat="1" x14ac:dyDescent="0.2">
      <c r="A360" s="589" t="s">
        <v>56</v>
      </c>
      <c r="B360" s="589" t="s">
        <v>499</v>
      </c>
      <c r="C360" s="590" t="s">
        <v>2594</v>
      </c>
      <c r="D360" s="589" t="s">
        <v>100</v>
      </c>
      <c r="E360" s="589" t="s">
        <v>104</v>
      </c>
      <c r="F360" s="589" t="s">
        <v>112</v>
      </c>
      <c r="G360" s="589" t="s">
        <v>51</v>
      </c>
      <c r="H360" s="589" t="s">
        <v>242</v>
      </c>
      <c r="I360" s="589" t="s">
        <v>2907</v>
      </c>
      <c r="J360" s="589" t="s">
        <v>35</v>
      </c>
      <c r="K360" s="591">
        <v>2232.91</v>
      </c>
      <c r="L360" s="592">
        <f>IF(J360="TND",1,IF(J360="EUR",Vertical_Cash_flow!$C$16,IF(J360="USD",Vertical_Cash_flow!$F$16,0)))</f>
        <v>1</v>
      </c>
      <c r="M360" s="593">
        <f t="shared" si="24"/>
        <v>2232.91</v>
      </c>
      <c r="N360" s="589" t="s">
        <v>251</v>
      </c>
      <c r="O360" s="594">
        <v>45400</v>
      </c>
      <c r="P360" s="593">
        <f t="shared" si="25"/>
        <v>-45</v>
      </c>
      <c r="Q360" s="594">
        <v>45445</v>
      </c>
      <c r="R360" s="593">
        <f t="shared" ca="1" si="26"/>
        <v>-4</v>
      </c>
      <c r="S360" s="589" t="str">
        <f>VLOOKUP(Q360,Mapping!L:M,2,0)</f>
        <v>W23_2024</v>
      </c>
      <c r="T360" s="589" t="str">
        <f t="shared" ca="1" si="27"/>
        <v>Not Due</v>
      </c>
      <c r="W360" s="591"/>
    </row>
    <row r="361" spans="1:23" s="589" customFormat="1" x14ac:dyDescent="0.2">
      <c r="A361" s="589" t="s">
        <v>56</v>
      </c>
      <c r="B361" s="589" t="s">
        <v>716</v>
      </c>
      <c r="C361" s="590" t="s">
        <v>2654</v>
      </c>
      <c r="D361" s="589" t="s">
        <v>100</v>
      </c>
      <c r="E361" s="589" t="s">
        <v>104</v>
      </c>
      <c r="F361" s="589" t="s">
        <v>112</v>
      </c>
      <c r="G361" s="589" t="s">
        <v>51</v>
      </c>
      <c r="H361" s="589" t="s">
        <v>242</v>
      </c>
      <c r="I361" s="589" t="s">
        <v>2964</v>
      </c>
      <c r="J361" s="589" t="s">
        <v>35</v>
      </c>
      <c r="K361" s="591">
        <v>500</v>
      </c>
      <c r="L361" s="592">
        <f>IF(J361="TND",1,IF(J361="EUR",Vertical_Cash_flow!$C$16,IF(J361="USD",Vertical_Cash_flow!$F$16,0)))</f>
        <v>1</v>
      </c>
      <c r="M361" s="593">
        <f t="shared" si="24"/>
        <v>500</v>
      </c>
      <c r="N361" s="589" t="s">
        <v>251</v>
      </c>
      <c r="O361" s="594">
        <v>45405</v>
      </c>
      <c r="P361" s="593">
        <f t="shared" si="25"/>
        <v>-40</v>
      </c>
      <c r="Q361" s="594">
        <v>45445</v>
      </c>
      <c r="R361" s="593">
        <f t="shared" ca="1" si="26"/>
        <v>-4</v>
      </c>
      <c r="S361" s="589" t="str">
        <f>VLOOKUP(Q361,Mapping!L:M,2,0)</f>
        <v>W23_2024</v>
      </c>
      <c r="T361" s="589" t="str">
        <f t="shared" ca="1" si="27"/>
        <v>Not Due</v>
      </c>
      <c r="W361" s="591"/>
    </row>
    <row r="362" spans="1:23" s="589" customFormat="1" x14ac:dyDescent="0.2">
      <c r="A362" s="589" t="s">
        <v>56</v>
      </c>
      <c r="B362" s="589" t="s">
        <v>507</v>
      </c>
      <c r="C362" s="590" t="s">
        <v>1785</v>
      </c>
      <c r="D362" s="589" t="s">
        <v>100</v>
      </c>
      <c r="E362" s="589" t="s">
        <v>104</v>
      </c>
      <c r="F362" s="589" t="s">
        <v>112</v>
      </c>
      <c r="G362" s="589" t="s">
        <v>51</v>
      </c>
      <c r="H362" s="589" t="s">
        <v>242</v>
      </c>
      <c r="I362" s="589" t="s">
        <v>2157</v>
      </c>
      <c r="J362" s="589" t="s">
        <v>35</v>
      </c>
      <c r="K362" s="591">
        <v>1612</v>
      </c>
      <c r="L362" s="592">
        <f>IF(J362="TND",1,IF(J362="EUR",Vertical_Cash_flow!$C$16,IF(J362="USD",Vertical_Cash_flow!$F$16,0)))</f>
        <v>1</v>
      </c>
      <c r="M362" s="593">
        <f t="shared" si="24"/>
        <v>1612</v>
      </c>
      <c r="N362" s="589" t="s">
        <v>251</v>
      </c>
      <c r="O362" s="594">
        <v>45374</v>
      </c>
      <c r="P362" s="593">
        <f t="shared" si="25"/>
        <v>-71</v>
      </c>
      <c r="Q362" s="594">
        <v>45445</v>
      </c>
      <c r="R362" s="593">
        <f t="shared" ca="1" si="26"/>
        <v>-4</v>
      </c>
      <c r="S362" s="589" t="str">
        <f>VLOOKUP(Q362,Mapping!L:M,2,0)</f>
        <v>W23_2024</v>
      </c>
      <c r="T362" s="589" t="str">
        <f t="shared" ca="1" si="27"/>
        <v>Not Due</v>
      </c>
      <c r="W362" s="591"/>
    </row>
    <row r="363" spans="1:23" s="589" customFormat="1" x14ac:dyDescent="0.2">
      <c r="A363" s="589" t="s">
        <v>56</v>
      </c>
      <c r="B363" s="589" t="s">
        <v>872</v>
      </c>
      <c r="C363" s="590" t="s">
        <v>1784</v>
      </c>
      <c r="D363" s="589" t="s">
        <v>100</v>
      </c>
      <c r="E363" s="589" t="s">
        <v>104</v>
      </c>
      <c r="F363" s="589" t="s">
        <v>112</v>
      </c>
      <c r="G363" s="589" t="s">
        <v>51</v>
      </c>
      <c r="H363" s="589" t="s">
        <v>242</v>
      </c>
      <c r="I363" s="589" t="s">
        <v>2156</v>
      </c>
      <c r="J363" s="589" t="s">
        <v>35</v>
      </c>
      <c r="K363" s="591">
        <v>1000</v>
      </c>
      <c r="L363" s="592">
        <f>IF(J363="TND",1,IF(J363="EUR",Vertical_Cash_flow!$C$16,IF(J363="USD",Vertical_Cash_flow!$F$16,0)))</f>
        <v>1</v>
      </c>
      <c r="M363" s="593">
        <f t="shared" si="24"/>
        <v>1000</v>
      </c>
      <c r="N363" s="589" t="s">
        <v>251</v>
      </c>
      <c r="O363" s="594">
        <v>45351</v>
      </c>
      <c r="P363" s="593">
        <f t="shared" si="25"/>
        <v>-95</v>
      </c>
      <c r="Q363" s="594">
        <v>45446</v>
      </c>
      <c r="R363" s="593">
        <f t="shared" ca="1" si="26"/>
        <v>-5</v>
      </c>
      <c r="S363" s="589" t="str">
        <f>VLOOKUP(Q363,Mapping!L:M,2,0)</f>
        <v>W23_2024</v>
      </c>
      <c r="T363" s="589" t="str">
        <f t="shared" ca="1" si="27"/>
        <v>Not Due</v>
      </c>
      <c r="W363" s="591"/>
    </row>
    <row r="364" spans="1:23" s="589" customFormat="1" x14ac:dyDescent="0.2">
      <c r="A364" s="589" t="s">
        <v>56</v>
      </c>
      <c r="B364" s="589" t="s">
        <v>405</v>
      </c>
      <c r="C364" s="590" t="s">
        <v>2591</v>
      </c>
      <c r="D364" s="589" t="s">
        <v>100</v>
      </c>
      <c r="E364" s="589" t="s">
        <v>104</v>
      </c>
      <c r="F364" s="589" t="s">
        <v>112</v>
      </c>
      <c r="G364" s="589" t="s">
        <v>51</v>
      </c>
      <c r="H364" s="589" t="s">
        <v>242</v>
      </c>
      <c r="I364" s="589" t="s">
        <v>2904</v>
      </c>
      <c r="J364" s="589" t="s">
        <v>35</v>
      </c>
      <c r="K364" s="591">
        <v>1038.4069999999999</v>
      </c>
      <c r="L364" s="592">
        <f>IF(J364="TND",1,IF(J364="EUR",Vertical_Cash_flow!$C$16,IF(J364="USD",Vertical_Cash_flow!$F$16,0)))</f>
        <v>1</v>
      </c>
      <c r="M364" s="593">
        <f t="shared" si="24"/>
        <v>1038.4069999999999</v>
      </c>
      <c r="N364" s="589" t="s">
        <v>251</v>
      </c>
      <c r="O364" s="594">
        <v>45397</v>
      </c>
      <c r="P364" s="593">
        <f t="shared" si="25"/>
        <v>-49</v>
      </c>
      <c r="Q364" s="594">
        <v>45446</v>
      </c>
      <c r="R364" s="593">
        <f t="shared" ca="1" si="26"/>
        <v>-5</v>
      </c>
      <c r="S364" s="589" t="str">
        <f>VLOOKUP(Q364,Mapping!L:M,2,0)</f>
        <v>W23_2024</v>
      </c>
      <c r="T364" s="589" t="str">
        <f t="shared" ca="1" si="27"/>
        <v>Not Due</v>
      </c>
      <c r="W364" s="591"/>
    </row>
    <row r="365" spans="1:23" s="589" customFormat="1" x14ac:dyDescent="0.2">
      <c r="A365" s="589" t="s">
        <v>56</v>
      </c>
      <c r="B365" s="589" t="s">
        <v>808</v>
      </c>
      <c r="C365" s="590" t="s">
        <v>1036</v>
      </c>
      <c r="D365" s="589" t="s">
        <v>100</v>
      </c>
      <c r="E365" s="589" t="s">
        <v>104</v>
      </c>
      <c r="F365" s="589" t="s">
        <v>112</v>
      </c>
      <c r="G365" s="589" t="s">
        <v>51</v>
      </c>
      <c r="H365" s="589" t="s">
        <v>242</v>
      </c>
      <c r="I365" s="589" t="s">
        <v>1041</v>
      </c>
      <c r="J365" s="589" t="s">
        <v>35</v>
      </c>
      <c r="K365" s="591">
        <v>2202.4569999999999</v>
      </c>
      <c r="L365" s="592">
        <f>IF(J365="TND",1,IF(J365="EUR",Vertical_Cash_flow!$C$16,IF(J365="USD",Vertical_Cash_flow!$F$16,0)))</f>
        <v>1</v>
      </c>
      <c r="M365" s="593">
        <f t="shared" si="24"/>
        <v>2202.4569999999999</v>
      </c>
      <c r="N365" s="589" t="s">
        <v>251</v>
      </c>
      <c r="O365" s="594">
        <v>45301</v>
      </c>
      <c r="P365" s="593">
        <f t="shared" si="25"/>
        <v>-145</v>
      </c>
      <c r="Q365" s="594">
        <v>45446</v>
      </c>
      <c r="R365" s="593">
        <f t="shared" ca="1" si="26"/>
        <v>-5</v>
      </c>
      <c r="S365" s="589" t="str">
        <f>VLOOKUP(Q365,Mapping!L:M,2,0)</f>
        <v>W23_2024</v>
      </c>
      <c r="T365" s="589" t="str">
        <f t="shared" ca="1" si="27"/>
        <v>Not Due</v>
      </c>
      <c r="W365" s="591"/>
    </row>
    <row r="366" spans="1:23" s="589" customFormat="1" x14ac:dyDescent="0.2">
      <c r="A366" s="589" t="s">
        <v>56</v>
      </c>
      <c r="B366" s="589" t="s">
        <v>520</v>
      </c>
      <c r="C366" s="590" t="s">
        <v>1783</v>
      </c>
      <c r="D366" s="589" t="s">
        <v>100</v>
      </c>
      <c r="E366" s="589" t="s">
        <v>104</v>
      </c>
      <c r="F366" s="589" t="s">
        <v>112</v>
      </c>
      <c r="G366" s="589" t="s">
        <v>51</v>
      </c>
      <c r="H366" s="589" t="s">
        <v>242</v>
      </c>
      <c r="I366" s="589" t="s">
        <v>2155</v>
      </c>
      <c r="J366" s="589" t="s">
        <v>35</v>
      </c>
      <c r="K366" s="591">
        <v>3000</v>
      </c>
      <c r="L366" s="592">
        <f>IF(J366="TND",1,IF(J366="EUR",Vertical_Cash_flow!$C$16,IF(J366="USD",Vertical_Cash_flow!$F$16,0)))</f>
        <v>1</v>
      </c>
      <c r="M366" s="593">
        <f t="shared" si="24"/>
        <v>3000</v>
      </c>
      <c r="N366" s="589" t="s">
        <v>251</v>
      </c>
      <c r="O366" s="594">
        <v>45349</v>
      </c>
      <c r="P366" s="593">
        <f t="shared" si="25"/>
        <v>-97</v>
      </c>
      <c r="Q366" s="594">
        <v>45446</v>
      </c>
      <c r="R366" s="593">
        <f t="shared" ca="1" si="26"/>
        <v>-5</v>
      </c>
      <c r="S366" s="589" t="str">
        <f>VLOOKUP(Q366,Mapping!L:M,2,0)</f>
        <v>W23_2024</v>
      </c>
      <c r="T366" s="589" t="str">
        <f t="shared" ca="1" si="27"/>
        <v>Not Due</v>
      </c>
      <c r="W366" s="591"/>
    </row>
    <row r="367" spans="1:23" s="589" customFormat="1" x14ac:dyDescent="0.2">
      <c r="A367" s="589" t="s">
        <v>56</v>
      </c>
      <c r="B367" s="589" t="s">
        <v>3417</v>
      </c>
      <c r="C367" s="590" t="s">
        <v>3565</v>
      </c>
      <c r="D367" s="589" t="s">
        <v>100</v>
      </c>
      <c r="E367" s="589" t="s">
        <v>104</v>
      </c>
      <c r="F367" s="589" t="s">
        <v>112</v>
      </c>
      <c r="G367" s="589" t="s">
        <v>51</v>
      </c>
      <c r="H367" s="589" t="s">
        <v>242</v>
      </c>
      <c r="I367" s="589" t="s">
        <v>3710</v>
      </c>
      <c r="J367" s="589" t="s">
        <v>35</v>
      </c>
      <c r="K367" s="591">
        <v>2678.665</v>
      </c>
      <c r="L367" s="592">
        <f>IF(J367="TND",1,IF(J367="EUR",Vertical_Cash_flow!$C$16,IF(J367="USD",Vertical_Cash_flow!$F$16,0)))</f>
        <v>1</v>
      </c>
      <c r="M367" s="593">
        <f t="shared" si="24"/>
        <v>2678.665</v>
      </c>
      <c r="N367" s="589" t="s">
        <v>251</v>
      </c>
      <c r="O367" s="594">
        <v>45429</v>
      </c>
      <c r="P367" s="593">
        <f t="shared" si="25"/>
        <v>-17</v>
      </c>
      <c r="Q367" s="594">
        <v>45446</v>
      </c>
      <c r="R367" s="593">
        <f t="shared" ca="1" si="26"/>
        <v>-5</v>
      </c>
      <c r="S367" s="589" t="str">
        <f>VLOOKUP(Q367,Mapping!L:M,2,0)</f>
        <v>W23_2024</v>
      </c>
      <c r="T367" s="589" t="str">
        <f t="shared" ca="1" si="27"/>
        <v>Not Due</v>
      </c>
      <c r="W367" s="591"/>
    </row>
    <row r="368" spans="1:23" s="589" customFormat="1" x14ac:dyDescent="0.2">
      <c r="A368" s="589" t="s">
        <v>56</v>
      </c>
      <c r="B368" s="589" t="s">
        <v>371</v>
      </c>
      <c r="C368" s="590" t="s">
        <v>1310</v>
      </c>
      <c r="D368" s="589" t="s">
        <v>100</v>
      </c>
      <c r="E368" s="589" t="s">
        <v>104</v>
      </c>
      <c r="F368" s="589" t="s">
        <v>112</v>
      </c>
      <c r="G368" s="589" t="s">
        <v>51</v>
      </c>
      <c r="H368" s="589" t="s">
        <v>242</v>
      </c>
      <c r="I368" s="589" t="s">
        <v>1414</v>
      </c>
      <c r="J368" s="589" t="s">
        <v>35</v>
      </c>
      <c r="K368" s="591">
        <v>563.67999999999995</v>
      </c>
      <c r="L368" s="592">
        <f>IF(J368="TND",1,IF(J368="EUR",Vertical_Cash_flow!$C$16,IF(J368="USD",Vertical_Cash_flow!$F$16,0)))</f>
        <v>1</v>
      </c>
      <c r="M368" s="593">
        <f t="shared" si="24"/>
        <v>563.67999999999995</v>
      </c>
      <c r="N368" s="589" t="s">
        <v>251</v>
      </c>
      <c r="O368" s="594">
        <v>45336</v>
      </c>
      <c r="P368" s="593">
        <f t="shared" si="25"/>
        <v>-110</v>
      </c>
      <c r="Q368" s="594">
        <v>45446</v>
      </c>
      <c r="R368" s="593">
        <f t="shared" ca="1" si="26"/>
        <v>-5</v>
      </c>
      <c r="S368" s="589" t="str">
        <f>VLOOKUP(Q368,Mapping!L:M,2,0)</f>
        <v>W23_2024</v>
      </c>
      <c r="T368" s="589" t="str">
        <f t="shared" ca="1" si="27"/>
        <v>Not Due</v>
      </c>
      <c r="W368" s="591"/>
    </row>
    <row r="369" spans="1:23" s="589" customFormat="1" x14ac:dyDescent="0.2">
      <c r="A369" s="589" t="s">
        <v>56</v>
      </c>
      <c r="B369" s="589" t="s">
        <v>380</v>
      </c>
      <c r="C369" s="590" t="s">
        <v>1782</v>
      </c>
      <c r="D369" s="589" t="s">
        <v>100</v>
      </c>
      <c r="E369" s="589" t="s">
        <v>104</v>
      </c>
      <c r="F369" s="589" t="s">
        <v>112</v>
      </c>
      <c r="G369" s="589" t="s">
        <v>51</v>
      </c>
      <c r="H369" s="589" t="s">
        <v>242</v>
      </c>
      <c r="I369" s="589" t="s">
        <v>2154</v>
      </c>
      <c r="J369" s="589" t="s">
        <v>35</v>
      </c>
      <c r="K369" s="591">
        <v>5411.65</v>
      </c>
      <c r="L369" s="592">
        <f>IF(J369="TND",1,IF(J369="EUR",Vertical_Cash_flow!$C$16,IF(J369="USD",Vertical_Cash_flow!$F$16,0)))</f>
        <v>1</v>
      </c>
      <c r="M369" s="593">
        <f t="shared" si="24"/>
        <v>5411.65</v>
      </c>
      <c r="N369" s="589" t="s">
        <v>251</v>
      </c>
      <c r="O369" s="594">
        <v>45350</v>
      </c>
      <c r="P369" s="593">
        <f t="shared" si="25"/>
        <v>-96</v>
      </c>
      <c r="Q369" s="594">
        <v>45446</v>
      </c>
      <c r="R369" s="593">
        <f t="shared" ca="1" si="26"/>
        <v>-5</v>
      </c>
      <c r="S369" s="589" t="str">
        <f>VLOOKUP(Q369,Mapping!L:M,2,0)</f>
        <v>W23_2024</v>
      </c>
      <c r="T369" s="589" t="str">
        <f t="shared" ca="1" si="27"/>
        <v>Not Due</v>
      </c>
      <c r="W369" s="591"/>
    </row>
    <row r="370" spans="1:23" s="589" customFormat="1" x14ac:dyDescent="0.2">
      <c r="A370" s="589" t="s">
        <v>56</v>
      </c>
      <c r="B370" s="589" t="s">
        <v>381</v>
      </c>
      <c r="C370" s="590" t="s">
        <v>2590</v>
      </c>
      <c r="D370" s="589" t="s">
        <v>100</v>
      </c>
      <c r="E370" s="589" t="s">
        <v>104</v>
      </c>
      <c r="F370" s="589" t="s">
        <v>112</v>
      </c>
      <c r="G370" s="589" t="s">
        <v>51</v>
      </c>
      <c r="H370" s="589" t="s">
        <v>242</v>
      </c>
      <c r="I370" s="589" t="s">
        <v>2903</v>
      </c>
      <c r="J370" s="589" t="s">
        <v>35</v>
      </c>
      <c r="K370" s="591">
        <v>2590.7489999999998</v>
      </c>
      <c r="L370" s="592">
        <f>IF(J370="TND",1,IF(J370="EUR",Vertical_Cash_flow!$C$16,IF(J370="USD",Vertical_Cash_flow!$F$16,0)))</f>
        <v>1</v>
      </c>
      <c r="M370" s="593">
        <f t="shared" si="24"/>
        <v>2590.7489999999998</v>
      </c>
      <c r="N370" s="589" t="s">
        <v>251</v>
      </c>
      <c r="O370" s="594">
        <v>45399</v>
      </c>
      <c r="P370" s="593">
        <f t="shared" si="25"/>
        <v>-47</v>
      </c>
      <c r="Q370" s="594">
        <v>45446</v>
      </c>
      <c r="R370" s="593">
        <f t="shared" ca="1" si="26"/>
        <v>-5</v>
      </c>
      <c r="S370" s="589" t="str">
        <f>VLOOKUP(Q370,Mapping!L:M,2,0)</f>
        <v>W23_2024</v>
      </c>
      <c r="T370" s="589" t="str">
        <f t="shared" ca="1" si="27"/>
        <v>Not Due</v>
      </c>
      <c r="W370" s="591"/>
    </row>
    <row r="371" spans="1:23" s="589" customFormat="1" x14ac:dyDescent="0.2">
      <c r="A371" s="589" t="s">
        <v>56</v>
      </c>
      <c r="B371" s="589" t="s">
        <v>3416</v>
      </c>
      <c r="C371" s="590" t="s">
        <v>3564</v>
      </c>
      <c r="D371" s="589" t="s">
        <v>100</v>
      </c>
      <c r="E371" s="589" t="s">
        <v>104</v>
      </c>
      <c r="F371" s="589" t="s">
        <v>112</v>
      </c>
      <c r="G371" s="589" t="s">
        <v>51</v>
      </c>
      <c r="H371" s="589" t="s">
        <v>242</v>
      </c>
      <c r="I371" s="589" t="s">
        <v>3709</v>
      </c>
      <c r="J371" s="589" t="s">
        <v>35</v>
      </c>
      <c r="K371" s="591">
        <v>3115.5839999999998</v>
      </c>
      <c r="L371" s="592">
        <f>IF(J371="TND",1,IF(J371="EUR",Vertical_Cash_flow!$C$16,IF(J371="USD",Vertical_Cash_flow!$F$16,0)))</f>
        <v>1</v>
      </c>
      <c r="M371" s="593">
        <f t="shared" si="24"/>
        <v>3115.5839999999998</v>
      </c>
      <c r="N371" s="589" t="s">
        <v>251</v>
      </c>
      <c r="O371" s="594">
        <v>45425</v>
      </c>
      <c r="P371" s="593">
        <f t="shared" si="25"/>
        <v>-22</v>
      </c>
      <c r="Q371" s="594">
        <v>45447</v>
      </c>
      <c r="R371" s="593">
        <f t="shared" ca="1" si="26"/>
        <v>-6</v>
      </c>
      <c r="S371" s="589" t="str">
        <f>VLOOKUP(Q371,Mapping!L:M,2,0)</f>
        <v>W23_2024</v>
      </c>
      <c r="T371" s="589" t="str">
        <f t="shared" ca="1" si="27"/>
        <v>Not Due</v>
      </c>
      <c r="W371" s="591"/>
    </row>
    <row r="372" spans="1:23" s="589" customFormat="1" x14ac:dyDescent="0.2">
      <c r="A372" s="589" t="s">
        <v>56</v>
      </c>
      <c r="B372" s="589" t="s">
        <v>1247</v>
      </c>
      <c r="C372" s="590" t="s">
        <v>1781</v>
      </c>
      <c r="D372" s="589" t="s">
        <v>100</v>
      </c>
      <c r="E372" s="589" t="s">
        <v>104</v>
      </c>
      <c r="F372" s="589" t="s">
        <v>112</v>
      </c>
      <c r="G372" s="589" t="s">
        <v>51</v>
      </c>
      <c r="H372" s="589" t="s">
        <v>242</v>
      </c>
      <c r="I372" s="589" t="s">
        <v>2153</v>
      </c>
      <c r="J372" s="589" t="s">
        <v>35</v>
      </c>
      <c r="K372" s="591">
        <v>2420.5059999999999</v>
      </c>
      <c r="L372" s="592">
        <f>IF(J372="TND",1,IF(J372="EUR",Vertical_Cash_flow!$C$16,IF(J372="USD",Vertical_Cash_flow!$F$16,0)))</f>
        <v>1</v>
      </c>
      <c r="M372" s="593">
        <f t="shared" si="24"/>
        <v>2420.5059999999999</v>
      </c>
      <c r="N372" s="589" t="s">
        <v>251</v>
      </c>
      <c r="O372" s="594">
        <v>45380</v>
      </c>
      <c r="P372" s="593">
        <f t="shared" si="25"/>
        <v>-67</v>
      </c>
      <c r="Q372" s="594">
        <v>45447</v>
      </c>
      <c r="R372" s="593">
        <f t="shared" ca="1" si="26"/>
        <v>-6</v>
      </c>
      <c r="S372" s="589" t="str">
        <f>VLOOKUP(Q372,Mapping!L:M,2,0)</f>
        <v>W23_2024</v>
      </c>
      <c r="T372" s="589" t="str">
        <f t="shared" ca="1" si="27"/>
        <v>Not Due</v>
      </c>
      <c r="W372" s="591"/>
    </row>
    <row r="373" spans="1:23" s="589" customFormat="1" x14ac:dyDescent="0.2">
      <c r="A373" s="589" t="s">
        <v>56</v>
      </c>
      <c r="B373" s="589" t="s">
        <v>351</v>
      </c>
      <c r="C373" s="590" t="s">
        <v>2589</v>
      </c>
      <c r="D373" s="589" t="s">
        <v>100</v>
      </c>
      <c r="E373" s="589" t="s">
        <v>104</v>
      </c>
      <c r="F373" s="589" t="s">
        <v>112</v>
      </c>
      <c r="G373" s="589" t="s">
        <v>51</v>
      </c>
      <c r="H373" s="589" t="s">
        <v>242</v>
      </c>
      <c r="I373" s="589" t="s">
        <v>2902</v>
      </c>
      <c r="J373" s="589" t="s">
        <v>35</v>
      </c>
      <c r="K373" s="591">
        <v>2000</v>
      </c>
      <c r="L373" s="592">
        <f>IF(J373="TND",1,IF(J373="EUR",Vertical_Cash_flow!$C$16,IF(J373="USD",Vertical_Cash_flow!$F$16,0)))</f>
        <v>1</v>
      </c>
      <c r="M373" s="593">
        <f t="shared" si="24"/>
        <v>2000</v>
      </c>
      <c r="N373" s="589" t="s">
        <v>251</v>
      </c>
      <c r="O373" s="594">
        <v>45401</v>
      </c>
      <c r="P373" s="593">
        <f t="shared" si="25"/>
        <v>-46</v>
      </c>
      <c r="Q373" s="594">
        <v>45447</v>
      </c>
      <c r="R373" s="593">
        <f t="shared" ca="1" si="26"/>
        <v>-6</v>
      </c>
      <c r="S373" s="589" t="str">
        <f>VLOOKUP(Q373,Mapping!L:M,2,0)</f>
        <v>W23_2024</v>
      </c>
      <c r="T373" s="589" t="str">
        <f t="shared" ca="1" si="27"/>
        <v>Not Due</v>
      </c>
      <c r="W373" s="591"/>
    </row>
    <row r="374" spans="1:23" s="589" customFormat="1" x14ac:dyDescent="0.2">
      <c r="A374" s="589" t="s">
        <v>56</v>
      </c>
      <c r="B374" s="589" t="s">
        <v>498</v>
      </c>
      <c r="C374" s="590" t="s">
        <v>1086</v>
      </c>
      <c r="D374" s="589" t="s">
        <v>100</v>
      </c>
      <c r="E374" s="589" t="s">
        <v>104</v>
      </c>
      <c r="F374" s="589" t="s">
        <v>112</v>
      </c>
      <c r="G374" s="589" t="s">
        <v>51</v>
      </c>
      <c r="H374" s="589" t="s">
        <v>242</v>
      </c>
      <c r="I374" s="589" t="s">
        <v>1161</v>
      </c>
      <c r="J374" s="589" t="s">
        <v>35</v>
      </c>
      <c r="K374" s="591">
        <v>8275</v>
      </c>
      <c r="L374" s="592">
        <f>IF(J374="TND",1,IF(J374="EUR",Vertical_Cash_flow!$C$16,IF(J374="USD",Vertical_Cash_flow!$F$16,0)))</f>
        <v>1</v>
      </c>
      <c r="M374" s="593">
        <f t="shared" si="24"/>
        <v>8275</v>
      </c>
      <c r="N374" s="589" t="s">
        <v>251</v>
      </c>
      <c r="O374" s="594">
        <v>45320</v>
      </c>
      <c r="P374" s="593">
        <f t="shared" si="25"/>
        <v>-127</v>
      </c>
      <c r="Q374" s="594">
        <v>45447</v>
      </c>
      <c r="R374" s="593">
        <f t="shared" ca="1" si="26"/>
        <v>-6</v>
      </c>
      <c r="S374" s="589" t="str">
        <f>VLOOKUP(Q374,Mapping!L:M,2,0)</f>
        <v>W23_2024</v>
      </c>
      <c r="T374" s="589" t="str">
        <f t="shared" ca="1" si="27"/>
        <v>Not Due</v>
      </c>
      <c r="W374" s="591"/>
    </row>
    <row r="375" spans="1:23" s="589" customFormat="1" x14ac:dyDescent="0.2">
      <c r="A375" s="589" t="s">
        <v>56</v>
      </c>
      <c r="B375" s="589" t="s">
        <v>348</v>
      </c>
      <c r="C375" s="590" t="s">
        <v>1085</v>
      </c>
      <c r="D375" s="589" t="s">
        <v>100</v>
      </c>
      <c r="E375" s="589" t="s">
        <v>104</v>
      </c>
      <c r="F375" s="589" t="s">
        <v>112</v>
      </c>
      <c r="G375" s="589" t="s">
        <v>51</v>
      </c>
      <c r="H375" s="589" t="s">
        <v>242</v>
      </c>
      <c r="I375" s="589" t="s">
        <v>1160</v>
      </c>
      <c r="J375" s="589" t="s">
        <v>35</v>
      </c>
      <c r="K375" s="591">
        <v>3928.3029999999999</v>
      </c>
      <c r="L375" s="592">
        <f>IF(J375="TND",1,IF(J375="EUR",Vertical_Cash_flow!$C$16,IF(J375="USD",Vertical_Cash_flow!$F$16,0)))</f>
        <v>1</v>
      </c>
      <c r="M375" s="593">
        <f t="shared" si="24"/>
        <v>3928.3029999999999</v>
      </c>
      <c r="N375" s="589" t="s">
        <v>251</v>
      </c>
      <c r="O375" s="594">
        <v>45310</v>
      </c>
      <c r="P375" s="593">
        <f t="shared" si="25"/>
        <v>-137</v>
      </c>
      <c r="Q375" s="594">
        <v>45447</v>
      </c>
      <c r="R375" s="593">
        <f t="shared" ca="1" si="26"/>
        <v>-6</v>
      </c>
      <c r="S375" s="589" t="str">
        <f>VLOOKUP(Q375,Mapping!L:M,2,0)</f>
        <v>W23_2024</v>
      </c>
      <c r="T375" s="589" t="str">
        <f t="shared" ca="1" si="27"/>
        <v>Not Due</v>
      </c>
      <c r="W375" s="591"/>
    </row>
    <row r="376" spans="1:23" s="589" customFormat="1" x14ac:dyDescent="0.2">
      <c r="A376" s="589" t="s">
        <v>56</v>
      </c>
      <c r="B376" s="589" t="s">
        <v>278</v>
      </c>
      <c r="C376" s="590" t="s">
        <v>989</v>
      </c>
      <c r="D376" s="589" t="s">
        <v>100</v>
      </c>
      <c r="E376" s="589" t="s">
        <v>104</v>
      </c>
      <c r="F376" s="589" t="s">
        <v>112</v>
      </c>
      <c r="G376" s="589" t="s">
        <v>51</v>
      </c>
      <c r="H376" s="589" t="s">
        <v>242</v>
      </c>
      <c r="I376" s="589" t="s">
        <v>995</v>
      </c>
      <c r="J376" s="589" t="s">
        <v>35</v>
      </c>
      <c r="K376" s="591">
        <v>2000</v>
      </c>
      <c r="L376" s="592">
        <f>IF(J376="TND",1,IF(J376="EUR",Vertical_Cash_flow!$C$16,IF(J376="USD",Vertical_Cash_flow!$F$16,0)))</f>
        <v>1</v>
      </c>
      <c r="M376" s="593">
        <f t="shared" si="24"/>
        <v>2000</v>
      </c>
      <c r="N376" s="589" t="s">
        <v>251</v>
      </c>
      <c r="O376" s="594">
        <v>45287</v>
      </c>
      <c r="P376" s="593">
        <f t="shared" si="25"/>
        <v>-160</v>
      </c>
      <c r="Q376" s="594">
        <v>45447</v>
      </c>
      <c r="R376" s="593">
        <f t="shared" ca="1" si="26"/>
        <v>-6</v>
      </c>
      <c r="S376" s="589" t="str">
        <f>VLOOKUP(Q376,Mapping!L:M,2,0)</f>
        <v>W23_2024</v>
      </c>
      <c r="T376" s="589" t="str">
        <f t="shared" ca="1" si="27"/>
        <v>Not Due</v>
      </c>
      <c r="W376" s="591"/>
    </row>
    <row r="377" spans="1:23" s="589" customFormat="1" x14ac:dyDescent="0.2">
      <c r="A377" s="589" t="s">
        <v>56</v>
      </c>
      <c r="B377" s="589" t="s">
        <v>1497</v>
      </c>
      <c r="C377" s="590" t="s">
        <v>1780</v>
      </c>
      <c r="D377" s="589" t="s">
        <v>100</v>
      </c>
      <c r="E377" s="589" t="s">
        <v>104</v>
      </c>
      <c r="F377" s="589" t="s">
        <v>112</v>
      </c>
      <c r="G377" s="589" t="s">
        <v>51</v>
      </c>
      <c r="H377" s="589" t="s">
        <v>242</v>
      </c>
      <c r="I377" s="589" t="s">
        <v>2152</v>
      </c>
      <c r="J377" s="589" t="s">
        <v>35</v>
      </c>
      <c r="K377" s="591">
        <v>1614.3040000000001</v>
      </c>
      <c r="L377" s="592">
        <f>IF(J377="TND",1,IF(J377="EUR",Vertical_Cash_flow!$C$16,IF(J377="USD",Vertical_Cash_flow!$F$16,0)))</f>
        <v>1</v>
      </c>
      <c r="M377" s="593">
        <f t="shared" si="24"/>
        <v>1614.3040000000001</v>
      </c>
      <c r="N377" s="589" t="s">
        <v>251</v>
      </c>
      <c r="O377" s="594">
        <v>45378</v>
      </c>
      <c r="P377" s="593">
        <f t="shared" si="25"/>
        <v>-69</v>
      </c>
      <c r="Q377" s="594">
        <v>45447</v>
      </c>
      <c r="R377" s="593">
        <f t="shared" ca="1" si="26"/>
        <v>-6</v>
      </c>
      <c r="S377" s="589" t="str">
        <f>VLOOKUP(Q377,Mapping!L:M,2,0)</f>
        <v>W23_2024</v>
      </c>
      <c r="T377" s="589" t="str">
        <f t="shared" ca="1" si="27"/>
        <v>Not Due</v>
      </c>
      <c r="W377" s="591"/>
    </row>
    <row r="378" spans="1:23" s="589" customFormat="1" x14ac:dyDescent="0.2">
      <c r="A378" s="589" t="s">
        <v>56</v>
      </c>
      <c r="B378" s="589" t="s">
        <v>581</v>
      </c>
      <c r="C378" s="590" t="s">
        <v>2588</v>
      </c>
      <c r="D378" s="589" t="s">
        <v>100</v>
      </c>
      <c r="E378" s="589" t="s">
        <v>104</v>
      </c>
      <c r="F378" s="589" t="s">
        <v>112</v>
      </c>
      <c r="G378" s="589" t="s">
        <v>51</v>
      </c>
      <c r="H378" s="589" t="s">
        <v>242</v>
      </c>
      <c r="I378" s="589" t="s">
        <v>2901</v>
      </c>
      <c r="J378" s="589" t="s">
        <v>35</v>
      </c>
      <c r="K378" s="591">
        <v>1300</v>
      </c>
      <c r="L378" s="592">
        <f>IF(J378="TND",1,IF(J378="EUR",Vertical_Cash_flow!$C$16,IF(J378="USD",Vertical_Cash_flow!$F$16,0)))</f>
        <v>1</v>
      </c>
      <c r="M378" s="593">
        <f t="shared" si="24"/>
        <v>1300</v>
      </c>
      <c r="N378" s="589" t="s">
        <v>251</v>
      </c>
      <c r="O378" s="594">
        <v>45387</v>
      </c>
      <c r="P378" s="593">
        <f t="shared" si="25"/>
        <v>-61</v>
      </c>
      <c r="Q378" s="594">
        <v>45448</v>
      </c>
      <c r="R378" s="593">
        <f t="shared" ca="1" si="26"/>
        <v>-7</v>
      </c>
      <c r="S378" s="589" t="str">
        <f>VLOOKUP(Q378,Mapping!L:M,2,0)</f>
        <v>W23_2024</v>
      </c>
      <c r="T378" s="589" t="str">
        <f t="shared" ca="1" si="27"/>
        <v>Not Due</v>
      </c>
      <c r="W378" s="591"/>
    </row>
    <row r="379" spans="1:23" s="589" customFormat="1" x14ac:dyDescent="0.2">
      <c r="A379" s="589" t="s">
        <v>56</v>
      </c>
      <c r="B379" s="589" t="s">
        <v>487</v>
      </c>
      <c r="C379" s="590" t="s">
        <v>1308</v>
      </c>
      <c r="D379" s="589" t="s">
        <v>100</v>
      </c>
      <c r="E379" s="589" t="s">
        <v>104</v>
      </c>
      <c r="F379" s="589" t="s">
        <v>112</v>
      </c>
      <c r="G379" s="589" t="s">
        <v>51</v>
      </c>
      <c r="H379" s="589" t="s">
        <v>242</v>
      </c>
      <c r="I379" s="589" t="s">
        <v>1412</v>
      </c>
      <c r="J379" s="589" t="s">
        <v>35</v>
      </c>
      <c r="K379" s="591">
        <v>1258.259</v>
      </c>
      <c r="L379" s="592">
        <f>IF(J379="TND",1,IF(J379="EUR",Vertical_Cash_flow!$C$16,IF(J379="USD",Vertical_Cash_flow!$F$16,0)))</f>
        <v>1</v>
      </c>
      <c r="M379" s="593">
        <f t="shared" si="24"/>
        <v>1258.259</v>
      </c>
      <c r="N379" s="589" t="s">
        <v>251</v>
      </c>
      <c r="O379" s="594">
        <v>45345</v>
      </c>
      <c r="P379" s="593">
        <f t="shared" si="25"/>
        <v>-103</v>
      </c>
      <c r="Q379" s="594">
        <v>45448</v>
      </c>
      <c r="R379" s="593">
        <f t="shared" ca="1" si="26"/>
        <v>-7</v>
      </c>
      <c r="S379" s="589" t="str">
        <f>VLOOKUP(Q379,Mapping!L:M,2,0)</f>
        <v>W23_2024</v>
      </c>
      <c r="T379" s="589" t="str">
        <f t="shared" ca="1" si="27"/>
        <v>Not Due</v>
      </c>
      <c r="W379" s="591"/>
    </row>
    <row r="380" spans="1:23" s="589" customFormat="1" x14ac:dyDescent="0.2">
      <c r="A380" s="589" t="s">
        <v>56</v>
      </c>
      <c r="B380" s="589" t="s">
        <v>561</v>
      </c>
      <c r="C380" s="590" t="s">
        <v>1774</v>
      </c>
      <c r="D380" s="589" t="s">
        <v>100</v>
      </c>
      <c r="E380" s="589" t="s">
        <v>104</v>
      </c>
      <c r="F380" s="589" t="s">
        <v>112</v>
      </c>
      <c r="G380" s="589" t="s">
        <v>51</v>
      </c>
      <c r="H380" s="589" t="s">
        <v>242</v>
      </c>
      <c r="I380" s="589" t="s">
        <v>2147</v>
      </c>
      <c r="J380" s="589" t="s">
        <v>35</v>
      </c>
      <c r="K380" s="591">
        <v>1283.5519999999999</v>
      </c>
      <c r="L380" s="592">
        <f>IF(J380="TND",1,IF(J380="EUR",Vertical_Cash_flow!$C$16,IF(J380="USD",Vertical_Cash_flow!$F$16,0)))</f>
        <v>1</v>
      </c>
      <c r="M380" s="593">
        <f t="shared" si="24"/>
        <v>1283.5519999999999</v>
      </c>
      <c r="N380" s="589" t="s">
        <v>251</v>
      </c>
      <c r="O380" s="594">
        <v>45351</v>
      </c>
      <c r="P380" s="593">
        <f t="shared" si="25"/>
        <v>-97</v>
      </c>
      <c r="Q380" s="594">
        <v>45448</v>
      </c>
      <c r="R380" s="593">
        <f t="shared" ca="1" si="26"/>
        <v>-7</v>
      </c>
      <c r="S380" s="589" t="str">
        <f>VLOOKUP(Q380,Mapping!L:M,2,0)</f>
        <v>W23_2024</v>
      </c>
      <c r="T380" s="589" t="str">
        <f t="shared" ca="1" si="27"/>
        <v>Not Due</v>
      </c>
      <c r="W380" s="591"/>
    </row>
    <row r="381" spans="1:23" s="589" customFormat="1" x14ac:dyDescent="0.2">
      <c r="A381" s="589" t="s">
        <v>56</v>
      </c>
      <c r="B381" s="589" t="s">
        <v>318</v>
      </c>
      <c r="C381" s="590" t="s">
        <v>1777</v>
      </c>
      <c r="D381" s="589" t="s">
        <v>100</v>
      </c>
      <c r="E381" s="589" t="s">
        <v>104</v>
      </c>
      <c r="F381" s="589" t="s">
        <v>112</v>
      </c>
      <c r="G381" s="589" t="s">
        <v>51</v>
      </c>
      <c r="H381" s="589" t="s">
        <v>242</v>
      </c>
      <c r="I381" s="589" t="s">
        <v>2149</v>
      </c>
      <c r="J381" s="589" t="s">
        <v>35</v>
      </c>
      <c r="K381" s="591">
        <v>2596.7689999999998</v>
      </c>
      <c r="L381" s="592">
        <f>IF(J381="TND",1,IF(J381="EUR",Vertical_Cash_flow!$C$16,IF(J381="USD",Vertical_Cash_flow!$F$16,0)))</f>
        <v>1</v>
      </c>
      <c r="M381" s="593">
        <f t="shared" si="24"/>
        <v>2596.7689999999998</v>
      </c>
      <c r="N381" s="589" t="s">
        <v>251</v>
      </c>
      <c r="O381" s="594">
        <v>45351</v>
      </c>
      <c r="P381" s="593">
        <f t="shared" si="25"/>
        <v>-97</v>
      </c>
      <c r="Q381" s="594">
        <v>45448</v>
      </c>
      <c r="R381" s="593">
        <f t="shared" ca="1" si="26"/>
        <v>-7</v>
      </c>
      <c r="S381" s="589" t="str">
        <f>VLOOKUP(Q381,Mapping!L:M,2,0)</f>
        <v>W23_2024</v>
      </c>
      <c r="T381" s="589" t="str">
        <f t="shared" ca="1" si="27"/>
        <v>Not Due</v>
      </c>
      <c r="W381" s="591"/>
    </row>
    <row r="382" spans="1:23" s="589" customFormat="1" x14ac:dyDescent="0.2">
      <c r="A382" s="589" t="s">
        <v>56</v>
      </c>
      <c r="B382" s="589" t="s">
        <v>634</v>
      </c>
      <c r="C382" s="590" t="s">
        <v>1775</v>
      </c>
      <c r="D382" s="589" t="s">
        <v>100</v>
      </c>
      <c r="E382" s="589" t="s">
        <v>104</v>
      </c>
      <c r="F382" s="589" t="s">
        <v>112</v>
      </c>
      <c r="G382" s="589" t="s">
        <v>51</v>
      </c>
      <c r="H382" s="589" t="s">
        <v>242</v>
      </c>
      <c r="I382" s="589" t="s">
        <v>966</v>
      </c>
      <c r="J382" s="589" t="s">
        <v>35</v>
      </c>
      <c r="K382" s="591">
        <v>770.26199999999994</v>
      </c>
      <c r="L382" s="592">
        <f>IF(J382="TND",1,IF(J382="EUR",Vertical_Cash_flow!$C$16,IF(J382="USD",Vertical_Cash_flow!$F$16,0)))</f>
        <v>1</v>
      </c>
      <c r="M382" s="593">
        <f t="shared" si="24"/>
        <v>770.26199999999994</v>
      </c>
      <c r="N382" s="589" t="s">
        <v>251</v>
      </c>
      <c r="O382" s="594">
        <v>45348</v>
      </c>
      <c r="P382" s="593">
        <f t="shared" si="25"/>
        <v>-100</v>
      </c>
      <c r="Q382" s="594">
        <v>45448</v>
      </c>
      <c r="R382" s="593">
        <f t="shared" ca="1" si="26"/>
        <v>-7</v>
      </c>
      <c r="S382" s="589" t="str">
        <f>VLOOKUP(Q382,Mapping!L:M,2,0)</f>
        <v>W23_2024</v>
      </c>
      <c r="T382" s="589" t="str">
        <f t="shared" ca="1" si="27"/>
        <v>Not Due</v>
      </c>
      <c r="W382" s="591"/>
    </row>
    <row r="383" spans="1:23" s="589" customFormat="1" x14ac:dyDescent="0.2">
      <c r="A383" s="589" t="s">
        <v>56</v>
      </c>
      <c r="B383" s="589" t="s">
        <v>765</v>
      </c>
      <c r="C383" s="590" t="s">
        <v>1309</v>
      </c>
      <c r="D383" s="589" t="s">
        <v>100</v>
      </c>
      <c r="E383" s="589" t="s">
        <v>104</v>
      </c>
      <c r="F383" s="589" t="s">
        <v>112</v>
      </c>
      <c r="G383" s="589" t="s">
        <v>51</v>
      </c>
      <c r="H383" s="589" t="s">
        <v>242</v>
      </c>
      <c r="I383" s="589" t="s">
        <v>1413</v>
      </c>
      <c r="J383" s="589" t="s">
        <v>35</v>
      </c>
      <c r="K383" s="591">
        <v>5450.0569999999998</v>
      </c>
      <c r="L383" s="592">
        <f>IF(J383="TND",1,IF(J383="EUR",Vertical_Cash_flow!$C$16,IF(J383="USD",Vertical_Cash_flow!$F$16,0)))</f>
        <v>1</v>
      </c>
      <c r="M383" s="593">
        <f t="shared" si="24"/>
        <v>5450.0569999999998</v>
      </c>
      <c r="N383" s="589" t="s">
        <v>251</v>
      </c>
      <c r="O383" s="594">
        <v>45345</v>
      </c>
      <c r="P383" s="593">
        <f t="shared" si="25"/>
        <v>-103</v>
      </c>
      <c r="Q383" s="594">
        <v>45448</v>
      </c>
      <c r="R383" s="593">
        <f t="shared" ca="1" si="26"/>
        <v>-7</v>
      </c>
      <c r="S383" s="589" t="str">
        <f>VLOOKUP(Q383,Mapping!L:M,2,0)</f>
        <v>W23_2024</v>
      </c>
      <c r="T383" s="589" t="str">
        <f t="shared" ca="1" si="27"/>
        <v>Not Due</v>
      </c>
      <c r="W383" s="591"/>
    </row>
    <row r="384" spans="1:23" s="589" customFormat="1" x14ac:dyDescent="0.2">
      <c r="A384" s="589" t="s">
        <v>56</v>
      </c>
      <c r="B384" s="589" t="s">
        <v>631</v>
      </c>
      <c r="C384" s="590" t="s">
        <v>1084</v>
      </c>
      <c r="D384" s="589" t="s">
        <v>100</v>
      </c>
      <c r="E384" s="589" t="s">
        <v>104</v>
      </c>
      <c r="F384" s="589" t="s">
        <v>112</v>
      </c>
      <c r="G384" s="589" t="s">
        <v>51</v>
      </c>
      <c r="H384" s="589" t="s">
        <v>242</v>
      </c>
      <c r="I384" s="589" t="s">
        <v>1159</v>
      </c>
      <c r="J384" s="589" t="s">
        <v>35</v>
      </c>
      <c r="K384" s="591">
        <v>2570.7440000000001</v>
      </c>
      <c r="L384" s="592">
        <f>IF(J384="TND",1,IF(J384="EUR",Vertical_Cash_flow!$C$16,IF(J384="USD",Vertical_Cash_flow!$F$16,0)))</f>
        <v>1</v>
      </c>
      <c r="M384" s="593">
        <f t="shared" si="24"/>
        <v>2570.7440000000001</v>
      </c>
      <c r="N384" s="589" t="s">
        <v>251</v>
      </c>
      <c r="O384" s="594">
        <v>45322</v>
      </c>
      <c r="P384" s="593">
        <f t="shared" si="25"/>
        <v>-126</v>
      </c>
      <c r="Q384" s="594">
        <v>45448</v>
      </c>
      <c r="R384" s="593">
        <f t="shared" ca="1" si="26"/>
        <v>-7</v>
      </c>
      <c r="S384" s="589" t="str">
        <f>VLOOKUP(Q384,Mapping!L:M,2,0)</f>
        <v>W23_2024</v>
      </c>
      <c r="T384" s="589" t="str">
        <f t="shared" ca="1" si="27"/>
        <v>Not Due</v>
      </c>
      <c r="W384" s="591"/>
    </row>
    <row r="385" spans="1:23" s="589" customFormat="1" x14ac:dyDescent="0.2">
      <c r="A385" s="589" t="s">
        <v>56</v>
      </c>
      <c r="B385" s="589" t="s">
        <v>536</v>
      </c>
      <c r="C385" s="590" t="s">
        <v>1776</v>
      </c>
      <c r="D385" s="589" t="s">
        <v>100</v>
      </c>
      <c r="E385" s="589" t="s">
        <v>104</v>
      </c>
      <c r="F385" s="589" t="s">
        <v>112</v>
      </c>
      <c r="G385" s="589" t="s">
        <v>51</v>
      </c>
      <c r="H385" s="589" t="s">
        <v>242</v>
      </c>
      <c r="I385" s="589" t="s">
        <v>2148</v>
      </c>
      <c r="J385" s="589" t="s">
        <v>35</v>
      </c>
      <c r="K385" s="591">
        <v>1067.0419999999999</v>
      </c>
      <c r="L385" s="592">
        <f>IF(J385="TND",1,IF(J385="EUR",Vertical_Cash_flow!$C$16,IF(J385="USD",Vertical_Cash_flow!$F$16,0)))</f>
        <v>1</v>
      </c>
      <c r="M385" s="593">
        <f t="shared" si="24"/>
        <v>1067.0419999999999</v>
      </c>
      <c r="N385" s="589" t="s">
        <v>251</v>
      </c>
      <c r="O385" s="594">
        <v>45351</v>
      </c>
      <c r="P385" s="593">
        <f t="shared" si="25"/>
        <v>-97</v>
      </c>
      <c r="Q385" s="594">
        <v>45448</v>
      </c>
      <c r="R385" s="593">
        <f t="shared" ca="1" si="26"/>
        <v>-7</v>
      </c>
      <c r="S385" s="589" t="str">
        <f>VLOOKUP(Q385,Mapping!L:M,2,0)</f>
        <v>W23_2024</v>
      </c>
      <c r="T385" s="589" t="str">
        <f t="shared" ca="1" si="27"/>
        <v>Not Due</v>
      </c>
      <c r="W385" s="591"/>
    </row>
    <row r="386" spans="1:23" s="589" customFormat="1" x14ac:dyDescent="0.2">
      <c r="A386" s="589" t="s">
        <v>56</v>
      </c>
      <c r="B386" s="589" t="s">
        <v>488</v>
      </c>
      <c r="C386" s="590" t="s">
        <v>1779</v>
      </c>
      <c r="D386" s="589" t="s">
        <v>100</v>
      </c>
      <c r="E386" s="589" t="s">
        <v>104</v>
      </c>
      <c r="F386" s="589" t="s">
        <v>112</v>
      </c>
      <c r="G386" s="589" t="s">
        <v>51</v>
      </c>
      <c r="H386" s="589" t="s">
        <v>242</v>
      </c>
      <c r="I386" s="589" t="s">
        <v>2151</v>
      </c>
      <c r="J386" s="589" t="s">
        <v>35</v>
      </c>
      <c r="K386" s="591">
        <v>9326.0540000000001</v>
      </c>
      <c r="L386" s="592">
        <f>IF(J386="TND",1,IF(J386="EUR",Vertical_Cash_flow!$C$16,IF(J386="USD",Vertical_Cash_flow!$F$16,0)))</f>
        <v>1</v>
      </c>
      <c r="M386" s="593">
        <f t="shared" si="24"/>
        <v>9326.0540000000001</v>
      </c>
      <c r="N386" s="589" t="s">
        <v>251</v>
      </c>
      <c r="O386" s="594">
        <v>45348</v>
      </c>
      <c r="P386" s="593">
        <f t="shared" si="25"/>
        <v>-100</v>
      </c>
      <c r="Q386" s="594">
        <v>45448</v>
      </c>
      <c r="R386" s="593">
        <f t="shared" ca="1" si="26"/>
        <v>-7</v>
      </c>
      <c r="S386" s="589" t="str">
        <f>VLOOKUP(Q386,Mapping!L:M,2,0)</f>
        <v>W23_2024</v>
      </c>
      <c r="T386" s="589" t="str">
        <f t="shared" ca="1" si="27"/>
        <v>Not Due</v>
      </c>
      <c r="W386" s="591"/>
    </row>
    <row r="387" spans="1:23" s="589" customFormat="1" x14ac:dyDescent="0.2">
      <c r="A387" s="589" t="s">
        <v>56</v>
      </c>
      <c r="B387" s="589" t="s">
        <v>891</v>
      </c>
      <c r="C387" s="590" t="s">
        <v>1778</v>
      </c>
      <c r="D387" s="589" t="s">
        <v>100</v>
      </c>
      <c r="E387" s="589" t="s">
        <v>104</v>
      </c>
      <c r="F387" s="589" t="s">
        <v>112</v>
      </c>
      <c r="G387" s="589" t="s">
        <v>51</v>
      </c>
      <c r="H387" s="589" t="s">
        <v>242</v>
      </c>
      <c r="I387" s="589" t="s">
        <v>2150</v>
      </c>
      <c r="J387" s="589" t="s">
        <v>35</v>
      </c>
      <c r="K387" s="591">
        <v>273.5</v>
      </c>
      <c r="L387" s="592">
        <f>IF(J387="TND",1,IF(J387="EUR",Vertical_Cash_flow!$C$16,IF(J387="USD",Vertical_Cash_flow!$F$16,0)))</f>
        <v>1</v>
      </c>
      <c r="M387" s="593">
        <f t="shared" si="24"/>
        <v>273.5</v>
      </c>
      <c r="N387" s="589" t="s">
        <v>251</v>
      </c>
      <c r="O387" s="594">
        <v>45351</v>
      </c>
      <c r="P387" s="593">
        <f t="shared" si="25"/>
        <v>-97</v>
      </c>
      <c r="Q387" s="594">
        <v>45448</v>
      </c>
      <c r="R387" s="593">
        <f t="shared" ca="1" si="26"/>
        <v>-7</v>
      </c>
      <c r="S387" s="589" t="str">
        <f>VLOOKUP(Q387,Mapping!L:M,2,0)</f>
        <v>W23_2024</v>
      </c>
      <c r="T387" s="589" t="str">
        <f t="shared" ca="1" si="27"/>
        <v>Not Due</v>
      </c>
      <c r="W387" s="591"/>
    </row>
    <row r="388" spans="1:23" s="589" customFormat="1" x14ac:dyDescent="0.2">
      <c r="A388" s="589" t="s">
        <v>56</v>
      </c>
      <c r="B388" s="589" t="s">
        <v>539</v>
      </c>
      <c r="C388" s="590" t="s">
        <v>3563</v>
      </c>
      <c r="D388" s="589" t="s">
        <v>100</v>
      </c>
      <c r="E388" s="589" t="s">
        <v>104</v>
      </c>
      <c r="F388" s="589" t="s">
        <v>112</v>
      </c>
      <c r="G388" s="589" t="s">
        <v>51</v>
      </c>
      <c r="H388" s="589" t="s">
        <v>242</v>
      </c>
      <c r="I388" s="589" t="s">
        <v>3708</v>
      </c>
      <c r="J388" s="589" t="s">
        <v>35</v>
      </c>
      <c r="K388" s="591">
        <v>1100</v>
      </c>
      <c r="L388" s="592">
        <f>IF(J388="TND",1,IF(J388="EUR",Vertical_Cash_flow!$C$16,IF(J388="USD",Vertical_Cash_flow!$F$16,0)))</f>
        <v>1</v>
      </c>
      <c r="M388" s="593">
        <f t="shared" si="24"/>
        <v>1100</v>
      </c>
      <c r="N388" s="589" t="s">
        <v>251</v>
      </c>
      <c r="O388" s="594">
        <v>45426</v>
      </c>
      <c r="P388" s="593">
        <f t="shared" si="25"/>
        <v>-22</v>
      </c>
      <c r="Q388" s="594">
        <v>45448</v>
      </c>
      <c r="R388" s="593">
        <f t="shared" ca="1" si="26"/>
        <v>-7</v>
      </c>
      <c r="S388" s="589" t="str">
        <f>VLOOKUP(Q388,Mapping!L:M,2,0)</f>
        <v>W23_2024</v>
      </c>
      <c r="T388" s="589" t="str">
        <f t="shared" ca="1" si="27"/>
        <v>Not Due</v>
      </c>
      <c r="W388" s="591"/>
    </row>
    <row r="389" spans="1:23" s="589" customFormat="1" x14ac:dyDescent="0.2">
      <c r="A389" s="589" t="s">
        <v>56</v>
      </c>
      <c r="B389" s="589" t="s">
        <v>2328</v>
      </c>
      <c r="C389" s="590" t="s">
        <v>2587</v>
      </c>
      <c r="D389" s="589" t="s">
        <v>100</v>
      </c>
      <c r="E389" s="589" t="s">
        <v>104</v>
      </c>
      <c r="F389" s="589" t="s">
        <v>112</v>
      </c>
      <c r="G389" s="589" t="s">
        <v>51</v>
      </c>
      <c r="H389" s="589" t="s">
        <v>242</v>
      </c>
      <c r="I389" s="589" t="s">
        <v>2900</v>
      </c>
      <c r="J389" s="589" t="s">
        <v>35</v>
      </c>
      <c r="K389" s="591">
        <v>11000</v>
      </c>
      <c r="L389" s="592">
        <f>IF(J389="TND",1,IF(J389="EUR",Vertical_Cash_flow!$C$16,IF(J389="USD",Vertical_Cash_flow!$F$16,0)))</f>
        <v>1</v>
      </c>
      <c r="M389" s="593">
        <f t="shared" si="24"/>
        <v>11000</v>
      </c>
      <c r="N389" s="589" t="s">
        <v>251</v>
      </c>
      <c r="O389" s="594">
        <v>45406</v>
      </c>
      <c r="P389" s="593">
        <f t="shared" si="25"/>
        <v>-42</v>
      </c>
      <c r="Q389" s="594">
        <v>45448</v>
      </c>
      <c r="R389" s="593">
        <f t="shared" ca="1" si="26"/>
        <v>-7</v>
      </c>
      <c r="S389" s="589" t="str">
        <f>VLOOKUP(Q389,Mapping!L:M,2,0)</f>
        <v>W23_2024</v>
      </c>
      <c r="T389" s="589" t="str">
        <f t="shared" ca="1" si="27"/>
        <v>Not Due</v>
      </c>
      <c r="W389" s="591"/>
    </row>
    <row r="390" spans="1:23" s="589" customFormat="1" x14ac:dyDescent="0.2">
      <c r="A390" s="589" t="s">
        <v>56</v>
      </c>
      <c r="B390" s="589" t="s">
        <v>848</v>
      </c>
      <c r="C390" s="590" t="s">
        <v>3562</v>
      </c>
      <c r="D390" s="589" t="s">
        <v>100</v>
      </c>
      <c r="E390" s="589" t="s">
        <v>104</v>
      </c>
      <c r="F390" s="589" t="s">
        <v>112</v>
      </c>
      <c r="G390" s="589" t="s">
        <v>51</v>
      </c>
      <c r="H390" s="589" t="s">
        <v>242</v>
      </c>
      <c r="I390" s="589" t="s">
        <v>3682</v>
      </c>
      <c r="J390" s="589" t="s">
        <v>35</v>
      </c>
      <c r="K390" s="591">
        <v>2000</v>
      </c>
      <c r="L390" s="592">
        <f>IF(J390="TND",1,IF(J390="EUR",Vertical_Cash_flow!$C$16,IF(J390="USD",Vertical_Cash_flow!$F$16,0)))</f>
        <v>1</v>
      </c>
      <c r="M390" s="593">
        <f t="shared" si="24"/>
        <v>2000</v>
      </c>
      <c r="N390" s="589" t="s">
        <v>251</v>
      </c>
      <c r="O390" s="594">
        <v>45423</v>
      </c>
      <c r="P390" s="593">
        <f t="shared" si="25"/>
        <v>-25</v>
      </c>
      <c r="Q390" s="594">
        <v>45448</v>
      </c>
      <c r="R390" s="593">
        <f t="shared" ca="1" si="26"/>
        <v>-7</v>
      </c>
      <c r="S390" s="589" t="str">
        <f>VLOOKUP(Q390,Mapping!L:M,2,0)</f>
        <v>W23_2024</v>
      </c>
      <c r="T390" s="589" t="str">
        <f t="shared" ca="1" si="27"/>
        <v>Not Due</v>
      </c>
      <c r="W390" s="591"/>
    </row>
    <row r="391" spans="1:23" s="589" customFormat="1" x14ac:dyDescent="0.2">
      <c r="A391" s="589" t="s">
        <v>56</v>
      </c>
      <c r="B391" s="589" t="s">
        <v>396</v>
      </c>
      <c r="C391" s="590" t="s">
        <v>1773</v>
      </c>
      <c r="D391" s="589" t="s">
        <v>100</v>
      </c>
      <c r="E391" s="589" t="s">
        <v>104</v>
      </c>
      <c r="F391" s="589" t="s">
        <v>112</v>
      </c>
      <c r="G391" s="589" t="s">
        <v>51</v>
      </c>
      <c r="H391" s="589" t="s">
        <v>242</v>
      </c>
      <c r="I391" s="589" t="s">
        <v>2146</v>
      </c>
      <c r="J391" s="589" t="s">
        <v>35</v>
      </c>
      <c r="K391" s="591">
        <v>790</v>
      </c>
      <c r="L391" s="592">
        <f>IF(J391="TND",1,IF(J391="EUR",Vertical_Cash_flow!$C$16,IF(J391="USD",Vertical_Cash_flow!$F$16,0)))</f>
        <v>1</v>
      </c>
      <c r="M391" s="593">
        <f t="shared" si="24"/>
        <v>790</v>
      </c>
      <c r="N391" s="589" t="s">
        <v>251</v>
      </c>
      <c r="O391" s="594">
        <v>45350</v>
      </c>
      <c r="P391" s="593">
        <f t="shared" si="25"/>
        <v>-98</v>
      </c>
      <c r="Q391" s="594">
        <v>45448</v>
      </c>
      <c r="R391" s="593">
        <f t="shared" ca="1" si="26"/>
        <v>-7</v>
      </c>
      <c r="S391" s="589" t="str">
        <f>VLOOKUP(Q391,Mapping!L:M,2,0)</f>
        <v>W23_2024</v>
      </c>
      <c r="T391" s="589" t="str">
        <f t="shared" ca="1" si="27"/>
        <v>Not Due</v>
      </c>
      <c r="W391" s="591"/>
    </row>
    <row r="392" spans="1:23" s="589" customFormat="1" x14ac:dyDescent="0.2">
      <c r="A392" s="589" t="s">
        <v>56</v>
      </c>
      <c r="B392" s="589" t="s">
        <v>387</v>
      </c>
      <c r="C392" s="590" t="s">
        <v>1307</v>
      </c>
      <c r="D392" s="589" t="s">
        <v>100</v>
      </c>
      <c r="E392" s="589" t="s">
        <v>104</v>
      </c>
      <c r="F392" s="589" t="s">
        <v>112</v>
      </c>
      <c r="G392" s="589" t="s">
        <v>51</v>
      </c>
      <c r="H392" s="589" t="s">
        <v>242</v>
      </c>
      <c r="I392" s="589" t="s">
        <v>1411</v>
      </c>
      <c r="J392" s="589" t="s">
        <v>35</v>
      </c>
      <c r="K392" s="591">
        <v>1125.702</v>
      </c>
      <c r="L392" s="592">
        <f>IF(J392="TND",1,IF(J392="EUR",Vertical_Cash_flow!$C$16,IF(J392="USD",Vertical_Cash_flow!$F$16,0)))</f>
        <v>1</v>
      </c>
      <c r="M392" s="593">
        <f t="shared" si="24"/>
        <v>1125.702</v>
      </c>
      <c r="N392" s="589" t="s">
        <v>251</v>
      </c>
      <c r="O392" s="594">
        <v>45328</v>
      </c>
      <c r="P392" s="593">
        <f t="shared" si="25"/>
        <v>-120</v>
      </c>
      <c r="Q392" s="594">
        <v>45448</v>
      </c>
      <c r="R392" s="593">
        <f t="shared" ca="1" si="26"/>
        <v>-7</v>
      </c>
      <c r="S392" s="589" t="str">
        <f>VLOOKUP(Q392,Mapping!L:M,2,0)</f>
        <v>W23_2024</v>
      </c>
      <c r="T392" s="589" t="str">
        <f t="shared" ca="1" si="27"/>
        <v>Not Due</v>
      </c>
      <c r="W392" s="591"/>
    </row>
    <row r="393" spans="1:23" s="589" customFormat="1" x14ac:dyDescent="0.2">
      <c r="A393" s="589" t="s">
        <v>56</v>
      </c>
      <c r="B393" s="589" t="s">
        <v>1498</v>
      </c>
      <c r="C393" s="590" t="s">
        <v>1772</v>
      </c>
      <c r="D393" s="589" t="s">
        <v>100</v>
      </c>
      <c r="E393" s="589" t="s">
        <v>104</v>
      </c>
      <c r="F393" s="589" t="s">
        <v>112</v>
      </c>
      <c r="G393" s="589" t="s">
        <v>51</v>
      </c>
      <c r="H393" s="589" t="s">
        <v>242</v>
      </c>
      <c r="I393" s="589" t="s">
        <v>2145</v>
      </c>
      <c r="J393" s="589" t="s">
        <v>35</v>
      </c>
      <c r="K393" s="591">
        <v>2248.2750000000001</v>
      </c>
      <c r="L393" s="592">
        <f>IF(J393="TND",1,IF(J393="EUR",Vertical_Cash_flow!$C$16,IF(J393="USD",Vertical_Cash_flow!$F$16,0)))</f>
        <v>1</v>
      </c>
      <c r="M393" s="593">
        <f t="shared" si="24"/>
        <v>2248.2750000000001</v>
      </c>
      <c r="N393" s="589" t="s">
        <v>251</v>
      </c>
      <c r="O393" s="594">
        <v>45381</v>
      </c>
      <c r="P393" s="593">
        <f t="shared" si="25"/>
        <v>-67</v>
      </c>
      <c r="Q393" s="594">
        <v>45448</v>
      </c>
      <c r="R393" s="593">
        <f t="shared" ca="1" si="26"/>
        <v>-7</v>
      </c>
      <c r="S393" s="589" t="str">
        <f>VLOOKUP(Q393,Mapping!L:M,2,0)</f>
        <v>W23_2024</v>
      </c>
      <c r="T393" s="589" t="str">
        <f t="shared" ca="1" si="27"/>
        <v>Not Due</v>
      </c>
      <c r="W393" s="591"/>
    </row>
    <row r="394" spans="1:23" s="589" customFormat="1" x14ac:dyDescent="0.2">
      <c r="A394" s="589" t="s">
        <v>56</v>
      </c>
      <c r="B394" s="589" t="s">
        <v>273</v>
      </c>
      <c r="C394" s="590" t="s">
        <v>3561</v>
      </c>
      <c r="D394" s="589" t="s">
        <v>100</v>
      </c>
      <c r="E394" s="589" t="s">
        <v>104</v>
      </c>
      <c r="F394" s="589" t="s">
        <v>112</v>
      </c>
      <c r="G394" s="589" t="s">
        <v>51</v>
      </c>
      <c r="H394" s="589" t="s">
        <v>242</v>
      </c>
      <c r="I394" s="589" t="s">
        <v>3707</v>
      </c>
      <c r="J394" s="589" t="s">
        <v>35</v>
      </c>
      <c r="K394" s="591">
        <v>400</v>
      </c>
      <c r="L394" s="592">
        <f>IF(J394="TND",1,IF(J394="EUR",Vertical_Cash_flow!$C$16,IF(J394="USD",Vertical_Cash_flow!$F$16,0)))</f>
        <v>1</v>
      </c>
      <c r="M394" s="593">
        <f t="shared" si="24"/>
        <v>400</v>
      </c>
      <c r="N394" s="589" t="s">
        <v>251</v>
      </c>
      <c r="O394" s="594">
        <v>45427</v>
      </c>
      <c r="P394" s="593">
        <f t="shared" si="25"/>
        <v>-21</v>
      </c>
      <c r="Q394" s="594">
        <v>45448</v>
      </c>
      <c r="R394" s="593">
        <f t="shared" ca="1" si="26"/>
        <v>-7</v>
      </c>
      <c r="S394" s="589" t="str">
        <f>VLOOKUP(Q394,Mapping!L:M,2,0)</f>
        <v>W23_2024</v>
      </c>
      <c r="T394" s="589" t="str">
        <f t="shared" ca="1" si="27"/>
        <v>Not Due</v>
      </c>
      <c r="W394" s="591"/>
    </row>
    <row r="395" spans="1:23" s="589" customFormat="1" x14ac:dyDescent="0.2">
      <c r="A395" s="589" t="s">
        <v>56</v>
      </c>
      <c r="B395" s="589" t="s">
        <v>482</v>
      </c>
      <c r="C395" s="590" t="s">
        <v>1083</v>
      </c>
      <c r="D395" s="589" t="s">
        <v>100</v>
      </c>
      <c r="E395" s="589" t="s">
        <v>104</v>
      </c>
      <c r="F395" s="589" t="s">
        <v>112</v>
      </c>
      <c r="G395" s="589" t="s">
        <v>51</v>
      </c>
      <c r="H395" s="589" t="s">
        <v>242</v>
      </c>
      <c r="I395" s="589" t="s">
        <v>1158</v>
      </c>
      <c r="J395" s="589" t="s">
        <v>35</v>
      </c>
      <c r="K395" s="591">
        <v>1350</v>
      </c>
      <c r="L395" s="592">
        <f>IF(J395="TND",1,IF(J395="EUR",Vertical_Cash_flow!$C$16,IF(J395="USD",Vertical_Cash_flow!$F$16,0)))</f>
        <v>1</v>
      </c>
      <c r="M395" s="593">
        <f t="shared" si="24"/>
        <v>1350</v>
      </c>
      <c r="N395" s="589" t="s">
        <v>251</v>
      </c>
      <c r="O395" s="594">
        <v>45317</v>
      </c>
      <c r="P395" s="593">
        <f t="shared" si="25"/>
        <v>-131</v>
      </c>
      <c r="Q395" s="594">
        <v>45448</v>
      </c>
      <c r="R395" s="593">
        <f t="shared" ca="1" si="26"/>
        <v>-7</v>
      </c>
      <c r="S395" s="589" t="str">
        <f>VLOOKUP(Q395,Mapping!L:M,2,0)</f>
        <v>W23_2024</v>
      </c>
      <c r="T395" s="589" t="str">
        <f t="shared" ca="1" si="27"/>
        <v>Not Due</v>
      </c>
      <c r="W395" s="591"/>
    </row>
    <row r="396" spans="1:23" s="589" customFormat="1" x14ac:dyDescent="0.2">
      <c r="A396" s="589" t="s">
        <v>56</v>
      </c>
      <c r="B396" s="589" t="s">
        <v>369</v>
      </c>
      <c r="C396" s="590" t="s">
        <v>2586</v>
      </c>
      <c r="D396" s="589" t="s">
        <v>100</v>
      </c>
      <c r="E396" s="589" t="s">
        <v>104</v>
      </c>
      <c r="F396" s="589" t="s">
        <v>112</v>
      </c>
      <c r="G396" s="589" t="s">
        <v>51</v>
      </c>
      <c r="H396" s="589" t="s">
        <v>242</v>
      </c>
      <c r="I396" s="589" t="s">
        <v>2899</v>
      </c>
      <c r="J396" s="589" t="s">
        <v>35</v>
      </c>
      <c r="K396" s="591">
        <v>7500</v>
      </c>
      <c r="L396" s="592">
        <f>IF(J396="TND",1,IF(J396="EUR",Vertical_Cash_flow!$C$16,IF(J396="USD",Vertical_Cash_flow!$F$16,0)))</f>
        <v>1</v>
      </c>
      <c r="M396" s="593">
        <f t="shared" si="24"/>
        <v>7500</v>
      </c>
      <c r="N396" s="589" t="s">
        <v>251</v>
      </c>
      <c r="O396" s="594">
        <v>45387</v>
      </c>
      <c r="P396" s="593">
        <f t="shared" si="25"/>
        <v>-62</v>
      </c>
      <c r="Q396" s="594">
        <v>45449</v>
      </c>
      <c r="R396" s="593">
        <f t="shared" ca="1" si="26"/>
        <v>-8</v>
      </c>
      <c r="S396" s="589" t="str">
        <f>VLOOKUP(Q396,Mapping!L:M,2,0)</f>
        <v>W23_2024</v>
      </c>
      <c r="T396" s="589" t="str">
        <f t="shared" ca="1" si="27"/>
        <v>Not Due</v>
      </c>
      <c r="W396" s="591"/>
    </row>
    <row r="397" spans="1:23" s="589" customFormat="1" x14ac:dyDescent="0.2">
      <c r="A397" s="589" t="s">
        <v>56</v>
      </c>
      <c r="B397" s="589" t="s">
        <v>809</v>
      </c>
      <c r="C397" s="590" t="s">
        <v>1305</v>
      </c>
      <c r="D397" s="589" t="s">
        <v>100</v>
      </c>
      <c r="E397" s="589" t="s">
        <v>104</v>
      </c>
      <c r="F397" s="589" t="s">
        <v>112</v>
      </c>
      <c r="G397" s="589" t="s">
        <v>51</v>
      </c>
      <c r="H397" s="589" t="s">
        <v>242</v>
      </c>
      <c r="I397" s="589" t="s">
        <v>1409</v>
      </c>
      <c r="J397" s="589" t="s">
        <v>35</v>
      </c>
      <c r="K397" s="591">
        <v>3500</v>
      </c>
      <c r="L397" s="592">
        <f>IF(J397="TND",1,IF(J397="EUR",Vertical_Cash_flow!$C$16,IF(J397="USD",Vertical_Cash_flow!$F$16,0)))</f>
        <v>1</v>
      </c>
      <c r="M397" s="593">
        <f t="shared" si="24"/>
        <v>3500</v>
      </c>
      <c r="N397" s="589" t="s">
        <v>251</v>
      </c>
      <c r="O397" s="594">
        <v>45345</v>
      </c>
      <c r="P397" s="593">
        <f t="shared" si="25"/>
        <v>-104</v>
      </c>
      <c r="Q397" s="594">
        <v>45449</v>
      </c>
      <c r="R397" s="593">
        <f t="shared" ca="1" si="26"/>
        <v>-8</v>
      </c>
      <c r="S397" s="589" t="str">
        <f>VLOOKUP(Q397,Mapping!L:M,2,0)</f>
        <v>W23_2024</v>
      </c>
      <c r="T397" s="589" t="str">
        <f t="shared" ca="1" si="27"/>
        <v>Not Due</v>
      </c>
      <c r="W397" s="591"/>
    </row>
    <row r="398" spans="1:23" s="589" customFormat="1" x14ac:dyDescent="0.2">
      <c r="A398" s="589" t="s">
        <v>56</v>
      </c>
      <c r="B398" s="589" t="s">
        <v>274</v>
      </c>
      <c r="C398" s="590" t="s">
        <v>1082</v>
      </c>
      <c r="D398" s="589" t="s">
        <v>100</v>
      </c>
      <c r="E398" s="589" t="s">
        <v>104</v>
      </c>
      <c r="F398" s="589" t="s">
        <v>112</v>
      </c>
      <c r="G398" s="589" t="s">
        <v>51</v>
      </c>
      <c r="H398" s="589" t="s">
        <v>242</v>
      </c>
      <c r="I398" s="589" t="s">
        <v>1157</v>
      </c>
      <c r="J398" s="589" t="s">
        <v>35</v>
      </c>
      <c r="K398" s="591">
        <v>835</v>
      </c>
      <c r="L398" s="592">
        <f>IF(J398="TND",1,IF(J398="EUR",Vertical_Cash_flow!$C$16,IF(J398="USD",Vertical_Cash_flow!$F$16,0)))</f>
        <v>1</v>
      </c>
      <c r="M398" s="593">
        <f t="shared" si="24"/>
        <v>835</v>
      </c>
      <c r="N398" s="589" t="s">
        <v>251</v>
      </c>
      <c r="O398" s="594">
        <v>45316</v>
      </c>
      <c r="P398" s="593">
        <f t="shared" si="25"/>
        <v>-133</v>
      </c>
      <c r="Q398" s="594">
        <v>45449</v>
      </c>
      <c r="R398" s="593">
        <f t="shared" ca="1" si="26"/>
        <v>-8</v>
      </c>
      <c r="S398" s="589" t="str">
        <f>VLOOKUP(Q398,Mapping!L:M,2,0)</f>
        <v>W23_2024</v>
      </c>
      <c r="T398" s="589" t="str">
        <f t="shared" ca="1" si="27"/>
        <v>Not Due</v>
      </c>
      <c r="W398" s="591"/>
    </row>
    <row r="399" spans="1:23" s="589" customFormat="1" x14ac:dyDescent="0.2">
      <c r="A399" s="589" t="s">
        <v>56</v>
      </c>
      <c r="B399" s="589" t="s">
        <v>285</v>
      </c>
      <c r="C399" s="590" t="s">
        <v>1306</v>
      </c>
      <c r="D399" s="589" t="s">
        <v>100</v>
      </c>
      <c r="E399" s="589" t="s">
        <v>104</v>
      </c>
      <c r="F399" s="589" t="s">
        <v>112</v>
      </c>
      <c r="G399" s="589" t="s">
        <v>51</v>
      </c>
      <c r="H399" s="589" t="s">
        <v>242</v>
      </c>
      <c r="I399" s="589" t="s">
        <v>1410</v>
      </c>
      <c r="J399" s="589" t="s">
        <v>35</v>
      </c>
      <c r="K399" s="591">
        <v>1505.904</v>
      </c>
      <c r="L399" s="592">
        <f>IF(J399="TND",1,IF(J399="EUR",Vertical_Cash_flow!$C$16,IF(J399="USD",Vertical_Cash_flow!$F$16,0)))</f>
        <v>1</v>
      </c>
      <c r="M399" s="593">
        <f t="shared" si="24"/>
        <v>1505.904</v>
      </c>
      <c r="N399" s="589" t="s">
        <v>251</v>
      </c>
      <c r="O399" s="594">
        <v>45329</v>
      </c>
      <c r="P399" s="593">
        <f t="shared" si="25"/>
        <v>-120</v>
      </c>
      <c r="Q399" s="594">
        <v>45449</v>
      </c>
      <c r="R399" s="593">
        <f t="shared" ca="1" si="26"/>
        <v>-8</v>
      </c>
      <c r="S399" s="589" t="str">
        <f>VLOOKUP(Q399,Mapping!L:M,2,0)</f>
        <v>W23_2024</v>
      </c>
      <c r="T399" s="589" t="str">
        <f t="shared" ca="1" si="27"/>
        <v>Not Due</v>
      </c>
      <c r="W399" s="591"/>
    </row>
    <row r="400" spans="1:23" s="589" customFormat="1" x14ac:dyDescent="0.2">
      <c r="A400" s="589" t="s">
        <v>56</v>
      </c>
      <c r="B400" s="589" t="s">
        <v>626</v>
      </c>
      <c r="C400" s="590" t="s">
        <v>2585</v>
      </c>
      <c r="D400" s="589" t="s">
        <v>100</v>
      </c>
      <c r="E400" s="589" t="s">
        <v>104</v>
      </c>
      <c r="F400" s="589" t="s">
        <v>112</v>
      </c>
      <c r="G400" s="589" t="s">
        <v>51</v>
      </c>
      <c r="H400" s="589" t="s">
        <v>242</v>
      </c>
      <c r="I400" s="589" t="s">
        <v>2898</v>
      </c>
      <c r="J400" s="589" t="s">
        <v>35</v>
      </c>
      <c r="K400" s="591">
        <v>2393.8290000000002</v>
      </c>
      <c r="L400" s="592">
        <f>IF(J400="TND",1,IF(J400="EUR",Vertical_Cash_flow!$C$16,IF(J400="USD",Vertical_Cash_flow!$F$16,0)))</f>
        <v>1</v>
      </c>
      <c r="M400" s="593">
        <f t="shared" si="24"/>
        <v>2393.8290000000002</v>
      </c>
      <c r="N400" s="589" t="s">
        <v>251</v>
      </c>
      <c r="O400" s="594">
        <v>45398</v>
      </c>
      <c r="P400" s="593">
        <f t="shared" si="25"/>
        <v>-51</v>
      </c>
      <c r="Q400" s="594">
        <v>45449</v>
      </c>
      <c r="R400" s="593">
        <f t="shared" ca="1" si="26"/>
        <v>-8</v>
      </c>
      <c r="S400" s="589" t="str">
        <f>VLOOKUP(Q400,Mapping!L:M,2,0)</f>
        <v>W23_2024</v>
      </c>
      <c r="T400" s="589" t="str">
        <f t="shared" ca="1" si="27"/>
        <v>Not Due</v>
      </c>
      <c r="W400" s="591"/>
    </row>
    <row r="401" spans="1:23" s="589" customFormat="1" x14ac:dyDescent="0.2">
      <c r="A401" s="589" t="s">
        <v>56</v>
      </c>
      <c r="B401" s="589" t="s">
        <v>520</v>
      </c>
      <c r="C401" s="590" t="s">
        <v>1771</v>
      </c>
      <c r="D401" s="589" t="s">
        <v>100</v>
      </c>
      <c r="E401" s="589" t="s">
        <v>104</v>
      </c>
      <c r="F401" s="589" t="s">
        <v>112</v>
      </c>
      <c r="G401" s="589" t="s">
        <v>51</v>
      </c>
      <c r="H401" s="589" t="s">
        <v>242</v>
      </c>
      <c r="I401" s="589" t="s">
        <v>2144</v>
      </c>
      <c r="J401" s="589" t="s">
        <v>35</v>
      </c>
      <c r="K401" s="591">
        <v>3010</v>
      </c>
      <c r="L401" s="592">
        <f>IF(J401="TND",1,IF(J401="EUR",Vertical_Cash_flow!$C$16,IF(J401="USD",Vertical_Cash_flow!$F$16,0)))</f>
        <v>1</v>
      </c>
      <c r="M401" s="593">
        <f t="shared" si="24"/>
        <v>3010</v>
      </c>
      <c r="N401" s="589" t="s">
        <v>251</v>
      </c>
      <c r="O401" s="594">
        <v>45349</v>
      </c>
      <c r="P401" s="593">
        <f t="shared" si="25"/>
        <v>-100</v>
      </c>
      <c r="Q401" s="594">
        <v>45449</v>
      </c>
      <c r="R401" s="593">
        <f t="shared" ca="1" si="26"/>
        <v>-8</v>
      </c>
      <c r="S401" s="589" t="str">
        <f>VLOOKUP(Q401,Mapping!L:M,2,0)</f>
        <v>W23_2024</v>
      </c>
      <c r="T401" s="589" t="str">
        <f t="shared" ca="1" si="27"/>
        <v>Not Due</v>
      </c>
      <c r="W401" s="591"/>
    </row>
    <row r="402" spans="1:23" s="589" customFormat="1" x14ac:dyDescent="0.2">
      <c r="A402" s="589" t="s">
        <v>56</v>
      </c>
      <c r="B402" s="589" t="s">
        <v>589</v>
      </c>
      <c r="C402" s="590" t="s">
        <v>1081</v>
      </c>
      <c r="D402" s="589" t="s">
        <v>100</v>
      </c>
      <c r="E402" s="589" t="s">
        <v>104</v>
      </c>
      <c r="F402" s="589" t="s">
        <v>112</v>
      </c>
      <c r="G402" s="589" t="s">
        <v>51</v>
      </c>
      <c r="H402" s="589" t="s">
        <v>242</v>
      </c>
      <c r="I402" s="589" t="s">
        <v>1156</v>
      </c>
      <c r="J402" s="589" t="s">
        <v>35</v>
      </c>
      <c r="K402" s="591">
        <v>2600</v>
      </c>
      <c r="L402" s="592">
        <f>IF(J402="TND",1,IF(J402="EUR",Vertical_Cash_flow!$C$16,IF(J402="USD",Vertical_Cash_flow!$F$16,0)))</f>
        <v>1</v>
      </c>
      <c r="M402" s="593">
        <f t="shared" si="24"/>
        <v>2600</v>
      </c>
      <c r="N402" s="589" t="s">
        <v>251</v>
      </c>
      <c r="O402" s="594">
        <v>45322</v>
      </c>
      <c r="P402" s="593">
        <f t="shared" si="25"/>
        <v>-127</v>
      </c>
      <c r="Q402" s="594">
        <v>45449</v>
      </c>
      <c r="R402" s="593">
        <f t="shared" ca="1" si="26"/>
        <v>-8</v>
      </c>
      <c r="S402" s="589" t="str">
        <f>VLOOKUP(Q402,Mapping!L:M,2,0)</f>
        <v>W23_2024</v>
      </c>
      <c r="T402" s="589" t="str">
        <f t="shared" ca="1" si="27"/>
        <v>Not Due</v>
      </c>
      <c r="W402" s="591"/>
    </row>
    <row r="403" spans="1:23" s="589" customFormat="1" x14ac:dyDescent="0.2">
      <c r="A403" s="589" t="s">
        <v>56</v>
      </c>
      <c r="B403" s="589" t="s">
        <v>505</v>
      </c>
      <c r="C403" s="590" t="s">
        <v>2584</v>
      </c>
      <c r="D403" s="589" t="s">
        <v>100</v>
      </c>
      <c r="E403" s="589" t="s">
        <v>104</v>
      </c>
      <c r="F403" s="589" t="s">
        <v>112</v>
      </c>
      <c r="G403" s="589" t="s">
        <v>51</v>
      </c>
      <c r="H403" s="589" t="s">
        <v>242</v>
      </c>
      <c r="I403" s="589" t="s">
        <v>2897</v>
      </c>
      <c r="J403" s="589" t="s">
        <v>35</v>
      </c>
      <c r="K403" s="591">
        <v>1100</v>
      </c>
      <c r="L403" s="592">
        <f>IF(J403="TND",1,IF(J403="EUR",Vertical_Cash_flow!$C$16,IF(J403="USD",Vertical_Cash_flow!$F$16,0)))</f>
        <v>1</v>
      </c>
      <c r="M403" s="593">
        <f t="shared" si="24"/>
        <v>1100</v>
      </c>
      <c r="N403" s="589" t="s">
        <v>251</v>
      </c>
      <c r="O403" s="594">
        <v>45408</v>
      </c>
      <c r="P403" s="593">
        <f t="shared" si="25"/>
        <v>-41</v>
      </c>
      <c r="Q403" s="594">
        <v>45449</v>
      </c>
      <c r="R403" s="593">
        <f t="shared" ca="1" si="26"/>
        <v>-8</v>
      </c>
      <c r="S403" s="589" t="str">
        <f>VLOOKUP(Q403,Mapping!L:M,2,0)</f>
        <v>W23_2024</v>
      </c>
      <c r="T403" s="589" t="str">
        <f t="shared" ca="1" si="27"/>
        <v>Not Due</v>
      </c>
      <c r="W403" s="591"/>
    </row>
    <row r="404" spans="1:23" s="589" customFormat="1" x14ac:dyDescent="0.2">
      <c r="A404" s="589" t="s">
        <v>56</v>
      </c>
      <c r="B404" s="589" t="s">
        <v>371</v>
      </c>
      <c r="C404" s="590" t="s">
        <v>1304</v>
      </c>
      <c r="D404" s="589" t="s">
        <v>100</v>
      </c>
      <c r="E404" s="589" t="s">
        <v>104</v>
      </c>
      <c r="F404" s="589" t="s">
        <v>112</v>
      </c>
      <c r="G404" s="589" t="s">
        <v>51</v>
      </c>
      <c r="H404" s="589" t="s">
        <v>242</v>
      </c>
      <c r="I404" s="589" t="s">
        <v>1408</v>
      </c>
      <c r="J404" s="589" t="s">
        <v>35</v>
      </c>
      <c r="K404" s="591">
        <v>563.67999999999995</v>
      </c>
      <c r="L404" s="592">
        <f>IF(J404="TND",1,IF(J404="EUR",Vertical_Cash_flow!$C$16,IF(J404="USD",Vertical_Cash_flow!$F$16,0)))</f>
        <v>1</v>
      </c>
      <c r="M404" s="593">
        <f t="shared" si="24"/>
        <v>563.67999999999995</v>
      </c>
      <c r="N404" s="589" t="s">
        <v>251</v>
      </c>
      <c r="O404" s="594">
        <v>45336</v>
      </c>
      <c r="P404" s="593">
        <f t="shared" si="25"/>
        <v>-113</v>
      </c>
      <c r="Q404" s="594">
        <v>45449</v>
      </c>
      <c r="R404" s="593">
        <f t="shared" ca="1" si="26"/>
        <v>-8</v>
      </c>
      <c r="S404" s="589" t="str">
        <f>VLOOKUP(Q404,Mapping!L:M,2,0)</f>
        <v>W23_2024</v>
      </c>
      <c r="T404" s="589" t="str">
        <f t="shared" ca="1" si="27"/>
        <v>Not Due</v>
      </c>
      <c r="W404" s="591"/>
    </row>
    <row r="405" spans="1:23" s="589" customFormat="1" x14ac:dyDescent="0.2">
      <c r="A405" s="589" t="s">
        <v>56</v>
      </c>
      <c r="B405" s="589" t="s">
        <v>500</v>
      </c>
      <c r="C405" s="590" t="s">
        <v>1770</v>
      </c>
      <c r="D405" s="589" t="s">
        <v>100</v>
      </c>
      <c r="E405" s="589" t="s">
        <v>104</v>
      </c>
      <c r="F405" s="589" t="s">
        <v>112</v>
      </c>
      <c r="G405" s="589" t="s">
        <v>51</v>
      </c>
      <c r="H405" s="589" t="s">
        <v>242</v>
      </c>
      <c r="I405" s="589" t="s">
        <v>1005</v>
      </c>
      <c r="J405" s="589" t="s">
        <v>35</v>
      </c>
      <c r="K405" s="591">
        <v>1400</v>
      </c>
      <c r="L405" s="592">
        <f>IF(J405="TND",1,IF(J405="EUR",Vertical_Cash_flow!$C$16,IF(J405="USD",Vertical_Cash_flow!$F$16,0)))</f>
        <v>1</v>
      </c>
      <c r="M405" s="593">
        <f t="shared" ref="M405:M468" si="28">K405/L405</f>
        <v>1400</v>
      </c>
      <c r="N405" s="589" t="s">
        <v>251</v>
      </c>
      <c r="O405" s="594">
        <v>45359</v>
      </c>
      <c r="P405" s="593">
        <f t="shared" ref="P405:P468" si="29">O405-Q405</f>
        <v>-90</v>
      </c>
      <c r="Q405" s="594">
        <v>45449</v>
      </c>
      <c r="R405" s="593">
        <f t="shared" ref="R405:R468" ca="1" si="30">$W$1-Q405</f>
        <v>-8</v>
      </c>
      <c r="S405" s="589" t="str">
        <f>VLOOKUP(Q405,Mapping!L:M,2,0)</f>
        <v>W23_2024</v>
      </c>
      <c r="T405" s="589" t="str">
        <f t="shared" ref="T405:T468" ca="1" si="31">IF(R405="","",IF(R405&lt;0,"Not Due",IF(AND(R405&gt;=0,R405&lt;=30),"up to 30 days",IF(AND(R405&gt;30,R405&lt;=60),"30-60 days",IF(AND(R405&gt;60,R405&lt;=90),"60-90 days",IF(AND(R405&gt;90,R405&lt;=120),"90-120 days",IF(AND(R405&gt;120,R405&lt;=180),"120-180 days",IF(AND(R405&gt;180,R405&lt;=360),"180-360 days",IF(R405&gt;360,"more than 360 days","ok")))))))))</f>
        <v>Not Due</v>
      </c>
      <c r="W405" s="591"/>
    </row>
    <row r="406" spans="1:23" s="589" customFormat="1" x14ac:dyDescent="0.2">
      <c r="A406" s="589" t="s">
        <v>56</v>
      </c>
      <c r="B406" s="589" t="s">
        <v>283</v>
      </c>
      <c r="C406" s="590" t="s">
        <v>1768</v>
      </c>
      <c r="D406" s="589" t="s">
        <v>100</v>
      </c>
      <c r="E406" s="589" t="s">
        <v>104</v>
      </c>
      <c r="F406" s="589" t="s">
        <v>112</v>
      </c>
      <c r="G406" s="589" t="s">
        <v>51</v>
      </c>
      <c r="H406" s="589" t="s">
        <v>242</v>
      </c>
      <c r="I406" s="589" t="s">
        <v>2142</v>
      </c>
      <c r="J406" s="589" t="s">
        <v>35</v>
      </c>
      <c r="K406" s="591">
        <v>1346.13</v>
      </c>
      <c r="L406" s="592">
        <f>IF(J406="TND",1,IF(J406="EUR",Vertical_Cash_flow!$C$16,IF(J406="USD",Vertical_Cash_flow!$F$16,0)))</f>
        <v>1</v>
      </c>
      <c r="M406" s="593">
        <f t="shared" si="28"/>
        <v>1346.13</v>
      </c>
      <c r="N406" s="589" t="s">
        <v>251</v>
      </c>
      <c r="O406" s="594">
        <v>45358</v>
      </c>
      <c r="P406" s="593">
        <f t="shared" si="29"/>
        <v>-91</v>
      </c>
      <c r="Q406" s="594">
        <v>45449</v>
      </c>
      <c r="R406" s="593">
        <f t="shared" ca="1" si="30"/>
        <v>-8</v>
      </c>
      <c r="S406" s="589" t="str">
        <f>VLOOKUP(Q406,Mapping!L:M,2,0)</f>
        <v>W23_2024</v>
      </c>
      <c r="T406" s="589" t="str">
        <f t="shared" ca="1" si="31"/>
        <v>Not Due</v>
      </c>
      <c r="W406" s="591"/>
    </row>
    <row r="407" spans="1:23" s="589" customFormat="1" x14ac:dyDescent="0.2">
      <c r="A407" s="589" t="s">
        <v>56</v>
      </c>
      <c r="B407" s="589" t="s">
        <v>340</v>
      </c>
      <c r="C407" s="590" t="s">
        <v>1769</v>
      </c>
      <c r="D407" s="589" t="s">
        <v>100</v>
      </c>
      <c r="E407" s="589" t="s">
        <v>104</v>
      </c>
      <c r="F407" s="589" t="s">
        <v>112</v>
      </c>
      <c r="G407" s="589" t="s">
        <v>51</v>
      </c>
      <c r="H407" s="589" t="s">
        <v>242</v>
      </c>
      <c r="I407" s="589" t="s">
        <v>2143</v>
      </c>
      <c r="J407" s="589" t="s">
        <v>35</v>
      </c>
      <c r="K407" s="591">
        <v>2396.8440000000001</v>
      </c>
      <c r="L407" s="592">
        <f>IF(J407="TND",1,IF(J407="EUR",Vertical_Cash_flow!$C$16,IF(J407="USD",Vertical_Cash_flow!$F$16,0)))</f>
        <v>1</v>
      </c>
      <c r="M407" s="593">
        <f t="shared" si="28"/>
        <v>2396.8440000000001</v>
      </c>
      <c r="N407" s="589" t="s">
        <v>251</v>
      </c>
      <c r="O407" s="594">
        <v>45364</v>
      </c>
      <c r="P407" s="593">
        <f t="shared" si="29"/>
        <v>-85</v>
      </c>
      <c r="Q407" s="594">
        <v>45449</v>
      </c>
      <c r="R407" s="593">
        <f t="shared" ca="1" si="30"/>
        <v>-8</v>
      </c>
      <c r="S407" s="589" t="str">
        <f>VLOOKUP(Q407,Mapping!L:M,2,0)</f>
        <v>W23_2024</v>
      </c>
      <c r="T407" s="589" t="str">
        <f t="shared" ca="1" si="31"/>
        <v>Not Due</v>
      </c>
      <c r="W407" s="591"/>
    </row>
    <row r="408" spans="1:23" s="589" customFormat="1" x14ac:dyDescent="0.2">
      <c r="A408" s="589" t="s">
        <v>56</v>
      </c>
      <c r="B408" s="589" t="s">
        <v>299</v>
      </c>
      <c r="C408" s="590" t="s">
        <v>1765</v>
      </c>
      <c r="D408" s="589" t="s">
        <v>100</v>
      </c>
      <c r="E408" s="589" t="s">
        <v>104</v>
      </c>
      <c r="F408" s="589" t="s">
        <v>112</v>
      </c>
      <c r="G408" s="589" t="s">
        <v>51</v>
      </c>
      <c r="H408" s="589" t="s">
        <v>242</v>
      </c>
      <c r="I408" s="589" t="s">
        <v>2035</v>
      </c>
      <c r="J408" s="589" t="s">
        <v>35</v>
      </c>
      <c r="K408" s="591">
        <v>1100</v>
      </c>
      <c r="L408" s="592">
        <f>IF(J408="TND",1,IF(J408="EUR",Vertical_Cash_flow!$C$16,IF(J408="USD",Vertical_Cash_flow!$F$16,0)))</f>
        <v>1</v>
      </c>
      <c r="M408" s="593">
        <f t="shared" si="28"/>
        <v>1100</v>
      </c>
      <c r="N408" s="589" t="s">
        <v>251</v>
      </c>
      <c r="O408" s="594">
        <v>45380</v>
      </c>
      <c r="P408" s="593">
        <f t="shared" si="29"/>
        <v>-70</v>
      </c>
      <c r="Q408" s="594">
        <v>45450</v>
      </c>
      <c r="R408" s="593">
        <f t="shared" ca="1" si="30"/>
        <v>-9</v>
      </c>
      <c r="S408" s="589" t="str">
        <f>VLOOKUP(Q408,Mapping!L:M,2,0)</f>
        <v>W23_2024</v>
      </c>
      <c r="T408" s="589" t="str">
        <f t="shared" ca="1" si="31"/>
        <v>Not Due</v>
      </c>
      <c r="W408" s="591"/>
    </row>
    <row r="409" spans="1:23" s="589" customFormat="1" x14ac:dyDescent="0.2">
      <c r="A409" s="589" t="s">
        <v>56</v>
      </c>
      <c r="B409" s="589" t="s">
        <v>568</v>
      </c>
      <c r="C409" s="590" t="s">
        <v>1766</v>
      </c>
      <c r="D409" s="589" t="s">
        <v>100</v>
      </c>
      <c r="E409" s="589" t="s">
        <v>104</v>
      </c>
      <c r="F409" s="589" t="s">
        <v>112</v>
      </c>
      <c r="G409" s="589" t="s">
        <v>51</v>
      </c>
      <c r="H409" s="589" t="s">
        <v>242</v>
      </c>
      <c r="I409" s="589" t="s">
        <v>2140</v>
      </c>
      <c r="J409" s="589" t="s">
        <v>35</v>
      </c>
      <c r="K409" s="591">
        <v>1581.2929999999999</v>
      </c>
      <c r="L409" s="592">
        <f>IF(J409="TND",1,IF(J409="EUR",Vertical_Cash_flow!$C$16,IF(J409="USD",Vertical_Cash_flow!$F$16,0)))</f>
        <v>1</v>
      </c>
      <c r="M409" s="593">
        <f t="shared" si="28"/>
        <v>1581.2929999999999</v>
      </c>
      <c r="N409" s="589" t="s">
        <v>251</v>
      </c>
      <c r="O409" s="594">
        <v>45372</v>
      </c>
      <c r="P409" s="593">
        <f t="shared" si="29"/>
        <v>-78</v>
      </c>
      <c r="Q409" s="594">
        <v>45450</v>
      </c>
      <c r="R409" s="593">
        <f t="shared" ca="1" si="30"/>
        <v>-9</v>
      </c>
      <c r="S409" s="589" t="str">
        <f>VLOOKUP(Q409,Mapping!L:M,2,0)</f>
        <v>W23_2024</v>
      </c>
      <c r="T409" s="589" t="str">
        <f t="shared" ca="1" si="31"/>
        <v>Not Due</v>
      </c>
      <c r="W409" s="591"/>
    </row>
    <row r="410" spans="1:23" s="589" customFormat="1" x14ac:dyDescent="0.2">
      <c r="A410" s="589" t="s">
        <v>56</v>
      </c>
      <c r="B410" s="589" t="s">
        <v>872</v>
      </c>
      <c r="C410" s="590" t="s">
        <v>1767</v>
      </c>
      <c r="D410" s="589" t="s">
        <v>100</v>
      </c>
      <c r="E410" s="589" t="s">
        <v>104</v>
      </c>
      <c r="F410" s="589" t="s">
        <v>112</v>
      </c>
      <c r="G410" s="589" t="s">
        <v>51</v>
      </c>
      <c r="H410" s="589" t="s">
        <v>242</v>
      </c>
      <c r="I410" s="589" t="s">
        <v>2141</v>
      </c>
      <c r="J410" s="589" t="s">
        <v>35</v>
      </c>
      <c r="K410" s="591">
        <v>1127.2249999999999</v>
      </c>
      <c r="L410" s="592">
        <f>IF(J410="TND",1,IF(J410="EUR",Vertical_Cash_flow!$C$16,IF(J410="USD",Vertical_Cash_flow!$F$16,0)))</f>
        <v>1</v>
      </c>
      <c r="M410" s="593">
        <f t="shared" si="28"/>
        <v>1127.2249999999999</v>
      </c>
      <c r="N410" s="589" t="s">
        <v>251</v>
      </c>
      <c r="O410" s="594">
        <v>45351</v>
      </c>
      <c r="P410" s="593">
        <f t="shared" si="29"/>
        <v>-99</v>
      </c>
      <c r="Q410" s="594">
        <v>45450</v>
      </c>
      <c r="R410" s="593">
        <f t="shared" ca="1" si="30"/>
        <v>-9</v>
      </c>
      <c r="S410" s="589" t="str">
        <f>VLOOKUP(Q410,Mapping!L:M,2,0)</f>
        <v>W23_2024</v>
      </c>
      <c r="T410" s="589" t="str">
        <f t="shared" ca="1" si="31"/>
        <v>Not Due</v>
      </c>
      <c r="W410" s="591"/>
    </row>
    <row r="411" spans="1:23" s="589" customFormat="1" x14ac:dyDescent="0.2">
      <c r="A411" s="589" t="s">
        <v>56</v>
      </c>
      <c r="B411" s="589" t="s">
        <v>2330</v>
      </c>
      <c r="C411" s="590" t="s">
        <v>2583</v>
      </c>
      <c r="D411" s="589" t="s">
        <v>100</v>
      </c>
      <c r="E411" s="589" t="s">
        <v>104</v>
      </c>
      <c r="F411" s="589" t="s">
        <v>112</v>
      </c>
      <c r="G411" s="589" t="s">
        <v>51</v>
      </c>
      <c r="H411" s="589" t="s">
        <v>242</v>
      </c>
      <c r="I411" s="589" t="s">
        <v>2896</v>
      </c>
      <c r="J411" s="589" t="s">
        <v>35</v>
      </c>
      <c r="K411" s="591">
        <v>268.19200000000001</v>
      </c>
      <c r="L411" s="592">
        <f>IF(J411="TND",1,IF(J411="EUR",Vertical_Cash_flow!$C$16,IF(J411="USD",Vertical_Cash_flow!$F$16,0)))</f>
        <v>1</v>
      </c>
      <c r="M411" s="593">
        <f t="shared" si="28"/>
        <v>268.19200000000001</v>
      </c>
      <c r="N411" s="589" t="s">
        <v>251</v>
      </c>
      <c r="O411" s="594">
        <v>45406</v>
      </c>
      <c r="P411" s="593">
        <f t="shared" si="29"/>
        <v>-44</v>
      </c>
      <c r="Q411" s="594">
        <v>45450</v>
      </c>
      <c r="R411" s="593">
        <f t="shared" ca="1" si="30"/>
        <v>-9</v>
      </c>
      <c r="S411" s="589" t="str">
        <f>VLOOKUP(Q411,Mapping!L:M,2,0)</f>
        <v>W23_2024</v>
      </c>
      <c r="T411" s="589" t="str">
        <f t="shared" ca="1" si="31"/>
        <v>Not Due</v>
      </c>
      <c r="W411" s="591"/>
    </row>
    <row r="412" spans="1:23" s="589" customFormat="1" x14ac:dyDescent="0.2">
      <c r="A412" s="589" t="s">
        <v>56</v>
      </c>
      <c r="B412" s="589" t="s">
        <v>274</v>
      </c>
      <c r="C412" s="590" t="s">
        <v>1080</v>
      </c>
      <c r="D412" s="589" t="s">
        <v>100</v>
      </c>
      <c r="E412" s="589" t="s">
        <v>104</v>
      </c>
      <c r="F412" s="589" t="s">
        <v>112</v>
      </c>
      <c r="G412" s="589" t="s">
        <v>51</v>
      </c>
      <c r="H412" s="589" t="s">
        <v>242</v>
      </c>
      <c r="I412" s="589" t="s">
        <v>1155</v>
      </c>
      <c r="J412" s="589" t="s">
        <v>35</v>
      </c>
      <c r="K412" s="591">
        <v>830</v>
      </c>
      <c r="L412" s="592">
        <f>IF(J412="TND",1,IF(J412="EUR",Vertical_Cash_flow!$C$16,IF(J412="USD",Vertical_Cash_flow!$F$16,0)))</f>
        <v>1</v>
      </c>
      <c r="M412" s="593">
        <f t="shared" si="28"/>
        <v>830</v>
      </c>
      <c r="N412" s="589" t="s">
        <v>251</v>
      </c>
      <c r="O412" s="594">
        <v>45316</v>
      </c>
      <c r="P412" s="593">
        <f t="shared" si="29"/>
        <v>-134</v>
      </c>
      <c r="Q412" s="594">
        <v>45450</v>
      </c>
      <c r="R412" s="593">
        <f t="shared" ca="1" si="30"/>
        <v>-9</v>
      </c>
      <c r="S412" s="589" t="str">
        <f>VLOOKUP(Q412,Mapping!L:M,2,0)</f>
        <v>W23_2024</v>
      </c>
      <c r="T412" s="589" t="str">
        <f t="shared" ca="1" si="31"/>
        <v>Not Due</v>
      </c>
      <c r="W412" s="591"/>
    </row>
    <row r="413" spans="1:23" s="589" customFormat="1" x14ac:dyDescent="0.2">
      <c r="A413" s="589" t="s">
        <v>56</v>
      </c>
      <c r="B413" s="589" t="s">
        <v>486</v>
      </c>
      <c r="C413" s="590" t="s">
        <v>1303</v>
      </c>
      <c r="D413" s="589" t="s">
        <v>100</v>
      </c>
      <c r="E413" s="589" t="s">
        <v>104</v>
      </c>
      <c r="F413" s="589" t="s">
        <v>112</v>
      </c>
      <c r="G413" s="589" t="s">
        <v>51</v>
      </c>
      <c r="H413" s="589" t="s">
        <v>242</v>
      </c>
      <c r="I413" s="589" t="s">
        <v>643</v>
      </c>
      <c r="J413" s="589" t="s">
        <v>35</v>
      </c>
      <c r="K413" s="591">
        <v>1500</v>
      </c>
      <c r="L413" s="592">
        <f>IF(J413="TND",1,IF(J413="EUR",Vertical_Cash_flow!$C$16,IF(J413="USD",Vertical_Cash_flow!$F$16,0)))</f>
        <v>1</v>
      </c>
      <c r="M413" s="593">
        <f t="shared" si="28"/>
        <v>1500</v>
      </c>
      <c r="N413" s="589" t="s">
        <v>251</v>
      </c>
      <c r="O413" s="594">
        <v>45341</v>
      </c>
      <c r="P413" s="593">
        <f t="shared" si="29"/>
        <v>-109</v>
      </c>
      <c r="Q413" s="594">
        <v>45450</v>
      </c>
      <c r="R413" s="593">
        <f t="shared" ca="1" si="30"/>
        <v>-9</v>
      </c>
      <c r="S413" s="589" t="str">
        <f>VLOOKUP(Q413,Mapping!L:M,2,0)</f>
        <v>W23_2024</v>
      </c>
      <c r="T413" s="589" t="str">
        <f t="shared" ca="1" si="31"/>
        <v>Not Due</v>
      </c>
      <c r="W413" s="591"/>
    </row>
    <row r="414" spans="1:23" s="589" customFormat="1" x14ac:dyDescent="0.2">
      <c r="A414" s="589" t="s">
        <v>56</v>
      </c>
      <c r="B414" s="589" t="s">
        <v>548</v>
      </c>
      <c r="C414" s="590" t="s">
        <v>1764</v>
      </c>
      <c r="D414" s="589" t="s">
        <v>100</v>
      </c>
      <c r="E414" s="589" t="s">
        <v>104</v>
      </c>
      <c r="F414" s="589" t="s">
        <v>112</v>
      </c>
      <c r="G414" s="589" t="s">
        <v>51</v>
      </c>
      <c r="H414" s="589" t="s">
        <v>242</v>
      </c>
      <c r="I414" s="589" t="s">
        <v>2139</v>
      </c>
      <c r="J414" s="589" t="s">
        <v>35</v>
      </c>
      <c r="K414" s="591">
        <v>634.64499999999998</v>
      </c>
      <c r="L414" s="592">
        <f>IF(J414="TND",1,IF(J414="EUR",Vertical_Cash_flow!$C$16,IF(J414="USD",Vertical_Cash_flow!$F$16,0)))</f>
        <v>1</v>
      </c>
      <c r="M414" s="593">
        <f t="shared" si="28"/>
        <v>634.64499999999998</v>
      </c>
      <c r="N414" s="589" t="s">
        <v>251</v>
      </c>
      <c r="O414" s="594">
        <v>45366</v>
      </c>
      <c r="P414" s="593">
        <f t="shared" si="29"/>
        <v>-84</v>
      </c>
      <c r="Q414" s="594">
        <v>45450</v>
      </c>
      <c r="R414" s="593">
        <f t="shared" ca="1" si="30"/>
        <v>-9</v>
      </c>
      <c r="S414" s="589" t="str">
        <f>VLOOKUP(Q414,Mapping!L:M,2,0)</f>
        <v>W23_2024</v>
      </c>
      <c r="T414" s="589" t="str">
        <f t="shared" ca="1" si="31"/>
        <v>Not Due</v>
      </c>
      <c r="W414" s="591"/>
    </row>
    <row r="415" spans="1:23" s="589" customFormat="1" x14ac:dyDescent="0.2">
      <c r="A415" s="589" t="s">
        <v>56</v>
      </c>
      <c r="B415" s="589" t="s">
        <v>1048</v>
      </c>
      <c r="C415" s="590" t="s">
        <v>1763</v>
      </c>
      <c r="D415" s="589" t="s">
        <v>100</v>
      </c>
      <c r="E415" s="589" t="s">
        <v>104</v>
      </c>
      <c r="F415" s="589" t="s">
        <v>112</v>
      </c>
      <c r="G415" s="589" t="s">
        <v>51</v>
      </c>
      <c r="H415" s="589" t="s">
        <v>242</v>
      </c>
      <c r="I415" s="589" t="s">
        <v>2015</v>
      </c>
      <c r="J415" s="589" t="s">
        <v>35</v>
      </c>
      <c r="K415" s="591">
        <v>650</v>
      </c>
      <c r="L415" s="592">
        <f>IF(J415="TND",1,IF(J415="EUR",Vertical_Cash_flow!$C$16,IF(J415="USD",Vertical_Cash_flow!$F$16,0)))</f>
        <v>1</v>
      </c>
      <c r="M415" s="593">
        <f t="shared" si="28"/>
        <v>650</v>
      </c>
      <c r="N415" s="589" t="s">
        <v>251</v>
      </c>
      <c r="O415" s="594">
        <v>45380</v>
      </c>
      <c r="P415" s="593">
        <f t="shared" si="29"/>
        <v>-70</v>
      </c>
      <c r="Q415" s="594">
        <v>45450</v>
      </c>
      <c r="R415" s="593">
        <f t="shared" ca="1" si="30"/>
        <v>-9</v>
      </c>
      <c r="S415" s="589" t="str">
        <f>VLOOKUP(Q415,Mapping!L:M,2,0)</f>
        <v>W23_2024</v>
      </c>
      <c r="T415" s="589" t="str">
        <f t="shared" ca="1" si="31"/>
        <v>Not Due</v>
      </c>
      <c r="W415" s="591"/>
    </row>
    <row r="416" spans="1:23" s="589" customFormat="1" x14ac:dyDescent="0.2">
      <c r="A416" s="589" t="s">
        <v>56</v>
      </c>
      <c r="B416" s="589" t="s">
        <v>388</v>
      </c>
      <c r="C416" s="590" t="s">
        <v>1079</v>
      </c>
      <c r="D416" s="589" t="s">
        <v>100</v>
      </c>
      <c r="E416" s="589" t="s">
        <v>104</v>
      </c>
      <c r="F416" s="589" t="s">
        <v>112</v>
      </c>
      <c r="G416" s="589" t="s">
        <v>51</v>
      </c>
      <c r="H416" s="589" t="s">
        <v>242</v>
      </c>
      <c r="I416" s="589" t="s">
        <v>1154</v>
      </c>
      <c r="J416" s="589" t="s">
        <v>35</v>
      </c>
      <c r="K416" s="591">
        <v>5682.8130000000001</v>
      </c>
      <c r="L416" s="592">
        <f>IF(J416="TND",1,IF(J416="EUR",Vertical_Cash_flow!$C$16,IF(J416="USD",Vertical_Cash_flow!$F$16,0)))</f>
        <v>1</v>
      </c>
      <c r="M416" s="593">
        <f t="shared" si="28"/>
        <v>5682.8130000000001</v>
      </c>
      <c r="N416" s="589" t="s">
        <v>251</v>
      </c>
      <c r="O416" s="594">
        <v>45322</v>
      </c>
      <c r="P416" s="593">
        <f t="shared" si="29"/>
        <v>-128</v>
      </c>
      <c r="Q416" s="594">
        <v>45450</v>
      </c>
      <c r="R416" s="593">
        <f t="shared" ca="1" si="30"/>
        <v>-9</v>
      </c>
      <c r="S416" s="589" t="str">
        <f>VLOOKUP(Q416,Mapping!L:M,2,0)</f>
        <v>W23_2024</v>
      </c>
      <c r="T416" s="589" t="str">
        <f t="shared" ca="1" si="31"/>
        <v>Not Due</v>
      </c>
      <c r="W416" s="591"/>
    </row>
    <row r="417" spans="1:23" s="589" customFormat="1" x14ac:dyDescent="0.2">
      <c r="A417" s="589" t="s">
        <v>56</v>
      </c>
      <c r="B417" s="589" t="s">
        <v>1245</v>
      </c>
      <c r="C417" s="590" t="s">
        <v>2582</v>
      </c>
      <c r="D417" s="589" t="s">
        <v>100</v>
      </c>
      <c r="E417" s="589" t="s">
        <v>104</v>
      </c>
      <c r="F417" s="589" t="s">
        <v>112</v>
      </c>
      <c r="G417" s="589" t="s">
        <v>51</v>
      </c>
      <c r="H417" s="589" t="s">
        <v>242</v>
      </c>
      <c r="I417" s="589" t="s">
        <v>2895</v>
      </c>
      <c r="J417" s="589" t="s">
        <v>35</v>
      </c>
      <c r="K417" s="591">
        <v>846.51900000000001</v>
      </c>
      <c r="L417" s="592">
        <f>IF(J417="TND",1,IF(J417="EUR",Vertical_Cash_flow!$C$16,IF(J417="USD",Vertical_Cash_flow!$F$16,0)))</f>
        <v>1</v>
      </c>
      <c r="M417" s="593">
        <f t="shared" si="28"/>
        <v>846.51900000000001</v>
      </c>
      <c r="N417" s="589" t="s">
        <v>251</v>
      </c>
      <c r="O417" s="594">
        <v>45408</v>
      </c>
      <c r="P417" s="593">
        <f t="shared" si="29"/>
        <v>-42</v>
      </c>
      <c r="Q417" s="594">
        <v>45450</v>
      </c>
      <c r="R417" s="593">
        <f t="shared" ca="1" si="30"/>
        <v>-9</v>
      </c>
      <c r="S417" s="589" t="str">
        <f>VLOOKUP(Q417,Mapping!L:M,2,0)</f>
        <v>W23_2024</v>
      </c>
      <c r="T417" s="589" t="str">
        <f t="shared" ca="1" si="31"/>
        <v>Not Due</v>
      </c>
      <c r="W417" s="591"/>
    </row>
    <row r="418" spans="1:23" s="589" customFormat="1" x14ac:dyDescent="0.2">
      <c r="A418" s="589" t="s">
        <v>56</v>
      </c>
      <c r="B418" s="589" t="s">
        <v>325</v>
      </c>
      <c r="C418" s="590" t="s">
        <v>1762</v>
      </c>
      <c r="D418" s="589" t="s">
        <v>100</v>
      </c>
      <c r="E418" s="589" t="s">
        <v>104</v>
      </c>
      <c r="F418" s="589" t="s">
        <v>112</v>
      </c>
      <c r="G418" s="589" t="s">
        <v>51</v>
      </c>
      <c r="H418" s="589" t="s">
        <v>242</v>
      </c>
      <c r="I418" s="589" t="s">
        <v>2138</v>
      </c>
      <c r="J418" s="589" t="s">
        <v>35</v>
      </c>
      <c r="K418" s="591">
        <v>600</v>
      </c>
      <c r="L418" s="592">
        <f>IF(J418="TND",1,IF(J418="EUR",Vertical_Cash_flow!$C$16,IF(J418="USD",Vertical_Cash_flow!$F$16,0)))</f>
        <v>1</v>
      </c>
      <c r="M418" s="593">
        <f t="shared" si="28"/>
        <v>600</v>
      </c>
      <c r="N418" s="589" t="s">
        <v>251</v>
      </c>
      <c r="O418" s="594">
        <v>45378</v>
      </c>
      <c r="P418" s="593">
        <f t="shared" si="29"/>
        <v>-72</v>
      </c>
      <c r="Q418" s="594">
        <v>45450</v>
      </c>
      <c r="R418" s="593">
        <f t="shared" ca="1" si="30"/>
        <v>-9</v>
      </c>
      <c r="S418" s="589" t="str">
        <f>VLOOKUP(Q418,Mapping!L:M,2,0)</f>
        <v>W23_2024</v>
      </c>
      <c r="T418" s="589" t="str">
        <f t="shared" ca="1" si="31"/>
        <v>Not Due</v>
      </c>
      <c r="W418" s="591"/>
    </row>
    <row r="419" spans="1:23" s="589" customFormat="1" x14ac:dyDescent="0.2">
      <c r="A419" s="589" t="s">
        <v>56</v>
      </c>
      <c r="B419" s="589" t="s">
        <v>636</v>
      </c>
      <c r="C419" s="590" t="s">
        <v>1761</v>
      </c>
      <c r="D419" s="589" t="s">
        <v>100</v>
      </c>
      <c r="E419" s="589" t="s">
        <v>104</v>
      </c>
      <c r="F419" s="589" t="s">
        <v>112</v>
      </c>
      <c r="G419" s="589" t="s">
        <v>51</v>
      </c>
      <c r="H419" s="589" t="s">
        <v>242</v>
      </c>
      <c r="I419" s="589" t="s">
        <v>645</v>
      </c>
      <c r="J419" s="589" t="s">
        <v>35</v>
      </c>
      <c r="K419" s="591">
        <v>2619.2840000000001</v>
      </c>
      <c r="L419" s="592">
        <f>IF(J419="TND",1,IF(J419="EUR",Vertical_Cash_flow!$C$16,IF(J419="USD",Vertical_Cash_flow!$F$16,0)))</f>
        <v>1</v>
      </c>
      <c r="M419" s="593">
        <f t="shared" si="28"/>
        <v>2619.2840000000001</v>
      </c>
      <c r="N419" s="589" t="s">
        <v>251</v>
      </c>
      <c r="O419" s="594">
        <v>45355</v>
      </c>
      <c r="P419" s="593">
        <f t="shared" si="29"/>
        <v>-95</v>
      </c>
      <c r="Q419" s="594">
        <v>45450</v>
      </c>
      <c r="R419" s="593">
        <f t="shared" ca="1" si="30"/>
        <v>-9</v>
      </c>
      <c r="S419" s="589" t="str">
        <f>VLOOKUP(Q419,Mapping!L:M,2,0)</f>
        <v>W23_2024</v>
      </c>
      <c r="T419" s="589" t="str">
        <f t="shared" ca="1" si="31"/>
        <v>Not Due</v>
      </c>
      <c r="W419" s="591"/>
    </row>
    <row r="420" spans="1:23" s="589" customFormat="1" x14ac:dyDescent="0.2">
      <c r="A420" s="589" t="s">
        <v>56</v>
      </c>
      <c r="B420" s="589" t="s">
        <v>567</v>
      </c>
      <c r="C420" s="590" t="s">
        <v>2580</v>
      </c>
      <c r="D420" s="589" t="s">
        <v>100</v>
      </c>
      <c r="E420" s="589" t="s">
        <v>104</v>
      </c>
      <c r="F420" s="589" t="s">
        <v>112</v>
      </c>
      <c r="G420" s="589" t="s">
        <v>51</v>
      </c>
      <c r="H420" s="589" t="s">
        <v>242</v>
      </c>
      <c r="I420" s="589" t="s">
        <v>2894</v>
      </c>
      <c r="J420" s="589" t="s">
        <v>35</v>
      </c>
      <c r="K420" s="591">
        <v>2232.75</v>
      </c>
      <c r="L420" s="592">
        <f>IF(J420="TND",1,IF(J420="EUR",Vertical_Cash_flow!$C$16,IF(J420="USD",Vertical_Cash_flow!$F$16,0)))</f>
        <v>1</v>
      </c>
      <c r="M420" s="593">
        <f t="shared" si="28"/>
        <v>2232.75</v>
      </c>
      <c r="N420" s="589" t="s">
        <v>251</v>
      </c>
      <c r="O420" s="594">
        <v>45407</v>
      </c>
      <c r="P420" s="593">
        <f t="shared" si="29"/>
        <v>-43</v>
      </c>
      <c r="Q420" s="594">
        <v>45450</v>
      </c>
      <c r="R420" s="593">
        <f t="shared" ca="1" si="30"/>
        <v>-9</v>
      </c>
      <c r="S420" s="589" t="str">
        <f>VLOOKUP(Q420,Mapping!L:M,2,0)</f>
        <v>W23_2024</v>
      </c>
      <c r="T420" s="589" t="str">
        <f t="shared" ca="1" si="31"/>
        <v>Not Due</v>
      </c>
      <c r="W420" s="591"/>
    </row>
    <row r="421" spans="1:23" s="589" customFormat="1" x14ac:dyDescent="0.2">
      <c r="A421" s="589" t="s">
        <v>56</v>
      </c>
      <c r="B421" s="589" t="s">
        <v>636</v>
      </c>
      <c r="C421" s="590" t="s">
        <v>2581</v>
      </c>
      <c r="D421" s="589" t="s">
        <v>100</v>
      </c>
      <c r="E421" s="589" t="s">
        <v>104</v>
      </c>
      <c r="F421" s="589" t="s">
        <v>112</v>
      </c>
      <c r="G421" s="589" t="s">
        <v>51</v>
      </c>
      <c r="H421" s="589" t="s">
        <v>242</v>
      </c>
      <c r="I421" s="589" t="s">
        <v>645</v>
      </c>
      <c r="J421" s="589" t="s">
        <v>35</v>
      </c>
      <c r="K421" s="591">
        <v>2003.9480000000001</v>
      </c>
      <c r="L421" s="592">
        <f>IF(J421="TND",1,IF(J421="EUR",Vertical_Cash_flow!$C$16,IF(J421="USD",Vertical_Cash_flow!$F$16,0)))</f>
        <v>1</v>
      </c>
      <c r="M421" s="593">
        <f t="shared" si="28"/>
        <v>2003.9480000000001</v>
      </c>
      <c r="N421" s="589" t="s">
        <v>251</v>
      </c>
      <c r="O421" s="594">
        <v>45385</v>
      </c>
      <c r="P421" s="593">
        <f t="shared" si="29"/>
        <v>-65</v>
      </c>
      <c r="Q421" s="594">
        <v>45450</v>
      </c>
      <c r="R421" s="593">
        <f t="shared" ca="1" si="30"/>
        <v>-9</v>
      </c>
      <c r="S421" s="589" t="str">
        <f>VLOOKUP(Q421,Mapping!L:M,2,0)</f>
        <v>W23_2024</v>
      </c>
      <c r="T421" s="589" t="str">
        <f t="shared" ca="1" si="31"/>
        <v>Not Due</v>
      </c>
      <c r="W421" s="591"/>
    </row>
    <row r="422" spans="1:23" s="589" customFormat="1" x14ac:dyDescent="0.2">
      <c r="A422" s="589" t="s">
        <v>56</v>
      </c>
      <c r="B422" s="589" t="s">
        <v>485</v>
      </c>
      <c r="C422" s="590" t="s">
        <v>1760</v>
      </c>
      <c r="D422" s="589" t="s">
        <v>100</v>
      </c>
      <c r="E422" s="589" t="s">
        <v>104</v>
      </c>
      <c r="F422" s="589" t="s">
        <v>112</v>
      </c>
      <c r="G422" s="589" t="s">
        <v>51</v>
      </c>
      <c r="H422" s="589" t="s">
        <v>242</v>
      </c>
      <c r="I422" s="589" t="s">
        <v>1460</v>
      </c>
      <c r="J422" s="589" t="s">
        <v>35</v>
      </c>
      <c r="K422" s="591">
        <v>4995.38</v>
      </c>
      <c r="L422" s="592">
        <f>IF(J422="TND",1,IF(J422="EUR",Vertical_Cash_flow!$C$16,IF(J422="USD",Vertical_Cash_flow!$F$16,0)))</f>
        <v>1</v>
      </c>
      <c r="M422" s="593">
        <f t="shared" si="28"/>
        <v>4995.38</v>
      </c>
      <c r="N422" s="589" t="s">
        <v>251</v>
      </c>
      <c r="O422" s="594">
        <v>45348</v>
      </c>
      <c r="P422" s="593">
        <f t="shared" si="29"/>
        <v>-103</v>
      </c>
      <c r="Q422" s="594">
        <v>45451</v>
      </c>
      <c r="R422" s="593">
        <f t="shared" ca="1" si="30"/>
        <v>-10</v>
      </c>
      <c r="S422" s="589" t="str">
        <f>VLOOKUP(Q422,Mapping!L:M,2,0)</f>
        <v>W24_2024</v>
      </c>
      <c r="T422" s="589" t="str">
        <f t="shared" ca="1" si="31"/>
        <v>Not Due</v>
      </c>
      <c r="W422" s="591"/>
    </row>
    <row r="423" spans="1:23" s="589" customFormat="1" x14ac:dyDescent="0.2">
      <c r="A423" s="589" t="s">
        <v>56</v>
      </c>
      <c r="B423" s="589" t="s">
        <v>274</v>
      </c>
      <c r="C423" s="590" t="s">
        <v>1078</v>
      </c>
      <c r="D423" s="589" t="s">
        <v>100</v>
      </c>
      <c r="E423" s="589" t="s">
        <v>104</v>
      </c>
      <c r="F423" s="589" t="s">
        <v>112</v>
      </c>
      <c r="G423" s="589" t="s">
        <v>51</v>
      </c>
      <c r="H423" s="589" t="s">
        <v>242</v>
      </c>
      <c r="I423" s="589" t="s">
        <v>1153</v>
      </c>
      <c r="J423" s="589" t="s">
        <v>35</v>
      </c>
      <c r="K423" s="591">
        <v>825</v>
      </c>
      <c r="L423" s="592">
        <f>IF(J423="TND",1,IF(J423="EUR",Vertical_Cash_flow!$C$16,IF(J423="USD",Vertical_Cash_flow!$F$16,0)))</f>
        <v>1</v>
      </c>
      <c r="M423" s="593">
        <f t="shared" si="28"/>
        <v>825</v>
      </c>
      <c r="N423" s="589" t="s">
        <v>251</v>
      </c>
      <c r="O423" s="594">
        <v>45316</v>
      </c>
      <c r="P423" s="593">
        <f t="shared" si="29"/>
        <v>-135</v>
      </c>
      <c r="Q423" s="594">
        <v>45451</v>
      </c>
      <c r="R423" s="593">
        <f t="shared" ca="1" si="30"/>
        <v>-10</v>
      </c>
      <c r="S423" s="589" t="str">
        <f>VLOOKUP(Q423,Mapping!L:M,2,0)</f>
        <v>W24_2024</v>
      </c>
      <c r="T423" s="589" t="str">
        <f t="shared" ca="1" si="31"/>
        <v>Not Due</v>
      </c>
      <c r="W423" s="591"/>
    </row>
    <row r="424" spans="1:23" s="589" customFormat="1" x14ac:dyDescent="0.2">
      <c r="A424" s="589" t="s">
        <v>56</v>
      </c>
      <c r="B424" s="589" t="s">
        <v>403</v>
      </c>
      <c r="C424" s="590" t="s">
        <v>2579</v>
      </c>
      <c r="D424" s="589" t="s">
        <v>100</v>
      </c>
      <c r="E424" s="589" t="s">
        <v>104</v>
      </c>
      <c r="F424" s="589" t="s">
        <v>112</v>
      </c>
      <c r="G424" s="589" t="s">
        <v>51</v>
      </c>
      <c r="H424" s="589" t="s">
        <v>242</v>
      </c>
      <c r="I424" s="589" t="s">
        <v>2893</v>
      </c>
      <c r="J424" s="589" t="s">
        <v>35</v>
      </c>
      <c r="K424" s="591">
        <v>2500</v>
      </c>
      <c r="L424" s="592">
        <f>IF(J424="TND",1,IF(J424="EUR",Vertical_Cash_flow!$C$16,IF(J424="USD",Vertical_Cash_flow!$F$16,0)))</f>
        <v>1</v>
      </c>
      <c r="M424" s="593">
        <f t="shared" si="28"/>
        <v>2500</v>
      </c>
      <c r="N424" s="589" t="s">
        <v>251</v>
      </c>
      <c r="O424" s="594">
        <v>45401</v>
      </c>
      <c r="P424" s="593">
        <f t="shared" si="29"/>
        <v>-50</v>
      </c>
      <c r="Q424" s="594">
        <v>45451</v>
      </c>
      <c r="R424" s="593">
        <f t="shared" ca="1" si="30"/>
        <v>-10</v>
      </c>
      <c r="S424" s="589" t="str">
        <f>VLOOKUP(Q424,Mapping!L:M,2,0)</f>
        <v>W24_2024</v>
      </c>
      <c r="T424" s="589" t="str">
        <f t="shared" ca="1" si="31"/>
        <v>Not Due</v>
      </c>
      <c r="W424" s="591"/>
    </row>
    <row r="425" spans="1:23" s="589" customFormat="1" x14ac:dyDescent="0.2">
      <c r="A425" s="589" t="s">
        <v>56</v>
      </c>
      <c r="B425" s="589" t="s">
        <v>278</v>
      </c>
      <c r="C425" s="590" t="s">
        <v>985</v>
      </c>
      <c r="D425" s="589" t="s">
        <v>100</v>
      </c>
      <c r="E425" s="589" t="s">
        <v>104</v>
      </c>
      <c r="F425" s="589" t="s">
        <v>112</v>
      </c>
      <c r="G425" s="589" t="s">
        <v>51</v>
      </c>
      <c r="H425" s="589" t="s">
        <v>242</v>
      </c>
      <c r="I425" s="589" t="s">
        <v>996</v>
      </c>
      <c r="J425" s="589" t="s">
        <v>35</v>
      </c>
      <c r="K425" s="591">
        <v>1500</v>
      </c>
      <c r="L425" s="592">
        <f>IF(J425="TND",1,IF(J425="EUR",Vertical_Cash_flow!$C$16,IF(J425="USD",Vertical_Cash_flow!$F$16,0)))</f>
        <v>1</v>
      </c>
      <c r="M425" s="593">
        <f t="shared" si="28"/>
        <v>1500</v>
      </c>
      <c r="N425" s="589" t="s">
        <v>251</v>
      </c>
      <c r="O425" s="594">
        <v>45287</v>
      </c>
      <c r="P425" s="593">
        <f t="shared" si="29"/>
        <v>-164</v>
      </c>
      <c r="Q425" s="594">
        <v>45451</v>
      </c>
      <c r="R425" s="593">
        <f t="shared" ca="1" si="30"/>
        <v>-10</v>
      </c>
      <c r="S425" s="589" t="str">
        <f>VLOOKUP(Q425,Mapping!L:M,2,0)</f>
        <v>W24_2024</v>
      </c>
      <c r="T425" s="589" t="str">
        <f t="shared" ca="1" si="31"/>
        <v>Not Due</v>
      </c>
      <c r="W425" s="591"/>
    </row>
    <row r="426" spans="1:23" s="589" customFormat="1" x14ac:dyDescent="0.2">
      <c r="A426" s="589" t="s">
        <v>56</v>
      </c>
      <c r="B426" s="589" t="s">
        <v>619</v>
      </c>
      <c r="C426" s="590" t="s">
        <v>1759</v>
      </c>
      <c r="D426" s="589" t="s">
        <v>100</v>
      </c>
      <c r="E426" s="589" t="s">
        <v>104</v>
      </c>
      <c r="F426" s="589" t="s">
        <v>112</v>
      </c>
      <c r="G426" s="589" t="s">
        <v>51</v>
      </c>
      <c r="H426" s="589" t="s">
        <v>242</v>
      </c>
      <c r="I426" s="589" t="s">
        <v>1462</v>
      </c>
      <c r="J426" s="589" t="s">
        <v>35</v>
      </c>
      <c r="K426" s="591">
        <v>2560.3879999999999</v>
      </c>
      <c r="L426" s="592">
        <f>IF(J426="TND",1,IF(J426="EUR",Vertical_Cash_flow!$C$16,IF(J426="USD",Vertical_Cash_flow!$F$16,0)))</f>
        <v>1</v>
      </c>
      <c r="M426" s="593">
        <f t="shared" si="28"/>
        <v>2560.3879999999999</v>
      </c>
      <c r="N426" s="589" t="s">
        <v>251</v>
      </c>
      <c r="O426" s="594">
        <v>45362</v>
      </c>
      <c r="P426" s="593">
        <f t="shared" si="29"/>
        <v>-89</v>
      </c>
      <c r="Q426" s="594">
        <v>45451</v>
      </c>
      <c r="R426" s="593">
        <f t="shared" ca="1" si="30"/>
        <v>-10</v>
      </c>
      <c r="S426" s="589" t="str">
        <f>VLOOKUP(Q426,Mapping!L:M,2,0)</f>
        <v>W24_2024</v>
      </c>
      <c r="T426" s="589" t="str">
        <f t="shared" ca="1" si="31"/>
        <v>Not Due</v>
      </c>
      <c r="W426" s="591"/>
    </row>
    <row r="427" spans="1:23" s="589" customFormat="1" x14ac:dyDescent="0.2">
      <c r="A427" s="589" t="s">
        <v>56</v>
      </c>
      <c r="B427" s="589" t="s">
        <v>274</v>
      </c>
      <c r="C427" s="590" t="s">
        <v>1077</v>
      </c>
      <c r="D427" s="589" t="s">
        <v>100</v>
      </c>
      <c r="E427" s="589" t="s">
        <v>104</v>
      </c>
      <c r="F427" s="589" t="s">
        <v>112</v>
      </c>
      <c r="G427" s="589" t="s">
        <v>51</v>
      </c>
      <c r="H427" s="589" t="s">
        <v>242</v>
      </c>
      <c r="I427" s="589" t="s">
        <v>1152</v>
      </c>
      <c r="J427" s="589" t="s">
        <v>35</v>
      </c>
      <c r="K427" s="591">
        <v>820</v>
      </c>
      <c r="L427" s="592">
        <f>IF(J427="TND",1,IF(J427="EUR",Vertical_Cash_flow!$C$16,IF(J427="USD",Vertical_Cash_flow!$F$16,0)))</f>
        <v>1</v>
      </c>
      <c r="M427" s="593">
        <f t="shared" si="28"/>
        <v>820</v>
      </c>
      <c r="N427" s="589" t="s">
        <v>251</v>
      </c>
      <c r="O427" s="594">
        <v>45316</v>
      </c>
      <c r="P427" s="593">
        <f t="shared" si="29"/>
        <v>-136</v>
      </c>
      <c r="Q427" s="594">
        <v>45452</v>
      </c>
      <c r="R427" s="593">
        <f t="shared" ca="1" si="30"/>
        <v>-11</v>
      </c>
      <c r="S427" s="589" t="str">
        <f>VLOOKUP(Q427,Mapping!L:M,2,0)</f>
        <v>W24_2024</v>
      </c>
      <c r="T427" s="589" t="str">
        <f t="shared" ca="1" si="31"/>
        <v>Not Due</v>
      </c>
      <c r="W427" s="591"/>
    </row>
    <row r="428" spans="1:23" s="589" customFormat="1" x14ac:dyDescent="0.2">
      <c r="A428" s="589" t="s">
        <v>56</v>
      </c>
      <c r="B428" s="589" t="s">
        <v>498</v>
      </c>
      <c r="C428" s="590" t="s">
        <v>1076</v>
      </c>
      <c r="D428" s="589" t="s">
        <v>100</v>
      </c>
      <c r="E428" s="589" t="s">
        <v>104</v>
      </c>
      <c r="F428" s="589" t="s">
        <v>112</v>
      </c>
      <c r="G428" s="589" t="s">
        <v>51</v>
      </c>
      <c r="H428" s="589" t="s">
        <v>242</v>
      </c>
      <c r="I428" s="589" t="s">
        <v>1151</v>
      </c>
      <c r="J428" s="589" t="s">
        <v>35</v>
      </c>
      <c r="K428" s="591">
        <v>8281</v>
      </c>
      <c r="L428" s="592">
        <f>IF(J428="TND",1,IF(J428="EUR",Vertical_Cash_flow!$C$16,IF(J428="USD",Vertical_Cash_flow!$F$16,0)))</f>
        <v>1</v>
      </c>
      <c r="M428" s="593">
        <f t="shared" si="28"/>
        <v>8281</v>
      </c>
      <c r="N428" s="589" t="s">
        <v>251</v>
      </c>
      <c r="O428" s="594">
        <v>45320</v>
      </c>
      <c r="P428" s="593">
        <f t="shared" si="29"/>
        <v>-132</v>
      </c>
      <c r="Q428" s="594">
        <v>45452</v>
      </c>
      <c r="R428" s="593">
        <f t="shared" ca="1" si="30"/>
        <v>-11</v>
      </c>
      <c r="S428" s="589" t="str">
        <f>VLOOKUP(Q428,Mapping!L:M,2,0)</f>
        <v>W24_2024</v>
      </c>
      <c r="T428" s="589" t="str">
        <f t="shared" ca="1" si="31"/>
        <v>Not Due</v>
      </c>
      <c r="W428" s="591"/>
    </row>
    <row r="429" spans="1:23" s="589" customFormat="1" x14ac:dyDescent="0.2">
      <c r="A429" s="589" t="s">
        <v>56</v>
      </c>
      <c r="B429" s="589" t="s">
        <v>310</v>
      </c>
      <c r="C429" s="590" t="s">
        <v>1751</v>
      </c>
      <c r="D429" s="589" t="s">
        <v>100</v>
      </c>
      <c r="E429" s="589" t="s">
        <v>104</v>
      </c>
      <c r="F429" s="589" t="s">
        <v>112</v>
      </c>
      <c r="G429" s="589" t="s">
        <v>51</v>
      </c>
      <c r="H429" s="589" t="s">
        <v>242</v>
      </c>
      <c r="I429" s="589" t="s">
        <v>2132</v>
      </c>
      <c r="J429" s="589" t="s">
        <v>35</v>
      </c>
      <c r="K429" s="591">
        <v>1249.7239999999999</v>
      </c>
      <c r="L429" s="592">
        <f>IF(J429="TND",1,IF(J429="EUR",Vertical_Cash_flow!$C$16,IF(J429="USD",Vertical_Cash_flow!$F$16,0)))</f>
        <v>1</v>
      </c>
      <c r="M429" s="593">
        <f t="shared" si="28"/>
        <v>1249.7239999999999</v>
      </c>
      <c r="N429" s="589" t="s">
        <v>251</v>
      </c>
      <c r="O429" s="594">
        <v>45380</v>
      </c>
      <c r="P429" s="593">
        <f t="shared" si="29"/>
        <v>-73</v>
      </c>
      <c r="Q429" s="594">
        <v>45453</v>
      </c>
      <c r="R429" s="593">
        <f t="shared" ca="1" si="30"/>
        <v>-12</v>
      </c>
      <c r="S429" s="589" t="str">
        <f>VLOOKUP(Q429,Mapping!L:M,2,0)</f>
        <v>W24_2024</v>
      </c>
      <c r="T429" s="589" t="str">
        <f t="shared" ca="1" si="31"/>
        <v>Not Due</v>
      </c>
      <c r="W429" s="591"/>
    </row>
    <row r="430" spans="1:23" s="589" customFormat="1" x14ac:dyDescent="0.2">
      <c r="A430" s="589" t="s">
        <v>56</v>
      </c>
      <c r="B430" s="589" t="s">
        <v>477</v>
      </c>
      <c r="C430" s="590" t="s">
        <v>1752</v>
      </c>
      <c r="D430" s="589" t="s">
        <v>100</v>
      </c>
      <c r="E430" s="589" t="s">
        <v>104</v>
      </c>
      <c r="F430" s="589" t="s">
        <v>112</v>
      </c>
      <c r="G430" s="589" t="s">
        <v>51</v>
      </c>
      <c r="H430" s="589" t="s">
        <v>242</v>
      </c>
      <c r="I430" s="589" t="s">
        <v>895</v>
      </c>
      <c r="J430" s="589" t="s">
        <v>35</v>
      </c>
      <c r="K430" s="591">
        <v>1902.049</v>
      </c>
      <c r="L430" s="592">
        <f>IF(J430="TND",1,IF(J430="EUR",Vertical_Cash_flow!$C$16,IF(J430="USD",Vertical_Cash_flow!$F$16,0)))</f>
        <v>1</v>
      </c>
      <c r="M430" s="593">
        <f t="shared" si="28"/>
        <v>1902.049</v>
      </c>
      <c r="N430" s="589" t="s">
        <v>251</v>
      </c>
      <c r="O430" s="594">
        <v>45357</v>
      </c>
      <c r="P430" s="593">
        <f t="shared" si="29"/>
        <v>-96</v>
      </c>
      <c r="Q430" s="594">
        <v>45453</v>
      </c>
      <c r="R430" s="593">
        <f t="shared" ca="1" si="30"/>
        <v>-12</v>
      </c>
      <c r="S430" s="589" t="str">
        <f>VLOOKUP(Q430,Mapping!L:M,2,0)</f>
        <v>W24_2024</v>
      </c>
      <c r="T430" s="589" t="str">
        <f t="shared" ca="1" si="31"/>
        <v>Not Due</v>
      </c>
      <c r="W430" s="591"/>
    </row>
    <row r="431" spans="1:23" s="589" customFormat="1" x14ac:dyDescent="0.2">
      <c r="A431" s="589" t="s">
        <v>56</v>
      </c>
      <c r="B431" s="589" t="s">
        <v>593</v>
      </c>
      <c r="C431" s="590" t="s">
        <v>3197</v>
      </c>
      <c r="D431" s="589" t="s">
        <v>100</v>
      </c>
      <c r="E431" s="589" t="s">
        <v>104</v>
      </c>
      <c r="F431" s="589" t="s">
        <v>112</v>
      </c>
      <c r="G431" s="589" t="s">
        <v>51</v>
      </c>
      <c r="H431" s="589" t="s">
        <v>242</v>
      </c>
      <c r="I431" s="589" t="s">
        <v>3372</v>
      </c>
      <c r="J431" s="589" t="s">
        <v>35</v>
      </c>
      <c r="K431" s="591">
        <v>916.70500000000004</v>
      </c>
      <c r="L431" s="592">
        <f>IF(J431="TND",1,IF(J431="EUR",Vertical_Cash_flow!$C$16,IF(J431="USD",Vertical_Cash_flow!$F$16,0)))</f>
        <v>1</v>
      </c>
      <c r="M431" s="593">
        <f t="shared" si="28"/>
        <v>916.70500000000004</v>
      </c>
      <c r="N431" s="589" t="s">
        <v>251</v>
      </c>
      <c r="O431" s="594">
        <v>45416</v>
      </c>
      <c r="P431" s="593">
        <f t="shared" si="29"/>
        <v>-37</v>
      </c>
      <c r="Q431" s="594">
        <v>45453</v>
      </c>
      <c r="R431" s="593">
        <f t="shared" ca="1" si="30"/>
        <v>-12</v>
      </c>
      <c r="S431" s="589" t="str">
        <f>VLOOKUP(Q431,Mapping!L:M,2,0)</f>
        <v>W24_2024</v>
      </c>
      <c r="T431" s="589" t="str">
        <f t="shared" ca="1" si="31"/>
        <v>Not Due</v>
      </c>
      <c r="W431" s="591"/>
    </row>
    <row r="432" spans="1:23" s="589" customFormat="1" x14ac:dyDescent="0.2">
      <c r="A432" s="589" t="s">
        <v>56</v>
      </c>
      <c r="B432" s="589" t="s">
        <v>479</v>
      </c>
      <c r="C432" s="590" t="s">
        <v>1753</v>
      </c>
      <c r="D432" s="589" t="s">
        <v>100</v>
      </c>
      <c r="E432" s="589" t="s">
        <v>104</v>
      </c>
      <c r="F432" s="589" t="s">
        <v>112</v>
      </c>
      <c r="G432" s="589" t="s">
        <v>51</v>
      </c>
      <c r="H432" s="589" t="s">
        <v>242</v>
      </c>
      <c r="I432" s="589" t="s">
        <v>2133</v>
      </c>
      <c r="J432" s="589" t="s">
        <v>35</v>
      </c>
      <c r="K432" s="591">
        <v>2701.4079999999999</v>
      </c>
      <c r="L432" s="592">
        <f>IF(J432="TND",1,IF(J432="EUR",Vertical_Cash_flow!$C$16,IF(J432="USD",Vertical_Cash_flow!$F$16,0)))</f>
        <v>1</v>
      </c>
      <c r="M432" s="593">
        <f t="shared" si="28"/>
        <v>2701.4079999999999</v>
      </c>
      <c r="N432" s="589" t="s">
        <v>251</v>
      </c>
      <c r="O432" s="594">
        <v>45349</v>
      </c>
      <c r="P432" s="593">
        <f t="shared" si="29"/>
        <v>-104</v>
      </c>
      <c r="Q432" s="594">
        <v>45453</v>
      </c>
      <c r="R432" s="593">
        <f t="shared" ca="1" si="30"/>
        <v>-12</v>
      </c>
      <c r="S432" s="589" t="str">
        <f>VLOOKUP(Q432,Mapping!L:M,2,0)</f>
        <v>W24_2024</v>
      </c>
      <c r="T432" s="589" t="str">
        <f t="shared" ca="1" si="31"/>
        <v>Not Due</v>
      </c>
      <c r="W432" s="591"/>
    </row>
    <row r="433" spans="1:23" s="589" customFormat="1" x14ac:dyDescent="0.2">
      <c r="A433" s="589" t="s">
        <v>56</v>
      </c>
      <c r="B433" s="589" t="s">
        <v>297</v>
      </c>
      <c r="C433" s="590" t="s">
        <v>1758</v>
      </c>
      <c r="D433" s="589" t="s">
        <v>100</v>
      </c>
      <c r="E433" s="589" t="s">
        <v>104</v>
      </c>
      <c r="F433" s="589" t="s">
        <v>112</v>
      </c>
      <c r="G433" s="589" t="s">
        <v>51</v>
      </c>
      <c r="H433" s="589" t="s">
        <v>242</v>
      </c>
      <c r="I433" s="589" t="s">
        <v>1206</v>
      </c>
      <c r="J433" s="589" t="s">
        <v>35</v>
      </c>
      <c r="K433" s="591">
        <v>2970.4859999999999</v>
      </c>
      <c r="L433" s="592">
        <f>IF(J433="TND",1,IF(J433="EUR",Vertical_Cash_flow!$C$16,IF(J433="USD",Vertical_Cash_flow!$F$16,0)))</f>
        <v>1</v>
      </c>
      <c r="M433" s="593">
        <f t="shared" si="28"/>
        <v>2970.4859999999999</v>
      </c>
      <c r="N433" s="589" t="s">
        <v>251</v>
      </c>
      <c r="O433" s="594">
        <v>45348</v>
      </c>
      <c r="P433" s="593">
        <f t="shared" si="29"/>
        <v>-105</v>
      </c>
      <c r="Q433" s="594">
        <v>45453</v>
      </c>
      <c r="R433" s="593">
        <f t="shared" ca="1" si="30"/>
        <v>-12</v>
      </c>
      <c r="S433" s="589" t="str">
        <f>VLOOKUP(Q433,Mapping!L:M,2,0)</f>
        <v>W24_2024</v>
      </c>
      <c r="T433" s="589" t="str">
        <f t="shared" ca="1" si="31"/>
        <v>Not Due</v>
      </c>
      <c r="W433" s="591"/>
    </row>
    <row r="434" spans="1:23" s="589" customFormat="1" x14ac:dyDescent="0.2">
      <c r="A434" s="589" t="s">
        <v>56</v>
      </c>
      <c r="B434" s="589" t="s">
        <v>353</v>
      </c>
      <c r="C434" s="590" t="s">
        <v>1302</v>
      </c>
      <c r="D434" s="589" t="s">
        <v>100</v>
      </c>
      <c r="E434" s="589" t="s">
        <v>104</v>
      </c>
      <c r="F434" s="589" t="s">
        <v>112</v>
      </c>
      <c r="G434" s="589" t="s">
        <v>51</v>
      </c>
      <c r="H434" s="589" t="s">
        <v>242</v>
      </c>
      <c r="I434" s="589" t="s">
        <v>1407</v>
      </c>
      <c r="J434" s="589" t="s">
        <v>35</v>
      </c>
      <c r="K434" s="591">
        <v>692.80499999999995</v>
      </c>
      <c r="L434" s="592">
        <f>IF(J434="TND",1,IF(J434="EUR",Vertical_Cash_flow!$C$16,IF(J434="USD",Vertical_Cash_flow!$F$16,0)))</f>
        <v>1</v>
      </c>
      <c r="M434" s="593">
        <f t="shared" si="28"/>
        <v>692.80499999999995</v>
      </c>
      <c r="N434" s="589" t="s">
        <v>251</v>
      </c>
      <c r="O434" s="594">
        <v>45345</v>
      </c>
      <c r="P434" s="593">
        <f t="shared" si="29"/>
        <v>-108</v>
      </c>
      <c r="Q434" s="594">
        <v>45453</v>
      </c>
      <c r="R434" s="593">
        <f t="shared" ca="1" si="30"/>
        <v>-12</v>
      </c>
      <c r="S434" s="589" t="str">
        <f>VLOOKUP(Q434,Mapping!L:M,2,0)</f>
        <v>W24_2024</v>
      </c>
      <c r="T434" s="589" t="str">
        <f t="shared" ca="1" si="31"/>
        <v>Not Due</v>
      </c>
      <c r="W434" s="591"/>
    </row>
    <row r="435" spans="1:23" s="589" customFormat="1" x14ac:dyDescent="0.2">
      <c r="A435" s="589" t="s">
        <v>56</v>
      </c>
      <c r="B435" s="589" t="s">
        <v>642</v>
      </c>
      <c r="C435" s="590" t="s">
        <v>1750</v>
      </c>
      <c r="D435" s="589" t="s">
        <v>100</v>
      </c>
      <c r="E435" s="589" t="s">
        <v>104</v>
      </c>
      <c r="F435" s="589" t="s">
        <v>112</v>
      </c>
      <c r="G435" s="589" t="s">
        <v>51</v>
      </c>
      <c r="H435" s="589" t="s">
        <v>242</v>
      </c>
      <c r="I435" s="589" t="s">
        <v>2131</v>
      </c>
      <c r="J435" s="589" t="s">
        <v>35</v>
      </c>
      <c r="K435" s="591">
        <v>810.32299999999998</v>
      </c>
      <c r="L435" s="592">
        <f>IF(J435="TND",1,IF(J435="EUR",Vertical_Cash_flow!$C$16,IF(J435="USD",Vertical_Cash_flow!$F$16,0)))</f>
        <v>1</v>
      </c>
      <c r="M435" s="593">
        <f t="shared" si="28"/>
        <v>810.32299999999998</v>
      </c>
      <c r="N435" s="589" t="s">
        <v>251</v>
      </c>
      <c r="O435" s="594">
        <v>45376</v>
      </c>
      <c r="P435" s="593">
        <f t="shared" si="29"/>
        <v>-77</v>
      </c>
      <c r="Q435" s="594">
        <v>45453</v>
      </c>
      <c r="R435" s="593">
        <f t="shared" ca="1" si="30"/>
        <v>-12</v>
      </c>
      <c r="S435" s="589" t="str">
        <f>VLOOKUP(Q435,Mapping!L:M,2,0)</f>
        <v>W24_2024</v>
      </c>
      <c r="T435" s="589" t="str">
        <f t="shared" ca="1" si="31"/>
        <v>Not Due</v>
      </c>
      <c r="W435" s="591"/>
    </row>
    <row r="436" spans="1:23" s="589" customFormat="1" x14ac:dyDescent="0.2">
      <c r="A436" s="589" t="s">
        <v>56</v>
      </c>
      <c r="B436" s="589" t="s">
        <v>511</v>
      </c>
      <c r="C436" s="590" t="s">
        <v>1301</v>
      </c>
      <c r="D436" s="589" t="s">
        <v>100</v>
      </c>
      <c r="E436" s="589" t="s">
        <v>104</v>
      </c>
      <c r="F436" s="589" t="s">
        <v>112</v>
      </c>
      <c r="G436" s="589" t="s">
        <v>51</v>
      </c>
      <c r="H436" s="589" t="s">
        <v>242</v>
      </c>
      <c r="I436" s="589" t="s">
        <v>1406</v>
      </c>
      <c r="J436" s="589" t="s">
        <v>35</v>
      </c>
      <c r="K436" s="591">
        <v>4295.1639999999998</v>
      </c>
      <c r="L436" s="592">
        <f>IF(J436="TND",1,IF(J436="EUR",Vertical_Cash_flow!$C$16,IF(J436="USD",Vertical_Cash_flow!$F$16,0)))</f>
        <v>1</v>
      </c>
      <c r="M436" s="593">
        <f t="shared" si="28"/>
        <v>4295.1639999999998</v>
      </c>
      <c r="N436" s="589" t="s">
        <v>251</v>
      </c>
      <c r="O436" s="594">
        <v>45343</v>
      </c>
      <c r="P436" s="593">
        <f t="shared" si="29"/>
        <v>-110</v>
      </c>
      <c r="Q436" s="594">
        <v>45453</v>
      </c>
      <c r="R436" s="593">
        <f t="shared" ca="1" si="30"/>
        <v>-12</v>
      </c>
      <c r="S436" s="589" t="str">
        <f>VLOOKUP(Q436,Mapping!L:M,2,0)</f>
        <v>W24_2024</v>
      </c>
      <c r="T436" s="589" t="str">
        <f t="shared" ca="1" si="31"/>
        <v>Not Due</v>
      </c>
      <c r="W436" s="591"/>
    </row>
    <row r="437" spans="1:23" s="589" customFormat="1" x14ac:dyDescent="0.2">
      <c r="A437" s="589" t="s">
        <v>56</v>
      </c>
      <c r="B437" s="589" t="s">
        <v>814</v>
      </c>
      <c r="C437" s="590" t="s">
        <v>1300</v>
      </c>
      <c r="D437" s="589" t="s">
        <v>100</v>
      </c>
      <c r="E437" s="589" t="s">
        <v>104</v>
      </c>
      <c r="F437" s="589" t="s">
        <v>112</v>
      </c>
      <c r="G437" s="589" t="s">
        <v>51</v>
      </c>
      <c r="H437" s="589" t="s">
        <v>242</v>
      </c>
      <c r="I437" s="589" t="s">
        <v>881</v>
      </c>
      <c r="J437" s="589" t="s">
        <v>35</v>
      </c>
      <c r="K437" s="591">
        <v>18657.333999999999</v>
      </c>
      <c r="L437" s="592">
        <f>IF(J437="TND",1,IF(J437="EUR",Vertical_Cash_flow!$C$16,IF(J437="USD",Vertical_Cash_flow!$F$16,0)))</f>
        <v>1</v>
      </c>
      <c r="M437" s="593">
        <f t="shared" si="28"/>
        <v>18657.333999999999</v>
      </c>
      <c r="N437" s="589" t="s">
        <v>251</v>
      </c>
      <c r="O437" s="594">
        <v>45342</v>
      </c>
      <c r="P437" s="593">
        <f t="shared" si="29"/>
        <v>-111</v>
      </c>
      <c r="Q437" s="594">
        <v>45453</v>
      </c>
      <c r="R437" s="593">
        <f t="shared" ca="1" si="30"/>
        <v>-12</v>
      </c>
      <c r="S437" s="589" t="str">
        <f>VLOOKUP(Q437,Mapping!L:M,2,0)</f>
        <v>W24_2024</v>
      </c>
      <c r="T437" s="589" t="str">
        <f t="shared" ca="1" si="31"/>
        <v>Not Due</v>
      </c>
      <c r="W437" s="591"/>
    </row>
    <row r="438" spans="1:23" s="589" customFormat="1" x14ac:dyDescent="0.2">
      <c r="A438" s="589" t="s">
        <v>56</v>
      </c>
      <c r="B438" s="589" t="s">
        <v>611</v>
      </c>
      <c r="C438" s="590" t="s">
        <v>1757</v>
      </c>
      <c r="D438" s="589" t="s">
        <v>100</v>
      </c>
      <c r="E438" s="589" t="s">
        <v>104</v>
      </c>
      <c r="F438" s="589" t="s">
        <v>112</v>
      </c>
      <c r="G438" s="589" t="s">
        <v>51</v>
      </c>
      <c r="H438" s="589" t="s">
        <v>242</v>
      </c>
      <c r="I438" s="589" t="s">
        <v>2137</v>
      </c>
      <c r="J438" s="589" t="s">
        <v>35</v>
      </c>
      <c r="K438" s="591">
        <v>500</v>
      </c>
      <c r="L438" s="592">
        <f>IF(J438="TND",1,IF(J438="EUR",Vertical_Cash_flow!$C$16,IF(J438="USD",Vertical_Cash_flow!$F$16,0)))</f>
        <v>1</v>
      </c>
      <c r="M438" s="593">
        <f t="shared" si="28"/>
        <v>500</v>
      </c>
      <c r="N438" s="589" t="s">
        <v>251</v>
      </c>
      <c r="O438" s="594">
        <v>45380</v>
      </c>
      <c r="P438" s="593">
        <f t="shared" si="29"/>
        <v>-73</v>
      </c>
      <c r="Q438" s="594">
        <v>45453</v>
      </c>
      <c r="R438" s="593">
        <f t="shared" ca="1" si="30"/>
        <v>-12</v>
      </c>
      <c r="S438" s="589" t="str">
        <f>VLOOKUP(Q438,Mapping!L:M,2,0)</f>
        <v>W24_2024</v>
      </c>
      <c r="T438" s="589" t="str">
        <f t="shared" ca="1" si="31"/>
        <v>Not Due</v>
      </c>
      <c r="W438" s="591"/>
    </row>
    <row r="439" spans="1:23" s="589" customFormat="1" x14ac:dyDescent="0.2">
      <c r="A439" s="589" t="s">
        <v>56</v>
      </c>
      <c r="B439" s="589" t="s">
        <v>537</v>
      </c>
      <c r="C439" s="590" t="s">
        <v>1299</v>
      </c>
      <c r="D439" s="589" t="s">
        <v>100</v>
      </c>
      <c r="E439" s="589" t="s">
        <v>104</v>
      </c>
      <c r="F439" s="589" t="s">
        <v>112</v>
      </c>
      <c r="G439" s="589" t="s">
        <v>51</v>
      </c>
      <c r="H439" s="589" t="s">
        <v>242</v>
      </c>
      <c r="I439" s="589" t="s">
        <v>1205</v>
      </c>
      <c r="J439" s="589" t="s">
        <v>35</v>
      </c>
      <c r="K439" s="591">
        <v>9425.0830000000005</v>
      </c>
      <c r="L439" s="592">
        <f>IF(J439="TND",1,IF(J439="EUR",Vertical_Cash_flow!$C$16,IF(J439="USD",Vertical_Cash_flow!$F$16,0)))</f>
        <v>1</v>
      </c>
      <c r="M439" s="593">
        <f t="shared" si="28"/>
        <v>9425.0830000000005</v>
      </c>
      <c r="N439" s="589" t="s">
        <v>251</v>
      </c>
      <c r="O439" s="594">
        <v>45338</v>
      </c>
      <c r="P439" s="593">
        <f t="shared" si="29"/>
        <v>-115</v>
      </c>
      <c r="Q439" s="594">
        <v>45453</v>
      </c>
      <c r="R439" s="593">
        <f t="shared" ca="1" si="30"/>
        <v>-12</v>
      </c>
      <c r="S439" s="589" t="str">
        <f>VLOOKUP(Q439,Mapping!L:M,2,0)</f>
        <v>W24_2024</v>
      </c>
      <c r="T439" s="589" t="str">
        <f t="shared" ca="1" si="31"/>
        <v>Not Due</v>
      </c>
      <c r="W439" s="591"/>
    </row>
    <row r="440" spans="1:23" s="589" customFormat="1" x14ac:dyDescent="0.2">
      <c r="A440" s="589" t="s">
        <v>56</v>
      </c>
      <c r="B440" s="589" t="s">
        <v>294</v>
      </c>
      <c r="C440" s="590" t="s">
        <v>1297</v>
      </c>
      <c r="D440" s="589" t="s">
        <v>100</v>
      </c>
      <c r="E440" s="589" t="s">
        <v>104</v>
      </c>
      <c r="F440" s="589" t="s">
        <v>112</v>
      </c>
      <c r="G440" s="589" t="s">
        <v>51</v>
      </c>
      <c r="H440" s="589" t="s">
        <v>242</v>
      </c>
      <c r="I440" s="589" t="s">
        <v>1404</v>
      </c>
      <c r="J440" s="589" t="s">
        <v>35</v>
      </c>
      <c r="K440" s="591">
        <v>1500</v>
      </c>
      <c r="L440" s="592">
        <f>IF(J440="TND",1,IF(J440="EUR",Vertical_Cash_flow!$C$16,IF(J440="USD",Vertical_Cash_flow!$F$16,0)))</f>
        <v>1</v>
      </c>
      <c r="M440" s="593">
        <f t="shared" si="28"/>
        <v>1500</v>
      </c>
      <c r="N440" s="589" t="s">
        <v>251</v>
      </c>
      <c r="O440" s="594">
        <v>45338</v>
      </c>
      <c r="P440" s="593">
        <f t="shared" si="29"/>
        <v>-115</v>
      </c>
      <c r="Q440" s="594">
        <v>45453</v>
      </c>
      <c r="R440" s="593">
        <f t="shared" ca="1" si="30"/>
        <v>-12</v>
      </c>
      <c r="S440" s="589" t="str">
        <f>VLOOKUP(Q440,Mapping!L:M,2,0)</f>
        <v>W24_2024</v>
      </c>
      <c r="T440" s="589" t="str">
        <f t="shared" ca="1" si="31"/>
        <v>Not Due</v>
      </c>
      <c r="W440" s="591"/>
    </row>
    <row r="441" spans="1:23" s="589" customFormat="1" x14ac:dyDescent="0.2">
      <c r="A441" s="589" t="s">
        <v>56</v>
      </c>
      <c r="B441" s="589" t="s">
        <v>753</v>
      </c>
      <c r="C441" s="590" t="s">
        <v>1756</v>
      </c>
      <c r="D441" s="589" t="s">
        <v>100</v>
      </c>
      <c r="E441" s="589" t="s">
        <v>104</v>
      </c>
      <c r="F441" s="589" t="s">
        <v>112</v>
      </c>
      <c r="G441" s="589" t="s">
        <v>51</v>
      </c>
      <c r="H441" s="589" t="s">
        <v>242</v>
      </c>
      <c r="I441" s="589" t="s">
        <v>2136</v>
      </c>
      <c r="J441" s="589" t="s">
        <v>35</v>
      </c>
      <c r="K441" s="591">
        <v>11055.401</v>
      </c>
      <c r="L441" s="592">
        <f>IF(J441="TND",1,IF(J441="EUR",Vertical_Cash_flow!$C$16,IF(J441="USD",Vertical_Cash_flow!$F$16,0)))</f>
        <v>1</v>
      </c>
      <c r="M441" s="593">
        <f t="shared" si="28"/>
        <v>11055.401</v>
      </c>
      <c r="N441" s="589" t="s">
        <v>251</v>
      </c>
      <c r="O441" s="594">
        <v>45380</v>
      </c>
      <c r="P441" s="593">
        <f t="shared" si="29"/>
        <v>-73</v>
      </c>
      <c r="Q441" s="594">
        <v>45453</v>
      </c>
      <c r="R441" s="593">
        <f t="shared" ca="1" si="30"/>
        <v>-12</v>
      </c>
      <c r="S441" s="589" t="str">
        <f>VLOOKUP(Q441,Mapping!L:M,2,0)</f>
        <v>W24_2024</v>
      </c>
      <c r="T441" s="589" t="str">
        <f t="shared" ca="1" si="31"/>
        <v>Not Due</v>
      </c>
      <c r="W441" s="591"/>
    </row>
    <row r="442" spans="1:23" s="589" customFormat="1" x14ac:dyDescent="0.2">
      <c r="A442" s="589" t="s">
        <v>56</v>
      </c>
      <c r="B442" s="589" t="s">
        <v>516</v>
      </c>
      <c r="C442" s="590" t="s">
        <v>1755</v>
      </c>
      <c r="D442" s="589" t="s">
        <v>100</v>
      </c>
      <c r="E442" s="589" t="s">
        <v>104</v>
      </c>
      <c r="F442" s="589" t="s">
        <v>112</v>
      </c>
      <c r="G442" s="589" t="s">
        <v>51</v>
      </c>
      <c r="H442" s="589" t="s">
        <v>242</v>
      </c>
      <c r="I442" s="589" t="s">
        <v>2135</v>
      </c>
      <c r="J442" s="589" t="s">
        <v>35</v>
      </c>
      <c r="K442" s="591">
        <v>513.67100000000005</v>
      </c>
      <c r="L442" s="592">
        <f>IF(J442="TND",1,IF(J442="EUR",Vertical_Cash_flow!$C$16,IF(J442="USD",Vertical_Cash_flow!$F$16,0)))</f>
        <v>1</v>
      </c>
      <c r="M442" s="593">
        <f t="shared" si="28"/>
        <v>513.67100000000005</v>
      </c>
      <c r="N442" s="589" t="s">
        <v>251</v>
      </c>
      <c r="O442" s="594">
        <v>45380</v>
      </c>
      <c r="P442" s="593">
        <f t="shared" si="29"/>
        <v>-73</v>
      </c>
      <c r="Q442" s="594">
        <v>45453</v>
      </c>
      <c r="R442" s="593">
        <f t="shared" ca="1" si="30"/>
        <v>-12</v>
      </c>
      <c r="S442" s="589" t="str">
        <f>VLOOKUP(Q442,Mapping!L:M,2,0)</f>
        <v>W24_2024</v>
      </c>
      <c r="T442" s="589" t="str">
        <f t="shared" ca="1" si="31"/>
        <v>Not Due</v>
      </c>
      <c r="W442" s="591"/>
    </row>
    <row r="443" spans="1:23" s="589" customFormat="1" x14ac:dyDescent="0.2">
      <c r="A443" s="589" t="s">
        <v>56</v>
      </c>
      <c r="B443" s="589" t="s">
        <v>275</v>
      </c>
      <c r="C443" s="590" t="s">
        <v>3560</v>
      </c>
      <c r="D443" s="589" t="s">
        <v>100</v>
      </c>
      <c r="E443" s="589" t="s">
        <v>104</v>
      </c>
      <c r="F443" s="589" t="s">
        <v>112</v>
      </c>
      <c r="G443" s="589" t="s">
        <v>51</v>
      </c>
      <c r="H443" s="589" t="s">
        <v>242</v>
      </c>
      <c r="I443" s="589" t="s">
        <v>3706</v>
      </c>
      <c r="J443" s="589" t="s">
        <v>35</v>
      </c>
      <c r="K443" s="591">
        <v>297.75599999999997</v>
      </c>
      <c r="L443" s="592">
        <f>IF(J443="TND",1,IF(J443="EUR",Vertical_Cash_flow!$C$16,IF(J443="USD",Vertical_Cash_flow!$F$16,0)))</f>
        <v>1</v>
      </c>
      <c r="M443" s="593">
        <f t="shared" si="28"/>
        <v>297.75599999999997</v>
      </c>
      <c r="N443" s="589" t="s">
        <v>251</v>
      </c>
      <c r="O443" s="594">
        <v>45422</v>
      </c>
      <c r="P443" s="593">
        <f t="shared" si="29"/>
        <v>-31</v>
      </c>
      <c r="Q443" s="594">
        <v>45453</v>
      </c>
      <c r="R443" s="593">
        <f t="shared" ca="1" si="30"/>
        <v>-12</v>
      </c>
      <c r="S443" s="589" t="str">
        <f>VLOOKUP(Q443,Mapping!L:M,2,0)</f>
        <v>W24_2024</v>
      </c>
      <c r="T443" s="589" t="str">
        <f t="shared" ca="1" si="31"/>
        <v>Not Due</v>
      </c>
      <c r="W443" s="591"/>
    </row>
    <row r="444" spans="1:23" s="589" customFormat="1" x14ac:dyDescent="0.2">
      <c r="A444" s="589" t="s">
        <v>56</v>
      </c>
      <c r="B444" s="589" t="s">
        <v>274</v>
      </c>
      <c r="C444" s="590" t="s">
        <v>1075</v>
      </c>
      <c r="D444" s="589" t="s">
        <v>100</v>
      </c>
      <c r="E444" s="589" t="s">
        <v>104</v>
      </c>
      <c r="F444" s="589" t="s">
        <v>112</v>
      </c>
      <c r="G444" s="589" t="s">
        <v>51</v>
      </c>
      <c r="H444" s="589" t="s">
        <v>242</v>
      </c>
      <c r="I444" s="589" t="s">
        <v>1150</v>
      </c>
      <c r="J444" s="589" t="s">
        <v>35</v>
      </c>
      <c r="K444" s="591">
        <v>815</v>
      </c>
      <c r="L444" s="592">
        <f>IF(J444="TND",1,IF(J444="EUR",Vertical_Cash_flow!$C$16,IF(J444="USD",Vertical_Cash_flow!$F$16,0)))</f>
        <v>1</v>
      </c>
      <c r="M444" s="593">
        <f t="shared" si="28"/>
        <v>815</v>
      </c>
      <c r="N444" s="589" t="s">
        <v>251</v>
      </c>
      <c r="O444" s="594">
        <v>45316</v>
      </c>
      <c r="P444" s="593">
        <f t="shared" si="29"/>
        <v>-137</v>
      </c>
      <c r="Q444" s="594">
        <v>45453</v>
      </c>
      <c r="R444" s="593">
        <f t="shared" ca="1" si="30"/>
        <v>-12</v>
      </c>
      <c r="S444" s="589" t="str">
        <f>VLOOKUP(Q444,Mapping!L:M,2,0)</f>
        <v>W24_2024</v>
      </c>
      <c r="T444" s="589" t="str">
        <f t="shared" ca="1" si="31"/>
        <v>Not Due</v>
      </c>
      <c r="W444" s="591"/>
    </row>
    <row r="445" spans="1:23" s="589" customFormat="1" x14ac:dyDescent="0.2">
      <c r="A445" s="589" t="s">
        <v>56</v>
      </c>
      <c r="B445" s="589" t="s">
        <v>360</v>
      </c>
      <c r="C445" s="590" t="s">
        <v>1754</v>
      </c>
      <c r="D445" s="589" t="s">
        <v>100</v>
      </c>
      <c r="E445" s="589" t="s">
        <v>104</v>
      </c>
      <c r="F445" s="589" t="s">
        <v>112</v>
      </c>
      <c r="G445" s="589" t="s">
        <v>51</v>
      </c>
      <c r="H445" s="589" t="s">
        <v>242</v>
      </c>
      <c r="I445" s="589" t="s">
        <v>2134</v>
      </c>
      <c r="J445" s="589" t="s">
        <v>35</v>
      </c>
      <c r="K445" s="591">
        <v>2353.674</v>
      </c>
      <c r="L445" s="592">
        <f>IF(J445="TND",1,IF(J445="EUR",Vertical_Cash_flow!$C$16,IF(J445="USD",Vertical_Cash_flow!$F$16,0)))</f>
        <v>1</v>
      </c>
      <c r="M445" s="593">
        <f t="shared" si="28"/>
        <v>2353.674</v>
      </c>
      <c r="N445" s="589" t="s">
        <v>251</v>
      </c>
      <c r="O445" s="594">
        <v>45349</v>
      </c>
      <c r="P445" s="593">
        <f t="shared" si="29"/>
        <v>-104</v>
      </c>
      <c r="Q445" s="594">
        <v>45453</v>
      </c>
      <c r="R445" s="593">
        <f t="shared" ca="1" si="30"/>
        <v>-12</v>
      </c>
      <c r="S445" s="589" t="str">
        <f>VLOOKUP(Q445,Mapping!L:M,2,0)</f>
        <v>W24_2024</v>
      </c>
      <c r="T445" s="589" t="str">
        <f t="shared" ca="1" si="31"/>
        <v>Not Due</v>
      </c>
      <c r="W445" s="591"/>
    </row>
    <row r="446" spans="1:23" s="589" customFormat="1" x14ac:dyDescent="0.2">
      <c r="A446" s="589" t="s">
        <v>56</v>
      </c>
      <c r="B446" s="589" t="s">
        <v>634</v>
      </c>
      <c r="C446" s="590" t="s">
        <v>1749</v>
      </c>
      <c r="D446" s="589" t="s">
        <v>100</v>
      </c>
      <c r="E446" s="589" t="s">
        <v>104</v>
      </c>
      <c r="F446" s="589" t="s">
        <v>112</v>
      </c>
      <c r="G446" s="589" t="s">
        <v>51</v>
      </c>
      <c r="H446" s="589" t="s">
        <v>242</v>
      </c>
      <c r="I446" s="589" t="s">
        <v>2041</v>
      </c>
      <c r="J446" s="589" t="s">
        <v>35</v>
      </c>
      <c r="K446" s="591">
        <v>1000</v>
      </c>
      <c r="L446" s="592">
        <f>IF(J446="TND",1,IF(J446="EUR",Vertical_Cash_flow!$C$16,IF(J446="USD",Vertical_Cash_flow!$F$16,0)))</f>
        <v>1</v>
      </c>
      <c r="M446" s="593">
        <f t="shared" si="28"/>
        <v>1000</v>
      </c>
      <c r="N446" s="589" t="s">
        <v>251</v>
      </c>
      <c r="O446" s="594">
        <v>45379</v>
      </c>
      <c r="P446" s="593">
        <f t="shared" si="29"/>
        <v>-74</v>
      </c>
      <c r="Q446" s="594">
        <v>45453</v>
      </c>
      <c r="R446" s="593">
        <f t="shared" ca="1" si="30"/>
        <v>-12</v>
      </c>
      <c r="S446" s="589" t="str">
        <f>VLOOKUP(Q446,Mapping!L:M,2,0)</f>
        <v>W24_2024</v>
      </c>
      <c r="T446" s="589" t="str">
        <f t="shared" ca="1" si="31"/>
        <v>Not Due</v>
      </c>
      <c r="W446" s="591"/>
    </row>
    <row r="447" spans="1:23" s="589" customFormat="1" x14ac:dyDescent="0.2">
      <c r="A447" s="589" t="s">
        <v>56</v>
      </c>
      <c r="B447" s="589" t="s">
        <v>361</v>
      </c>
      <c r="C447" s="590" t="s">
        <v>1298</v>
      </c>
      <c r="D447" s="589" t="s">
        <v>100</v>
      </c>
      <c r="E447" s="589" t="s">
        <v>104</v>
      </c>
      <c r="F447" s="589" t="s">
        <v>112</v>
      </c>
      <c r="G447" s="589" t="s">
        <v>51</v>
      </c>
      <c r="H447" s="589" t="s">
        <v>242</v>
      </c>
      <c r="I447" s="589" t="s">
        <v>1405</v>
      </c>
      <c r="J447" s="589" t="s">
        <v>35</v>
      </c>
      <c r="K447" s="591">
        <v>2424.7199999999998</v>
      </c>
      <c r="L447" s="592">
        <f>IF(J447="TND",1,IF(J447="EUR",Vertical_Cash_flow!$C$16,IF(J447="USD",Vertical_Cash_flow!$F$16,0)))</f>
        <v>1</v>
      </c>
      <c r="M447" s="593">
        <f t="shared" si="28"/>
        <v>2424.7199999999998</v>
      </c>
      <c r="N447" s="589" t="s">
        <v>251</v>
      </c>
      <c r="O447" s="594">
        <v>45334</v>
      </c>
      <c r="P447" s="593">
        <f t="shared" si="29"/>
        <v>-119</v>
      </c>
      <c r="Q447" s="594">
        <v>45453</v>
      </c>
      <c r="R447" s="593">
        <f t="shared" ca="1" si="30"/>
        <v>-12</v>
      </c>
      <c r="S447" s="589" t="str">
        <f>VLOOKUP(Q447,Mapping!L:M,2,0)</f>
        <v>W24_2024</v>
      </c>
      <c r="T447" s="589" t="str">
        <f t="shared" ca="1" si="31"/>
        <v>Not Due</v>
      </c>
      <c r="W447" s="591"/>
    </row>
    <row r="448" spans="1:23" s="589" customFormat="1" x14ac:dyDescent="0.2">
      <c r="A448" s="589" t="s">
        <v>56</v>
      </c>
      <c r="B448" s="589" t="s">
        <v>351</v>
      </c>
      <c r="C448" s="590" t="s">
        <v>2577</v>
      </c>
      <c r="D448" s="589" t="s">
        <v>100</v>
      </c>
      <c r="E448" s="589" t="s">
        <v>104</v>
      </c>
      <c r="F448" s="589" t="s">
        <v>112</v>
      </c>
      <c r="G448" s="589" t="s">
        <v>51</v>
      </c>
      <c r="H448" s="589" t="s">
        <v>242</v>
      </c>
      <c r="I448" s="589" t="s">
        <v>2891</v>
      </c>
      <c r="J448" s="589" t="s">
        <v>35</v>
      </c>
      <c r="K448" s="591">
        <v>2000</v>
      </c>
      <c r="L448" s="592">
        <f>IF(J448="TND",1,IF(J448="EUR",Vertical_Cash_flow!$C$16,IF(J448="USD",Vertical_Cash_flow!$F$16,0)))</f>
        <v>1</v>
      </c>
      <c r="M448" s="593">
        <f t="shared" si="28"/>
        <v>2000</v>
      </c>
      <c r="N448" s="589" t="s">
        <v>251</v>
      </c>
      <c r="O448" s="594">
        <v>45401</v>
      </c>
      <c r="P448" s="593">
        <f t="shared" si="29"/>
        <v>-52</v>
      </c>
      <c r="Q448" s="594">
        <v>45453</v>
      </c>
      <c r="R448" s="593">
        <f t="shared" ca="1" si="30"/>
        <v>-12</v>
      </c>
      <c r="S448" s="589" t="str">
        <f>VLOOKUP(Q448,Mapping!L:M,2,0)</f>
        <v>W24_2024</v>
      </c>
      <c r="T448" s="589" t="str">
        <f t="shared" ca="1" si="31"/>
        <v>Not Due</v>
      </c>
      <c r="W448" s="591"/>
    </row>
    <row r="449" spans="1:23" s="589" customFormat="1" x14ac:dyDescent="0.2">
      <c r="A449" s="589" t="s">
        <v>56</v>
      </c>
      <c r="B449" s="589" t="s">
        <v>399</v>
      </c>
      <c r="C449" s="590" t="s">
        <v>1747</v>
      </c>
      <c r="D449" s="589" t="s">
        <v>100</v>
      </c>
      <c r="E449" s="589" t="s">
        <v>104</v>
      </c>
      <c r="F449" s="589" t="s">
        <v>112</v>
      </c>
      <c r="G449" s="589" t="s">
        <v>51</v>
      </c>
      <c r="H449" s="589" t="s">
        <v>242</v>
      </c>
      <c r="I449" s="589" t="s">
        <v>2129</v>
      </c>
      <c r="J449" s="589" t="s">
        <v>35</v>
      </c>
      <c r="K449" s="591">
        <v>7750</v>
      </c>
      <c r="L449" s="592">
        <f>IF(J449="TND",1,IF(J449="EUR",Vertical_Cash_flow!$C$16,IF(J449="USD",Vertical_Cash_flow!$F$16,0)))</f>
        <v>1</v>
      </c>
      <c r="M449" s="593">
        <f t="shared" si="28"/>
        <v>7750</v>
      </c>
      <c r="N449" s="589" t="s">
        <v>251</v>
      </c>
      <c r="O449" s="594">
        <v>45370</v>
      </c>
      <c r="P449" s="593">
        <f t="shared" si="29"/>
        <v>-83</v>
      </c>
      <c r="Q449" s="594">
        <v>45453</v>
      </c>
      <c r="R449" s="593">
        <f t="shared" ca="1" si="30"/>
        <v>-12</v>
      </c>
      <c r="S449" s="589" t="str">
        <f>VLOOKUP(Q449,Mapping!L:M,2,0)</f>
        <v>W24_2024</v>
      </c>
      <c r="T449" s="589" t="str">
        <f t="shared" ca="1" si="31"/>
        <v>Not Due</v>
      </c>
      <c r="W449" s="591"/>
    </row>
    <row r="450" spans="1:23" s="589" customFormat="1" x14ac:dyDescent="0.2">
      <c r="A450" s="589" t="s">
        <v>56</v>
      </c>
      <c r="B450" s="589" t="s">
        <v>405</v>
      </c>
      <c r="C450" s="590" t="s">
        <v>2578</v>
      </c>
      <c r="D450" s="589" t="s">
        <v>100</v>
      </c>
      <c r="E450" s="589" t="s">
        <v>104</v>
      </c>
      <c r="F450" s="589" t="s">
        <v>112</v>
      </c>
      <c r="G450" s="589" t="s">
        <v>51</v>
      </c>
      <c r="H450" s="589" t="s">
        <v>242</v>
      </c>
      <c r="I450" s="589" t="s">
        <v>2892</v>
      </c>
      <c r="J450" s="589" t="s">
        <v>35</v>
      </c>
      <c r="K450" s="591">
        <v>839.726</v>
      </c>
      <c r="L450" s="592">
        <f>IF(J450="TND",1,IF(J450="EUR",Vertical_Cash_flow!$C$16,IF(J450="USD",Vertical_Cash_flow!$F$16,0)))</f>
        <v>1</v>
      </c>
      <c r="M450" s="593">
        <f t="shared" si="28"/>
        <v>839.726</v>
      </c>
      <c r="N450" s="589" t="s">
        <v>251</v>
      </c>
      <c r="O450" s="594">
        <v>45397</v>
      </c>
      <c r="P450" s="593">
        <f t="shared" si="29"/>
        <v>-56</v>
      </c>
      <c r="Q450" s="594">
        <v>45453</v>
      </c>
      <c r="R450" s="593">
        <f t="shared" ca="1" si="30"/>
        <v>-12</v>
      </c>
      <c r="S450" s="589" t="str">
        <f>VLOOKUP(Q450,Mapping!L:M,2,0)</f>
        <v>W24_2024</v>
      </c>
      <c r="T450" s="589" t="str">
        <f t="shared" ca="1" si="31"/>
        <v>Not Due</v>
      </c>
      <c r="W450" s="591"/>
    </row>
    <row r="451" spans="1:23" s="589" customFormat="1" x14ac:dyDescent="0.2">
      <c r="A451" s="589" t="s">
        <v>56</v>
      </c>
      <c r="B451" s="589" t="s">
        <v>521</v>
      </c>
      <c r="C451" s="590" t="s">
        <v>1745</v>
      </c>
      <c r="D451" s="589" t="s">
        <v>100</v>
      </c>
      <c r="E451" s="589" t="s">
        <v>104</v>
      </c>
      <c r="F451" s="589" t="s">
        <v>112</v>
      </c>
      <c r="G451" s="589" t="s">
        <v>51</v>
      </c>
      <c r="H451" s="589" t="s">
        <v>242</v>
      </c>
      <c r="I451" s="589" t="s">
        <v>2127</v>
      </c>
      <c r="J451" s="589" t="s">
        <v>35</v>
      </c>
      <c r="K451" s="591">
        <v>953.44600000000003</v>
      </c>
      <c r="L451" s="592">
        <f>IF(J451="TND",1,IF(J451="EUR",Vertical_Cash_flow!$C$16,IF(J451="USD",Vertical_Cash_flow!$F$16,0)))</f>
        <v>1</v>
      </c>
      <c r="M451" s="593">
        <f t="shared" si="28"/>
        <v>953.44600000000003</v>
      </c>
      <c r="N451" s="589" t="s">
        <v>251</v>
      </c>
      <c r="O451" s="594">
        <v>45379</v>
      </c>
      <c r="P451" s="593">
        <f t="shared" si="29"/>
        <v>-74</v>
      </c>
      <c r="Q451" s="594">
        <v>45453</v>
      </c>
      <c r="R451" s="593">
        <f t="shared" ca="1" si="30"/>
        <v>-12</v>
      </c>
      <c r="S451" s="589" t="str">
        <f>VLOOKUP(Q451,Mapping!L:M,2,0)</f>
        <v>W24_2024</v>
      </c>
      <c r="T451" s="589" t="str">
        <f t="shared" ca="1" si="31"/>
        <v>Not Due</v>
      </c>
      <c r="W451" s="591"/>
    </row>
    <row r="452" spans="1:23" s="589" customFormat="1" x14ac:dyDescent="0.2">
      <c r="A452" s="589" t="s">
        <v>56</v>
      </c>
      <c r="B452" s="589" t="s">
        <v>520</v>
      </c>
      <c r="C452" s="590" t="s">
        <v>1748</v>
      </c>
      <c r="D452" s="589" t="s">
        <v>100</v>
      </c>
      <c r="E452" s="589" t="s">
        <v>104</v>
      </c>
      <c r="F452" s="589" t="s">
        <v>112</v>
      </c>
      <c r="G452" s="589" t="s">
        <v>51</v>
      </c>
      <c r="H452" s="589" t="s">
        <v>242</v>
      </c>
      <c r="I452" s="589" t="s">
        <v>2130</v>
      </c>
      <c r="J452" s="589" t="s">
        <v>35</v>
      </c>
      <c r="K452" s="591">
        <v>3055.9110000000001</v>
      </c>
      <c r="L452" s="592">
        <f>IF(J452="TND",1,IF(J452="EUR",Vertical_Cash_flow!$C$16,IF(J452="USD",Vertical_Cash_flow!$F$16,0)))</f>
        <v>1</v>
      </c>
      <c r="M452" s="593">
        <f t="shared" si="28"/>
        <v>3055.9110000000001</v>
      </c>
      <c r="N452" s="589" t="s">
        <v>251</v>
      </c>
      <c r="O452" s="594">
        <v>45349</v>
      </c>
      <c r="P452" s="593">
        <f t="shared" si="29"/>
        <v>-104</v>
      </c>
      <c r="Q452" s="594">
        <v>45453</v>
      </c>
      <c r="R452" s="593">
        <f t="shared" ca="1" si="30"/>
        <v>-12</v>
      </c>
      <c r="S452" s="589" t="str">
        <f>VLOOKUP(Q452,Mapping!L:M,2,0)</f>
        <v>W24_2024</v>
      </c>
      <c r="T452" s="589" t="str">
        <f t="shared" ca="1" si="31"/>
        <v>Not Due</v>
      </c>
      <c r="W452" s="591"/>
    </row>
    <row r="453" spans="1:23" s="589" customFormat="1" x14ac:dyDescent="0.2">
      <c r="A453" s="589" t="s">
        <v>56</v>
      </c>
      <c r="B453" s="589" t="s">
        <v>396</v>
      </c>
      <c r="C453" s="590" t="s">
        <v>1746</v>
      </c>
      <c r="D453" s="589" t="s">
        <v>100</v>
      </c>
      <c r="E453" s="589" t="s">
        <v>104</v>
      </c>
      <c r="F453" s="589" t="s">
        <v>112</v>
      </c>
      <c r="G453" s="589" t="s">
        <v>51</v>
      </c>
      <c r="H453" s="589" t="s">
        <v>242</v>
      </c>
      <c r="I453" s="589" t="s">
        <v>2128</v>
      </c>
      <c r="J453" s="589" t="s">
        <v>35</v>
      </c>
      <c r="K453" s="591">
        <v>790</v>
      </c>
      <c r="L453" s="592">
        <f>IF(J453="TND",1,IF(J453="EUR",Vertical_Cash_flow!$C$16,IF(J453="USD",Vertical_Cash_flow!$F$16,0)))</f>
        <v>1</v>
      </c>
      <c r="M453" s="593">
        <f t="shared" si="28"/>
        <v>790</v>
      </c>
      <c r="N453" s="589" t="s">
        <v>251</v>
      </c>
      <c r="O453" s="594">
        <v>45350</v>
      </c>
      <c r="P453" s="593">
        <f t="shared" si="29"/>
        <v>-103</v>
      </c>
      <c r="Q453" s="594">
        <v>45453</v>
      </c>
      <c r="R453" s="593">
        <f t="shared" ca="1" si="30"/>
        <v>-12</v>
      </c>
      <c r="S453" s="589" t="str">
        <f>VLOOKUP(Q453,Mapping!L:M,2,0)</f>
        <v>W24_2024</v>
      </c>
      <c r="T453" s="589" t="str">
        <f t="shared" ca="1" si="31"/>
        <v>Not Due</v>
      </c>
      <c r="W453" s="591"/>
    </row>
    <row r="454" spans="1:23" s="589" customFormat="1" x14ac:dyDescent="0.2">
      <c r="A454" s="589" t="s">
        <v>56</v>
      </c>
      <c r="B454" s="589" t="s">
        <v>288</v>
      </c>
      <c r="C454" s="590" t="s">
        <v>1074</v>
      </c>
      <c r="D454" s="589" t="s">
        <v>100</v>
      </c>
      <c r="E454" s="589" t="s">
        <v>104</v>
      </c>
      <c r="F454" s="589" t="s">
        <v>112</v>
      </c>
      <c r="G454" s="589" t="s">
        <v>51</v>
      </c>
      <c r="H454" s="589" t="s">
        <v>242</v>
      </c>
      <c r="I454" s="589" t="s">
        <v>1149</v>
      </c>
      <c r="J454" s="589" t="s">
        <v>35</v>
      </c>
      <c r="K454" s="591">
        <v>1280</v>
      </c>
      <c r="L454" s="592">
        <f>IF(J454="TND",1,IF(J454="EUR",Vertical_Cash_flow!$C$16,IF(J454="USD",Vertical_Cash_flow!$F$16,0)))</f>
        <v>1</v>
      </c>
      <c r="M454" s="593">
        <f t="shared" si="28"/>
        <v>1280</v>
      </c>
      <c r="N454" s="589" t="s">
        <v>251</v>
      </c>
      <c r="O454" s="594">
        <v>45322</v>
      </c>
      <c r="P454" s="593">
        <f t="shared" si="29"/>
        <v>-131</v>
      </c>
      <c r="Q454" s="594">
        <v>45453</v>
      </c>
      <c r="R454" s="593">
        <f t="shared" ca="1" si="30"/>
        <v>-12</v>
      </c>
      <c r="S454" s="589" t="str">
        <f>VLOOKUP(Q454,Mapping!L:M,2,0)</f>
        <v>W24_2024</v>
      </c>
      <c r="T454" s="589" t="str">
        <f t="shared" ca="1" si="31"/>
        <v>Not Due</v>
      </c>
      <c r="W454" s="591"/>
    </row>
    <row r="455" spans="1:23" s="589" customFormat="1" x14ac:dyDescent="0.2">
      <c r="A455" s="589" t="s">
        <v>56</v>
      </c>
      <c r="B455" s="589" t="s">
        <v>509</v>
      </c>
      <c r="C455" s="590" t="s">
        <v>1295</v>
      </c>
      <c r="D455" s="589" t="s">
        <v>100</v>
      </c>
      <c r="E455" s="589" t="s">
        <v>104</v>
      </c>
      <c r="F455" s="589" t="s">
        <v>112</v>
      </c>
      <c r="G455" s="589" t="s">
        <v>51</v>
      </c>
      <c r="H455" s="589" t="s">
        <v>242</v>
      </c>
      <c r="I455" s="589" t="s">
        <v>1007</v>
      </c>
      <c r="J455" s="589" t="s">
        <v>35</v>
      </c>
      <c r="K455" s="591">
        <v>6838.3050000000003</v>
      </c>
      <c r="L455" s="592">
        <f>IF(J455="TND",1,IF(J455="EUR",Vertical_Cash_flow!$C$16,IF(J455="USD",Vertical_Cash_flow!$F$16,0)))</f>
        <v>1</v>
      </c>
      <c r="M455" s="593">
        <f t="shared" si="28"/>
        <v>6838.3050000000003</v>
      </c>
      <c r="N455" s="589" t="s">
        <v>251</v>
      </c>
      <c r="O455" s="594">
        <v>45343</v>
      </c>
      <c r="P455" s="593">
        <f t="shared" si="29"/>
        <v>-110</v>
      </c>
      <c r="Q455" s="594">
        <v>45453</v>
      </c>
      <c r="R455" s="593">
        <f t="shared" ca="1" si="30"/>
        <v>-12</v>
      </c>
      <c r="S455" s="589" t="str">
        <f>VLOOKUP(Q455,Mapping!L:M,2,0)</f>
        <v>W24_2024</v>
      </c>
      <c r="T455" s="589" t="str">
        <f t="shared" ca="1" si="31"/>
        <v>Not Due</v>
      </c>
      <c r="W455" s="591"/>
    </row>
    <row r="456" spans="1:23" s="589" customFormat="1" x14ac:dyDescent="0.2">
      <c r="A456" s="589" t="s">
        <v>56</v>
      </c>
      <c r="B456" s="589" t="s">
        <v>279</v>
      </c>
      <c r="C456" s="590" t="s">
        <v>1073</v>
      </c>
      <c r="D456" s="589" t="s">
        <v>100</v>
      </c>
      <c r="E456" s="589" t="s">
        <v>104</v>
      </c>
      <c r="F456" s="589" t="s">
        <v>112</v>
      </c>
      <c r="G456" s="589" t="s">
        <v>51</v>
      </c>
      <c r="H456" s="589" t="s">
        <v>242</v>
      </c>
      <c r="I456" s="589" t="s">
        <v>1148</v>
      </c>
      <c r="J456" s="589" t="s">
        <v>35</v>
      </c>
      <c r="K456" s="591">
        <v>3703.4279999999999</v>
      </c>
      <c r="L456" s="592">
        <f>IF(J456="TND",1,IF(J456="EUR",Vertical_Cash_flow!$C$16,IF(J456="USD",Vertical_Cash_flow!$F$16,0)))</f>
        <v>1</v>
      </c>
      <c r="M456" s="593">
        <f t="shared" si="28"/>
        <v>3703.4279999999999</v>
      </c>
      <c r="N456" s="589" t="s">
        <v>251</v>
      </c>
      <c r="O456" s="594">
        <v>45324</v>
      </c>
      <c r="P456" s="593">
        <f t="shared" si="29"/>
        <v>-129</v>
      </c>
      <c r="Q456" s="594">
        <v>45453</v>
      </c>
      <c r="R456" s="593">
        <f t="shared" ca="1" si="30"/>
        <v>-12</v>
      </c>
      <c r="S456" s="589" t="str">
        <f>VLOOKUP(Q456,Mapping!L:M,2,0)</f>
        <v>W24_2024</v>
      </c>
      <c r="T456" s="589" t="str">
        <f t="shared" ca="1" si="31"/>
        <v>Not Due</v>
      </c>
      <c r="W456" s="591"/>
    </row>
    <row r="457" spans="1:23" s="589" customFormat="1" x14ac:dyDescent="0.2">
      <c r="A457" s="589" t="s">
        <v>56</v>
      </c>
      <c r="B457" s="589" t="s">
        <v>528</v>
      </c>
      <c r="C457" s="590" t="s">
        <v>1743</v>
      </c>
      <c r="D457" s="589" t="s">
        <v>100</v>
      </c>
      <c r="E457" s="589" t="s">
        <v>104</v>
      </c>
      <c r="F457" s="589" t="s">
        <v>112</v>
      </c>
      <c r="G457" s="589" t="s">
        <v>51</v>
      </c>
      <c r="H457" s="589" t="s">
        <v>242</v>
      </c>
      <c r="I457" s="589" t="s">
        <v>2125</v>
      </c>
      <c r="J457" s="589" t="s">
        <v>35</v>
      </c>
      <c r="K457" s="591">
        <v>3274.7420000000002</v>
      </c>
      <c r="L457" s="592">
        <f>IF(J457="TND",1,IF(J457="EUR",Vertical_Cash_flow!$C$16,IF(J457="USD",Vertical_Cash_flow!$F$16,0)))</f>
        <v>1</v>
      </c>
      <c r="M457" s="593">
        <f t="shared" si="28"/>
        <v>3274.7420000000002</v>
      </c>
      <c r="N457" s="589" t="s">
        <v>251</v>
      </c>
      <c r="O457" s="594">
        <v>45378</v>
      </c>
      <c r="P457" s="593">
        <f t="shared" si="29"/>
        <v>-75</v>
      </c>
      <c r="Q457" s="594">
        <v>45453</v>
      </c>
      <c r="R457" s="593">
        <f t="shared" ca="1" si="30"/>
        <v>-12</v>
      </c>
      <c r="S457" s="589" t="str">
        <f>VLOOKUP(Q457,Mapping!L:M,2,0)</f>
        <v>W24_2024</v>
      </c>
      <c r="T457" s="589" t="str">
        <f t="shared" ca="1" si="31"/>
        <v>Not Due</v>
      </c>
      <c r="W457" s="591"/>
    </row>
    <row r="458" spans="1:23" s="589" customFormat="1" x14ac:dyDescent="0.2">
      <c r="A458" s="589" t="s">
        <v>56</v>
      </c>
      <c r="B458" s="589" t="s">
        <v>387</v>
      </c>
      <c r="C458" s="590" t="s">
        <v>1296</v>
      </c>
      <c r="D458" s="589" t="s">
        <v>100</v>
      </c>
      <c r="E458" s="589" t="s">
        <v>104</v>
      </c>
      <c r="F458" s="589" t="s">
        <v>112</v>
      </c>
      <c r="G458" s="589" t="s">
        <v>51</v>
      </c>
      <c r="H458" s="589" t="s">
        <v>242</v>
      </c>
      <c r="I458" s="589" t="s">
        <v>1403</v>
      </c>
      <c r="J458" s="589" t="s">
        <v>35</v>
      </c>
      <c r="K458" s="591">
        <v>1125.702</v>
      </c>
      <c r="L458" s="592">
        <f>IF(J458="TND",1,IF(J458="EUR",Vertical_Cash_flow!$C$16,IF(J458="USD",Vertical_Cash_flow!$F$16,0)))</f>
        <v>1</v>
      </c>
      <c r="M458" s="593">
        <f t="shared" si="28"/>
        <v>1125.702</v>
      </c>
      <c r="N458" s="589" t="s">
        <v>251</v>
      </c>
      <c r="O458" s="594">
        <v>45328</v>
      </c>
      <c r="P458" s="593">
        <f t="shared" si="29"/>
        <v>-125</v>
      </c>
      <c r="Q458" s="594">
        <v>45453</v>
      </c>
      <c r="R458" s="593">
        <f t="shared" ca="1" si="30"/>
        <v>-12</v>
      </c>
      <c r="S458" s="589" t="str">
        <f>VLOOKUP(Q458,Mapping!L:M,2,0)</f>
        <v>W24_2024</v>
      </c>
      <c r="T458" s="589" t="str">
        <f t="shared" ca="1" si="31"/>
        <v>Not Due</v>
      </c>
      <c r="W458" s="591"/>
    </row>
    <row r="459" spans="1:23" s="589" customFormat="1" x14ac:dyDescent="0.2">
      <c r="A459" s="589" t="s">
        <v>56</v>
      </c>
      <c r="B459" s="589" t="s">
        <v>345</v>
      </c>
      <c r="C459" s="590" t="s">
        <v>1072</v>
      </c>
      <c r="D459" s="589" t="s">
        <v>100</v>
      </c>
      <c r="E459" s="589" t="s">
        <v>104</v>
      </c>
      <c r="F459" s="589" t="s">
        <v>112</v>
      </c>
      <c r="G459" s="589" t="s">
        <v>51</v>
      </c>
      <c r="H459" s="589" t="s">
        <v>242</v>
      </c>
      <c r="I459" s="589" t="s">
        <v>1147</v>
      </c>
      <c r="J459" s="589" t="s">
        <v>35</v>
      </c>
      <c r="K459" s="591">
        <v>7000</v>
      </c>
      <c r="L459" s="592">
        <f>IF(J459="TND",1,IF(J459="EUR",Vertical_Cash_flow!$C$16,IF(J459="USD",Vertical_Cash_flow!$F$16,0)))</f>
        <v>1</v>
      </c>
      <c r="M459" s="593">
        <f t="shared" si="28"/>
        <v>7000</v>
      </c>
      <c r="N459" s="589" t="s">
        <v>251</v>
      </c>
      <c r="O459" s="594">
        <v>45321</v>
      </c>
      <c r="P459" s="593">
        <f t="shared" si="29"/>
        <v>-132</v>
      </c>
      <c r="Q459" s="594">
        <v>45453</v>
      </c>
      <c r="R459" s="593">
        <f t="shared" ca="1" si="30"/>
        <v>-12</v>
      </c>
      <c r="S459" s="589" t="str">
        <f>VLOOKUP(Q459,Mapping!L:M,2,0)</f>
        <v>W24_2024</v>
      </c>
      <c r="T459" s="589" t="str">
        <f t="shared" ca="1" si="31"/>
        <v>Not Due</v>
      </c>
      <c r="W459" s="591"/>
    </row>
    <row r="460" spans="1:23" s="589" customFormat="1" x14ac:dyDescent="0.2">
      <c r="A460" s="589" t="s">
        <v>56</v>
      </c>
      <c r="B460" s="589" t="s">
        <v>893</v>
      </c>
      <c r="C460" s="590" t="s">
        <v>1744</v>
      </c>
      <c r="D460" s="589" t="s">
        <v>100</v>
      </c>
      <c r="E460" s="589" t="s">
        <v>104</v>
      </c>
      <c r="F460" s="589" t="s">
        <v>112</v>
      </c>
      <c r="G460" s="589" t="s">
        <v>51</v>
      </c>
      <c r="H460" s="589" t="s">
        <v>242</v>
      </c>
      <c r="I460" s="589" t="s">
        <v>2126</v>
      </c>
      <c r="J460" s="589" t="s">
        <v>35</v>
      </c>
      <c r="K460" s="591">
        <v>1200</v>
      </c>
      <c r="L460" s="592">
        <f>IF(J460="TND",1,IF(J460="EUR",Vertical_Cash_flow!$C$16,IF(J460="USD",Vertical_Cash_flow!$F$16,0)))</f>
        <v>1</v>
      </c>
      <c r="M460" s="593">
        <f t="shared" si="28"/>
        <v>1200</v>
      </c>
      <c r="N460" s="589" t="s">
        <v>251</v>
      </c>
      <c r="O460" s="594">
        <v>45373</v>
      </c>
      <c r="P460" s="593">
        <f t="shared" si="29"/>
        <v>-80</v>
      </c>
      <c r="Q460" s="594">
        <v>45453</v>
      </c>
      <c r="R460" s="593">
        <f t="shared" ca="1" si="30"/>
        <v>-12</v>
      </c>
      <c r="S460" s="589" t="str">
        <f>VLOOKUP(Q460,Mapping!L:M,2,0)</f>
        <v>W24_2024</v>
      </c>
      <c r="T460" s="589" t="str">
        <f t="shared" ca="1" si="31"/>
        <v>Not Due</v>
      </c>
      <c r="W460" s="591"/>
    </row>
    <row r="461" spans="1:23" s="589" customFormat="1" x14ac:dyDescent="0.2">
      <c r="A461" s="589" t="s">
        <v>56</v>
      </c>
      <c r="B461" s="589" t="s">
        <v>3011</v>
      </c>
      <c r="C461" s="590" t="s">
        <v>3196</v>
      </c>
      <c r="D461" s="589" t="s">
        <v>100</v>
      </c>
      <c r="E461" s="589" t="s">
        <v>104</v>
      </c>
      <c r="F461" s="589" t="s">
        <v>112</v>
      </c>
      <c r="G461" s="589" t="s">
        <v>51</v>
      </c>
      <c r="H461" s="589" t="s">
        <v>242</v>
      </c>
      <c r="I461" s="589" t="s">
        <v>3371</v>
      </c>
      <c r="J461" s="589" t="s">
        <v>35</v>
      </c>
      <c r="K461" s="591">
        <v>519.9</v>
      </c>
      <c r="L461" s="592">
        <f>IF(J461="TND",1,IF(J461="EUR",Vertical_Cash_flow!$C$16,IF(J461="USD",Vertical_Cash_flow!$F$16,0)))</f>
        <v>1</v>
      </c>
      <c r="M461" s="593">
        <f t="shared" si="28"/>
        <v>519.9</v>
      </c>
      <c r="N461" s="589" t="s">
        <v>251</v>
      </c>
      <c r="O461" s="594">
        <v>45418</v>
      </c>
      <c r="P461" s="593">
        <f t="shared" si="29"/>
        <v>-35</v>
      </c>
      <c r="Q461" s="594">
        <v>45453</v>
      </c>
      <c r="R461" s="593">
        <f t="shared" ca="1" si="30"/>
        <v>-12</v>
      </c>
      <c r="S461" s="589" t="str">
        <f>VLOOKUP(Q461,Mapping!L:M,2,0)</f>
        <v>W24_2024</v>
      </c>
      <c r="T461" s="589" t="str">
        <f t="shared" ca="1" si="31"/>
        <v>Not Due</v>
      </c>
      <c r="W461" s="591"/>
    </row>
    <row r="462" spans="1:23" s="589" customFormat="1" x14ac:dyDescent="0.2">
      <c r="A462" s="589" t="s">
        <v>56</v>
      </c>
      <c r="B462" s="589" t="s">
        <v>1496</v>
      </c>
      <c r="C462" s="590" t="s">
        <v>1741</v>
      </c>
      <c r="D462" s="589" t="s">
        <v>100</v>
      </c>
      <c r="E462" s="589" t="s">
        <v>104</v>
      </c>
      <c r="F462" s="589" t="s">
        <v>112</v>
      </c>
      <c r="G462" s="589" t="s">
        <v>51</v>
      </c>
      <c r="H462" s="589" t="s">
        <v>242</v>
      </c>
      <c r="I462" s="589" t="s">
        <v>2123</v>
      </c>
      <c r="J462" s="589" t="s">
        <v>35</v>
      </c>
      <c r="K462" s="591">
        <v>897.178</v>
      </c>
      <c r="L462" s="592">
        <f>IF(J462="TND",1,IF(J462="EUR",Vertical_Cash_flow!$C$16,IF(J462="USD",Vertical_Cash_flow!$F$16,0)))</f>
        <v>1</v>
      </c>
      <c r="M462" s="593">
        <f t="shared" si="28"/>
        <v>897.178</v>
      </c>
      <c r="N462" s="589" t="s">
        <v>251</v>
      </c>
      <c r="O462" s="594">
        <v>45379</v>
      </c>
      <c r="P462" s="593">
        <f t="shared" si="29"/>
        <v>-74</v>
      </c>
      <c r="Q462" s="594">
        <v>45453</v>
      </c>
      <c r="R462" s="593">
        <f t="shared" ca="1" si="30"/>
        <v>-12</v>
      </c>
      <c r="S462" s="589" t="str">
        <f>VLOOKUP(Q462,Mapping!L:M,2,0)</f>
        <v>W24_2024</v>
      </c>
      <c r="T462" s="589" t="str">
        <f t="shared" ca="1" si="31"/>
        <v>Not Due</v>
      </c>
      <c r="W462" s="591"/>
    </row>
    <row r="463" spans="1:23" s="589" customFormat="1" x14ac:dyDescent="0.2">
      <c r="A463" s="589" t="s">
        <v>56</v>
      </c>
      <c r="B463" s="589" t="s">
        <v>1243</v>
      </c>
      <c r="C463" s="590" t="s">
        <v>1740</v>
      </c>
      <c r="D463" s="589" t="s">
        <v>100</v>
      </c>
      <c r="E463" s="589" t="s">
        <v>104</v>
      </c>
      <c r="F463" s="589" t="s">
        <v>112</v>
      </c>
      <c r="G463" s="589" t="s">
        <v>51</v>
      </c>
      <c r="H463" s="589" t="s">
        <v>242</v>
      </c>
      <c r="I463" s="589" t="s">
        <v>2122</v>
      </c>
      <c r="J463" s="589" t="s">
        <v>35</v>
      </c>
      <c r="K463" s="591">
        <v>2780</v>
      </c>
      <c r="L463" s="592">
        <f>IF(J463="TND",1,IF(J463="EUR",Vertical_Cash_flow!$C$16,IF(J463="USD",Vertical_Cash_flow!$F$16,0)))</f>
        <v>1</v>
      </c>
      <c r="M463" s="593">
        <f t="shared" si="28"/>
        <v>2780</v>
      </c>
      <c r="N463" s="589" t="s">
        <v>251</v>
      </c>
      <c r="O463" s="594">
        <v>45372</v>
      </c>
      <c r="P463" s="593">
        <f t="shared" si="29"/>
        <v>-81</v>
      </c>
      <c r="Q463" s="594">
        <v>45453</v>
      </c>
      <c r="R463" s="593">
        <f t="shared" ca="1" si="30"/>
        <v>-12</v>
      </c>
      <c r="S463" s="589" t="str">
        <f>VLOOKUP(Q463,Mapping!L:M,2,0)</f>
        <v>W24_2024</v>
      </c>
      <c r="T463" s="589" t="str">
        <f t="shared" ca="1" si="31"/>
        <v>Not Due</v>
      </c>
      <c r="W463" s="591"/>
    </row>
    <row r="464" spans="1:23" s="589" customFormat="1" x14ac:dyDescent="0.2">
      <c r="A464" s="589" t="s">
        <v>56</v>
      </c>
      <c r="B464" s="589" t="s">
        <v>371</v>
      </c>
      <c r="C464" s="590" t="s">
        <v>1294</v>
      </c>
      <c r="D464" s="589" t="s">
        <v>100</v>
      </c>
      <c r="E464" s="589" t="s">
        <v>104</v>
      </c>
      <c r="F464" s="589" t="s">
        <v>112</v>
      </c>
      <c r="G464" s="589" t="s">
        <v>51</v>
      </c>
      <c r="H464" s="589" t="s">
        <v>242</v>
      </c>
      <c r="I464" s="589" t="s">
        <v>1402</v>
      </c>
      <c r="J464" s="589" t="s">
        <v>35</v>
      </c>
      <c r="K464" s="591">
        <v>563.67999999999995</v>
      </c>
      <c r="L464" s="592">
        <f>IF(J464="TND",1,IF(J464="EUR",Vertical_Cash_flow!$C$16,IF(J464="USD",Vertical_Cash_flow!$F$16,0)))</f>
        <v>1</v>
      </c>
      <c r="M464" s="593">
        <f t="shared" si="28"/>
        <v>563.67999999999995</v>
      </c>
      <c r="N464" s="589" t="s">
        <v>251</v>
      </c>
      <c r="O464" s="594">
        <v>45336</v>
      </c>
      <c r="P464" s="593">
        <f t="shared" si="29"/>
        <v>-117</v>
      </c>
      <c r="Q464" s="594">
        <v>45453</v>
      </c>
      <c r="R464" s="593">
        <f t="shared" ca="1" si="30"/>
        <v>-12</v>
      </c>
      <c r="S464" s="589" t="str">
        <f>VLOOKUP(Q464,Mapping!L:M,2,0)</f>
        <v>W24_2024</v>
      </c>
      <c r="T464" s="589" t="str">
        <f t="shared" ca="1" si="31"/>
        <v>Not Due</v>
      </c>
      <c r="W464" s="591"/>
    </row>
    <row r="465" spans="1:23" s="589" customFormat="1" x14ac:dyDescent="0.2">
      <c r="A465" s="589" t="s">
        <v>56</v>
      </c>
      <c r="B465" s="589" t="s">
        <v>635</v>
      </c>
      <c r="C465" s="590" t="s">
        <v>1738</v>
      </c>
      <c r="D465" s="589" t="s">
        <v>100</v>
      </c>
      <c r="E465" s="589" t="s">
        <v>104</v>
      </c>
      <c r="F465" s="589" t="s">
        <v>112</v>
      </c>
      <c r="G465" s="589" t="s">
        <v>51</v>
      </c>
      <c r="H465" s="589" t="s">
        <v>242</v>
      </c>
      <c r="I465" s="589" t="s">
        <v>2120</v>
      </c>
      <c r="J465" s="589" t="s">
        <v>35</v>
      </c>
      <c r="K465" s="591">
        <v>2346.2629999999999</v>
      </c>
      <c r="L465" s="592">
        <f>IF(J465="TND",1,IF(J465="EUR",Vertical_Cash_flow!$C$16,IF(J465="USD",Vertical_Cash_flow!$F$16,0)))</f>
        <v>1</v>
      </c>
      <c r="M465" s="593">
        <f t="shared" si="28"/>
        <v>2346.2629999999999</v>
      </c>
      <c r="N465" s="589" t="s">
        <v>251</v>
      </c>
      <c r="O465" s="594">
        <v>45364</v>
      </c>
      <c r="P465" s="593">
        <f t="shared" si="29"/>
        <v>-89</v>
      </c>
      <c r="Q465" s="594">
        <v>45453</v>
      </c>
      <c r="R465" s="593">
        <f t="shared" ca="1" si="30"/>
        <v>-12</v>
      </c>
      <c r="S465" s="589" t="str">
        <f>VLOOKUP(Q465,Mapping!L:M,2,0)</f>
        <v>W24_2024</v>
      </c>
      <c r="T465" s="589" t="str">
        <f t="shared" ca="1" si="31"/>
        <v>Not Due</v>
      </c>
      <c r="W465" s="591"/>
    </row>
    <row r="466" spans="1:23" s="589" customFormat="1" x14ac:dyDescent="0.2">
      <c r="A466" s="589" t="s">
        <v>56</v>
      </c>
      <c r="B466" s="589" t="s">
        <v>482</v>
      </c>
      <c r="C466" s="590" t="s">
        <v>1071</v>
      </c>
      <c r="D466" s="589" t="s">
        <v>100</v>
      </c>
      <c r="E466" s="589" t="s">
        <v>104</v>
      </c>
      <c r="F466" s="589" t="s">
        <v>112</v>
      </c>
      <c r="G466" s="589" t="s">
        <v>51</v>
      </c>
      <c r="H466" s="589" t="s">
        <v>242</v>
      </c>
      <c r="I466" s="589" t="s">
        <v>1146</v>
      </c>
      <c r="J466" s="589" t="s">
        <v>35</v>
      </c>
      <c r="K466" s="591">
        <v>1350</v>
      </c>
      <c r="L466" s="592">
        <f>IF(J466="TND",1,IF(J466="EUR",Vertical_Cash_flow!$C$16,IF(J466="USD",Vertical_Cash_flow!$F$16,0)))</f>
        <v>1</v>
      </c>
      <c r="M466" s="593">
        <f t="shared" si="28"/>
        <v>1350</v>
      </c>
      <c r="N466" s="589" t="s">
        <v>251</v>
      </c>
      <c r="O466" s="594">
        <v>45317</v>
      </c>
      <c r="P466" s="593">
        <f t="shared" si="29"/>
        <v>-136</v>
      </c>
      <c r="Q466" s="594">
        <v>45453</v>
      </c>
      <c r="R466" s="593">
        <f t="shared" ca="1" si="30"/>
        <v>-12</v>
      </c>
      <c r="S466" s="589" t="str">
        <f>VLOOKUP(Q466,Mapping!L:M,2,0)</f>
        <v>W24_2024</v>
      </c>
      <c r="T466" s="589" t="str">
        <f t="shared" ca="1" si="31"/>
        <v>Not Due</v>
      </c>
      <c r="W466" s="591"/>
    </row>
    <row r="467" spans="1:23" s="589" customFormat="1" x14ac:dyDescent="0.2">
      <c r="A467" s="589" t="s">
        <v>56</v>
      </c>
      <c r="B467" s="589" t="s">
        <v>482</v>
      </c>
      <c r="C467" s="590" t="s">
        <v>1739</v>
      </c>
      <c r="D467" s="589" t="s">
        <v>100</v>
      </c>
      <c r="E467" s="589" t="s">
        <v>104</v>
      </c>
      <c r="F467" s="589" t="s">
        <v>112</v>
      </c>
      <c r="G467" s="589" t="s">
        <v>51</v>
      </c>
      <c r="H467" s="589" t="s">
        <v>242</v>
      </c>
      <c r="I467" s="589" t="s">
        <v>2121</v>
      </c>
      <c r="J467" s="589" t="s">
        <v>35</v>
      </c>
      <c r="K467" s="591">
        <v>1250</v>
      </c>
      <c r="L467" s="592">
        <f>IF(J467="TND",1,IF(J467="EUR",Vertical_Cash_flow!$C$16,IF(J467="USD",Vertical_Cash_flow!$F$16,0)))</f>
        <v>1</v>
      </c>
      <c r="M467" s="593">
        <f t="shared" si="28"/>
        <v>1250</v>
      </c>
      <c r="N467" s="589" t="s">
        <v>251</v>
      </c>
      <c r="O467" s="594">
        <v>45350</v>
      </c>
      <c r="P467" s="593">
        <f t="shared" si="29"/>
        <v>-103</v>
      </c>
      <c r="Q467" s="594">
        <v>45453</v>
      </c>
      <c r="R467" s="593">
        <f t="shared" ca="1" si="30"/>
        <v>-12</v>
      </c>
      <c r="S467" s="589" t="str">
        <f>VLOOKUP(Q467,Mapping!L:M,2,0)</f>
        <v>W24_2024</v>
      </c>
      <c r="T467" s="589" t="str">
        <f t="shared" ca="1" si="31"/>
        <v>Not Due</v>
      </c>
      <c r="W467" s="591"/>
    </row>
    <row r="468" spans="1:23" s="589" customFormat="1" x14ac:dyDescent="0.2">
      <c r="A468" s="589" t="s">
        <v>56</v>
      </c>
      <c r="B468" s="589" t="s">
        <v>482</v>
      </c>
      <c r="C468" s="590" t="s">
        <v>1742</v>
      </c>
      <c r="D468" s="589" t="s">
        <v>100</v>
      </c>
      <c r="E468" s="589" t="s">
        <v>104</v>
      </c>
      <c r="F468" s="589" t="s">
        <v>112</v>
      </c>
      <c r="G468" s="589" t="s">
        <v>51</v>
      </c>
      <c r="H468" s="589" t="s">
        <v>242</v>
      </c>
      <c r="I468" s="589" t="s">
        <v>2124</v>
      </c>
      <c r="J468" s="589" t="s">
        <v>35</v>
      </c>
      <c r="K468" s="591">
        <v>1250</v>
      </c>
      <c r="L468" s="592">
        <f>IF(J468="TND",1,IF(J468="EUR",Vertical_Cash_flow!$C$16,IF(J468="USD",Vertical_Cash_flow!$F$16,0)))</f>
        <v>1</v>
      </c>
      <c r="M468" s="593">
        <f t="shared" si="28"/>
        <v>1250</v>
      </c>
      <c r="N468" s="589" t="s">
        <v>251</v>
      </c>
      <c r="O468" s="594">
        <v>45350</v>
      </c>
      <c r="P468" s="593">
        <f t="shared" si="29"/>
        <v>-103</v>
      </c>
      <c r="Q468" s="594">
        <v>45453</v>
      </c>
      <c r="R468" s="593">
        <f t="shared" ca="1" si="30"/>
        <v>-12</v>
      </c>
      <c r="S468" s="589" t="str">
        <f>VLOOKUP(Q468,Mapping!L:M,2,0)</f>
        <v>W24_2024</v>
      </c>
      <c r="T468" s="589" t="str">
        <f t="shared" ca="1" si="31"/>
        <v>Not Due</v>
      </c>
      <c r="W468" s="591"/>
    </row>
    <row r="469" spans="1:23" s="589" customFormat="1" x14ac:dyDescent="0.2">
      <c r="A469" s="589" t="s">
        <v>56</v>
      </c>
      <c r="B469" s="589" t="s">
        <v>327</v>
      </c>
      <c r="C469" s="590" t="s">
        <v>1737</v>
      </c>
      <c r="D469" s="589" t="s">
        <v>100</v>
      </c>
      <c r="E469" s="589" t="s">
        <v>104</v>
      </c>
      <c r="F469" s="589" t="s">
        <v>112</v>
      </c>
      <c r="G469" s="589" t="s">
        <v>51</v>
      </c>
      <c r="H469" s="589" t="s">
        <v>242</v>
      </c>
      <c r="I469" s="589" t="s">
        <v>2119</v>
      </c>
      <c r="J469" s="589" t="s">
        <v>35</v>
      </c>
      <c r="K469" s="591">
        <v>2645.3</v>
      </c>
      <c r="L469" s="592">
        <f>IF(J469="TND",1,IF(J469="EUR",Vertical_Cash_flow!$C$16,IF(J469="USD",Vertical_Cash_flow!$F$16,0)))</f>
        <v>1</v>
      </c>
      <c r="M469" s="593">
        <f t="shared" ref="M469:M532" si="32">K469/L469</f>
        <v>2645.3</v>
      </c>
      <c r="N469" s="589" t="s">
        <v>251</v>
      </c>
      <c r="O469" s="594">
        <v>45378</v>
      </c>
      <c r="P469" s="593">
        <f t="shared" ref="P469:P532" si="33">O469-Q469</f>
        <v>-75</v>
      </c>
      <c r="Q469" s="594">
        <v>45453</v>
      </c>
      <c r="R469" s="593">
        <f t="shared" ref="R469:R532" ca="1" si="34">$W$1-Q469</f>
        <v>-12</v>
      </c>
      <c r="S469" s="589" t="str">
        <f>VLOOKUP(Q469,Mapping!L:M,2,0)</f>
        <v>W24_2024</v>
      </c>
      <c r="T469" s="589" t="str">
        <f t="shared" ref="T469:T532" ca="1" si="35">IF(R469="","",IF(R469&lt;0,"Not Due",IF(AND(R469&gt;=0,R469&lt;=30),"up to 30 days",IF(AND(R469&gt;30,R469&lt;=60),"30-60 days",IF(AND(R469&gt;60,R469&lt;=90),"60-90 days",IF(AND(R469&gt;90,R469&lt;=120),"90-120 days",IF(AND(R469&gt;120,R469&lt;=180),"120-180 days",IF(AND(R469&gt;180,R469&lt;=360),"180-360 days",IF(R469&gt;360,"more than 360 days","ok")))))))))</f>
        <v>Not Due</v>
      </c>
      <c r="W469" s="591"/>
    </row>
    <row r="470" spans="1:23" s="589" customFormat="1" x14ac:dyDescent="0.2">
      <c r="A470" s="589" t="s">
        <v>56</v>
      </c>
      <c r="B470" s="589" t="s">
        <v>982</v>
      </c>
      <c r="C470" s="590" t="s">
        <v>2576</v>
      </c>
      <c r="D470" s="589" t="s">
        <v>100</v>
      </c>
      <c r="E470" s="589" t="s">
        <v>104</v>
      </c>
      <c r="F470" s="589" t="s">
        <v>112</v>
      </c>
      <c r="G470" s="589" t="s">
        <v>51</v>
      </c>
      <c r="H470" s="589" t="s">
        <v>242</v>
      </c>
      <c r="I470" s="589" t="s">
        <v>2890</v>
      </c>
      <c r="J470" s="589" t="s">
        <v>35</v>
      </c>
      <c r="K470" s="591">
        <v>7034.0119999999997</v>
      </c>
      <c r="L470" s="592">
        <f>IF(J470="TND",1,IF(J470="EUR",Vertical_Cash_flow!$C$16,IF(J470="USD",Vertical_Cash_flow!$F$16,0)))</f>
        <v>1</v>
      </c>
      <c r="M470" s="593">
        <f t="shared" si="32"/>
        <v>7034.0119999999997</v>
      </c>
      <c r="N470" s="589" t="s">
        <v>251</v>
      </c>
      <c r="O470" s="594">
        <v>45408</v>
      </c>
      <c r="P470" s="593">
        <f t="shared" si="33"/>
        <v>-45</v>
      </c>
      <c r="Q470" s="594">
        <v>45453</v>
      </c>
      <c r="R470" s="593">
        <f t="shared" ca="1" si="34"/>
        <v>-12</v>
      </c>
      <c r="S470" s="589" t="str">
        <f>VLOOKUP(Q470,Mapping!L:M,2,0)</f>
        <v>W24_2024</v>
      </c>
      <c r="T470" s="589" t="str">
        <f t="shared" ca="1" si="35"/>
        <v>Not Due</v>
      </c>
      <c r="W470" s="591"/>
    </row>
    <row r="471" spans="1:23" s="589" customFormat="1" x14ac:dyDescent="0.2">
      <c r="A471" s="589" t="s">
        <v>56</v>
      </c>
      <c r="B471" s="589" t="s">
        <v>328</v>
      </c>
      <c r="C471" s="590" t="s">
        <v>1736</v>
      </c>
      <c r="D471" s="589" t="s">
        <v>100</v>
      </c>
      <c r="E471" s="589" t="s">
        <v>104</v>
      </c>
      <c r="F471" s="589" t="s">
        <v>112</v>
      </c>
      <c r="G471" s="589" t="s">
        <v>51</v>
      </c>
      <c r="H471" s="589" t="s">
        <v>242</v>
      </c>
      <c r="I471" s="589" t="s">
        <v>2118</v>
      </c>
      <c r="J471" s="589" t="s">
        <v>35</v>
      </c>
      <c r="K471" s="591">
        <v>1398.8679999999999</v>
      </c>
      <c r="L471" s="592">
        <f>IF(J471="TND",1,IF(J471="EUR",Vertical_Cash_flow!$C$16,IF(J471="USD",Vertical_Cash_flow!$F$16,0)))</f>
        <v>1</v>
      </c>
      <c r="M471" s="593">
        <f t="shared" si="32"/>
        <v>1398.8679999999999</v>
      </c>
      <c r="N471" s="589" t="s">
        <v>251</v>
      </c>
      <c r="O471" s="594">
        <v>45366</v>
      </c>
      <c r="P471" s="593">
        <f t="shared" si="33"/>
        <v>-87</v>
      </c>
      <c r="Q471" s="594">
        <v>45453</v>
      </c>
      <c r="R471" s="593">
        <f t="shared" ca="1" si="34"/>
        <v>-12</v>
      </c>
      <c r="S471" s="589" t="str">
        <f>VLOOKUP(Q471,Mapping!L:M,2,0)</f>
        <v>W24_2024</v>
      </c>
      <c r="T471" s="589" t="str">
        <f t="shared" ca="1" si="35"/>
        <v>Not Due</v>
      </c>
      <c r="W471" s="591"/>
    </row>
    <row r="472" spans="1:23" s="589" customFormat="1" x14ac:dyDescent="0.2">
      <c r="A472" s="589" t="s">
        <v>56</v>
      </c>
      <c r="B472" s="589" t="s">
        <v>577</v>
      </c>
      <c r="C472" s="590" t="s">
        <v>1734</v>
      </c>
      <c r="D472" s="589" t="s">
        <v>100</v>
      </c>
      <c r="E472" s="589" t="s">
        <v>104</v>
      </c>
      <c r="F472" s="589" t="s">
        <v>112</v>
      </c>
      <c r="G472" s="589" t="s">
        <v>51</v>
      </c>
      <c r="H472" s="589" t="s">
        <v>242</v>
      </c>
      <c r="I472" s="589" t="s">
        <v>2116</v>
      </c>
      <c r="J472" s="589" t="s">
        <v>35</v>
      </c>
      <c r="K472" s="591">
        <v>2794.8539999999998</v>
      </c>
      <c r="L472" s="592">
        <f>IF(J472="TND",1,IF(J472="EUR",Vertical_Cash_flow!$C$16,IF(J472="USD",Vertical_Cash_flow!$F$16,0)))</f>
        <v>1</v>
      </c>
      <c r="M472" s="593">
        <f t="shared" si="32"/>
        <v>2794.8539999999998</v>
      </c>
      <c r="N472" s="589" t="s">
        <v>251</v>
      </c>
      <c r="O472" s="594">
        <v>45362</v>
      </c>
      <c r="P472" s="593">
        <f t="shared" si="33"/>
        <v>-91</v>
      </c>
      <c r="Q472" s="594">
        <v>45453</v>
      </c>
      <c r="R472" s="593">
        <f t="shared" ca="1" si="34"/>
        <v>-12</v>
      </c>
      <c r="S472" s="589" t="str">
        <f>VLOOKUP(Q472,Mapping!L:M,2,0)</f>
        <v>W24_2024</v>
      </c>
      <c r="T472" s="589" t="str">
        <f t="shared" ca="1" si="35"/>
        <v>Not Due</v>
      </c>
      <c r="W472" s="591"/>
    </row>
    <row r="473" spans="1:23" s="589" customFormat="1" x14ac:dyDescent="0.2">
      <c r="A473" s="589" t="s">
        <v>56</v>
      </c>
      <c r="B473" s="589" t="s">
        <v>529</v>
      </c>
      <c r="C473" s="590" t="s">
        <v>3559</v>
      </c>
      <c r="D473" s="589" t="s">
        <v>100</v>
      </c>
      <c r="E473" s="589" t="s">
        <v>104</v>
      </c>
      <c r="F473" s="589" t="s">
        <v>112</v>
      </c>
      <c r="G473" s="589" t="s">
        <v>51</v>
      </c>
      <c r="H473" s="589" t="s">
        <v>242</v>
      </c>
      <c r="I473" s="589" t="s">
        <v>3705</v>
      </c>
      <c r="J473" s="589" t="s">
        <v>35</v>
      </c>
      <c r="K473" s="591">
        <v>4229.0379999999996</v>
      </c>
      <c r="L473" s="592">
        <f>IF(J473="TND",1,IF(J473="EUR",Vertical_Cash_flow!$C$16,IF(J473="USD",Vertical_Cash_flow!$F$16,0)))</f>
        <v>1</v>
      </c>
      <c r="M473" s="593">
        <f t="shared" si="32"/>
        <v>4229.0379999999996</v>
      </c>
      <c r="N473" s="589" t="s">
        <v>251</v>
      </c>
      <c r="O473" s="594">
        <v>45427</v>
      </c>
      <c r="P473" s="593">
        <f t="shared" si="33"/>
        <v>-26</v>
      </c>
      <c r="Q473" s="594">
        <v>45453</v>
      </c>
      <c r="R473" s="593">
        <f t="shared" ca="1" si="34"/>
        <v>-12</v>
      </c>
      <c r="S473" s="589" t="str">
        <f>VLOOKUP(Q473,Mapping!L:M,2,0)</f>
        <v>W24_2024</v>
      </c>
      <c r="T473" s="589" t="str">
        <f t="shared" ca="1" si="35"/>
        <v>Not Due</v>
      </c>
      <c r="W473" s="591"/>
    </row>
    <row r="474" spans="1:23" s="589" customFormat="1" x14ac:dyDescent="0.2">
      <c r="A474" s="589" t="s">
        <v>56</v>
      </c>
      <c r="B474" s="589" t="s">
        <v>334</v>
      </c>
      <c r="C474" s="590" t="s">
        <v>1735</v>
      </c>
      <c r="D474" s="589" t="s">
        <v>100</v>
      </c>
      <c r="E474" s="589" t="s">
        <v>104</v>
      </c>
      <c r="F474" s="589" t="s">
        <v>112</v>
      </c>
      <c r="G474" s="589" t="s">
        <v>51</v>
      </c>
      <c r="H474" s="589" t="s">
        <v>242</v>
      </c>
      <c r="I474" s="589" t="s">
        <v>2117</v>
      </c>
      <c r="J474" s="589" t="s">
        <v>35</v>
      </c>
      <c r="K474" s="591">
        <v>700</v>
      </c>
      <c r="L474" s="592">
        <f>IF(J474="TND",1,IF(J474="EUR",Vertical_Cash_flow!$C$16,IF(J474="USD",Vertical_Cash_flow!$F$16,0)))</f>
        <v>1</v>
      </c>
      <c r="M474" s="593">
        <f t="shared" si="32"/>
        <v>700</v>
      </c>
      <c r="N474" s="589" t="s">
        <v>251</v>
      </c>
      <c r="O474" s="594">
        <v>45364</v>
      </c>
      <c r="P474" s="593">
        <f t="shared" si="33"/>
        <v>-89</v>
      </c>
      <c r="Q474" s="594">
        <v>45453</v>
      </c>
      <c r="R474" s="593">
        <f t="shared" ca="1" si="34"/>
        <v>-12</v>
      </c>
      <c r="S474" s="589" t="str">
        <f>VLOOKUP(Q474,Mapping!L:M,2,0)</f>
        <v>W24_2024</v>
      </c>
      <c r="T474" s="589" t="str">
        <f t="shared" ca="1" si="35"/>
        <v>Not Due</v>
      </c>
      <c r="W474" s="591"/>
    </row>
    <row r="475" spans="1:23" s="589" customFormat="1" x14ac:dyDescent="0.2">
      <c r="A475" s="589" t="s">
        <v>56</v>
      </c>
      <c r="B475" s="589" t="s">
        <v>1481</v>
      </c>
      <c r="C475" s="590" t="s">
        <v>3558</v>
      </c>
      <c r="D475" s="589" t="s">
        <v>100</v>
      </c>
      <c r="E475" s="589" t="s">
        <v>104</v>
      </c>
      <c r="F475" s="589" t="s">
        <v>112</v>
      </c>
      <c r="G475" s="589" t="s">
        <v>51</v>
      </c>
      <c r="H475" s="589" t="s">
        <v>242</v>
      </c>
      <c r="I475" s="589" t="s">
        <v>3704</v>
      </c>
      <c r="J475" s="589" t="s">
        <v>35</v>
      </c>
      <c r="K475" s="591">
        <v>3298.8449999999998</v>
      </c>
      <c r="L475" s="592">
        <f>IF(J475="TND",1,IF(J475="EUR",Vertical_Cash_flow!$C$16,IF(J475="USD",Vertical_Cash_flow!$F$16,0)))</f>
        <v>1</v>
      </c>
      <c r="M475" s="593">
        <f t="shared" si="32"/>
        <v>3298.8449999999998</v>
      </c>
      <c r="N475" s="589" t="s">
        <v>251</v>
      </c>
      <c r="O475" s="594">
        <v>45427</v>
      </c>
      <c r="P475" s="593">
        <f t="shared" si="33"/>
        <v>-26</v>
      </c>
      <c r="Q475" s="594">
        <v>45453</v>
      </c>
      <c r="R475" s="593">
        <f t="shared" ca="1" si="34"/>
        <v>-12</v>
      </c>
      <c r="S475" s="589" t="str">
        <f>VLOOKUP(Q475,Mapping!L:M,2,0)</f>
        <v>W24_2024</v>
      </c>
      <c r="T475" s="589" t="str">
        <f t="shared" ca="1" si="35"/>
        <v>Not Due</v>
      </c>
      <c r="W475" s="591"/>
    </row>
    <row r="476" spans="1:23" s="589" customFormat="1" x14ac:dyDescent="0.2">
      <c r="A476" s="589" t="s">
        <v>56</v>
      </c>
      <c r="B476" s="589" t="s">
        <v>569</v>
      </c>
      <c r="C476" s="590" t="s">
        <v>2575</v>
      </c>
      <c r="D476" s="589" t="s">
        <v>100</v>
      </c>
      <c r="E476" s="589" t="s">
        <v>104</v>
      </c>
      <c r="F476" s="589" t="s">
        <v>112</v>
      </c>
      <c r="G476" s="589" t="s">
        <v>51</v>
      </c>
      <c r="H476" s="589" t="s">
        <v>242</v>
      </c>
      <c r="I476" s="589" t="s">
        <v>2889</v>
      </c>
      <c r="J476" s="589" t="s">
        <v>35</v>
      </c>
      <c r="K476" s="591">
        <v>366.21100000000001</v>
      </c>
      <c r="L476" s="592">
        <f>IF(J476="TND",1,IF(J476="EUR",Vertical_Cash_flow!$C$16,IF(J476="USD",Vertical_Cash_flow!$F$16,0)))</f>
        <v>1</v>
      </c>
      <c r="M476" s="593">
        <f t="shared" si="32"/>
        <v>366.21100000000001</v>
      </c>
      <c r="N476" s="589" t="s">
        <v>251</v>
      </c>
      <c r="O476" s="594">
        <v>45386</v>
      </c>
      <c r="P476" s="593">
        <f t="shared" si="33"/>
        <v>-67</v>
      </c>
      <c r="Q476" s="594">
        <v>45453</v>
      </c>
      <c r="R476" s="593">
        <f t="shared" ca="1" si="34"/>
        <v>-12</v>
      </c>
      <c r="S476" s="589" t="str">
        <f>VLOOKUP(Q476,Mapping!L:M,2,0)</f>
        <v>W24_2024</v>
      </c>
      <c r="T476" s="589" t="str">
        <f t="shared" ca="1" si="35"/>
        <v>Not Due</v>
      </c>
      <c r="W476" s="591"/>
    </row>
    <row r="477" spans="1:23" s="589" customFormat="1" x14ac:dyDescent="0.2">
      <c r="A477" s="589" t="s">
        <v>56</v>
      </c>
      <c r="B477" s="589" t="s">
        <v>341</v>
      </c>
      <c r="C477" s="590" t="s">
        <v>2574</v>
      </c>
      <c r="D477" s="589" t="s">
        <v>100</v>
      </c>
      <c r="E477" s="589" t="s">
        <v>104</v>
      </c>
      <c r="F477" s="589" t="s">
        <v>112</v>
      </c>
      <c r="G477" s="589" t="s">
        <v>51</v>
      </c>
      <c r="H477" s="589" t="s">
        <v>242</v>
      </c>
      <c r="I477" s="589" t="s">
        <v>2888</v>
      </c>
      <c r="J477" s="589" t="s">
        <v>35</v>
      </c>
      <c r="K477" s="591">
        <v>2536.6619999999998</v>
      </c>
      <c r="L477" s="592">
        <f>IF(J477="TND",1,IF(J477="EUR",Vertical_Cash_flow!$C$16,IF(J477="USD",Vertical_Cash_flow!$F$16,0)))</f>
        <v>1</v>
      </c>
      <c r="M477" s="593">
        <f t="shared" si="32"/>
        <v>2536.6619999999998</v>
      </c>
      <c r="N477" s="589" t="s">
        <v>251</v>
      </c>
      <c r="O477" s="594">
        <v>45402</v>
      </c>
      <c r="P477" s="593">
        <f t="shared" si="33"/>
        <v>-51</v>
      </c>
      <c r="Q477" s="594">
        <v>45453</v>
      </c>
      <c r="R477" s="593">
        <f t="shared" ca="1" si="34"/>
        <v>-12</v>
      </c>
      <c r="S477" s="589" t="str">
        <f>VLOOKUP(Q477,Mapping!L:M,2,0)</f>
        <v>W24_2024</v>
      </c>
      <c r="T477" s="589" t="str">
        <f t="shared" ca="1" si="35"/>
        <v>Not Due</v>
      </c>
      <c r="W477" s="591"/>
    </row>
    <row r="478" spans="1:23" s="589" customFormat="1" x14ac:dyDescent="0.2">
      <c r="A478" s="589" t="s">
        <v>56</v>
      </c>
      <c r="B478" s="589" t="s">
        <v>274</v>
      </c>
      <c r="C478" s="590" t="s">
        <v>1070</v>
      </c>
      <c r="D478" s="589" t="s">
        <v>100</v>
      </c>
      <c r="E478" s="589" t="s">
        <v>104</v>
      </c>
      <c r="F478" s="589" t="s">
        <v>112</v>
      </c>
      <c r="G478" s="589" t="s">
        <v>51</v>
      </c>
      <c r="H478" s="589" t="s">
        <v>242</v>
      </c>
      <c r="I478" s="589" t="s">
        <v>1145</v>
      </c>
      <c r="J478" s="589" t="s">
        <v>35</v>
      </c>
      <c r="K478" s="591">
        <v>810</v>
      </c>
      <c r="L478" s="592">
        <f>IF(J478="TND",1,IF(J478="EUR",Vertical_Cash_flow!$C$16,IF(J478="USD",Vertical_Cash_flow!$F$16,0)))</f>
        <v>1</v>
      </c>
      <c r="M478" s="593">
        <f t="shared" si="32"/>
        <v>810</v>
      </c>
      <c r="N478" s="589" t="s">
        <v>251</v>
      </c>
      <c r="O478" s="594">
        <v>45316</v>
      </c>
      <c r="P478" s="593">
        <f t="shared" si="33"/>
        <v>-138</v>
      </c>
      <c r="Q478" s="594">
        <v>45454</v>
      </c>
      <c r="R478" s="593">
        <f t="shared" ca="1" si="34"/>
        <v>-13</v>
      </c>
      <c r="S478" s="589" t="str">
        <f>VLOOKUP(Q478,Mapping!L:M,2,0)</f>
        <v>W24_2024</v>
      </c>
      <c r="T478" s="589" t="str">
        <f t="shared" ca="1" si="35"/>
        <v>Not Due</v>
      </c>
      <c r="W478" s="591"/>
    </row>
    <row r="479" spans="1:23" s="589" customFormat="1" x14ac:dyDescent="0.2">
      <c r="A479" s="589" t="s">
        <v>56</v>
      </c>
      <c r="B479" s="589" t="s">
        <v>285</v>
      </c>
      <c r="C479" s="590" t="s">
        <v>1293</v>
      </c>
      <c r="D479" s="589" t="s">
        <v>100</v>
      </c>
      <c r="E479" s="589" t="s">
        <v>104</v>
      </c>
      <c r="F479" s="589" t="s">
        <v>112</v>
      </c>
      <c r="G479" s="589" t="s">
        <v>51</v>
      </c>
      <c r="H479" s="589" t="s">
        <v>242</v>
      </c>
      <c r="I479" s="589" t="s">
        <v>1401</v>
      </c>
      <c r="J479" s="589" t="s">
        <v>35</v>
      </c>
      <c r="K479" s="591">
        <v>1391.758</v>
      </c>
      <c r="L479" s="592">
        <f>IF(J479="TND",1,IF(J479="EUR",Vertical_Cash_flow!$C$16,IF(J479="USD",Vertical_Cash_flow!$F$16,0)))</f>
        <v>1</v>
      </c>
      <c r="M479" s="593">
        <f t="shared" si="32"/>
        <v>1391.758</v>
      </c>
      <c r="N479" s="589" t="s">
        <v>251</v>
      </c>
      <c r="O479" s="594">
        <v>45329</v>
      </c>
      <c r="P479" s="593">
        <f t="shared" si="33"/>
        <v>-125</v>
      </c>
      <c r="Q479" s="594">
        <v>45454</v>
      </c>
      <c r="R479" s="593">
        <f t="shared" ca="1" si="34"/>
        <v>-13</v>
      </c>
      <c r="S479" s="589" t="str">
        <f>VLOOKUP(Q479,Mapping!L:M,2,0)</f>
        <v>W24_2024</v>
      </c>
      <c r="T479" s="589" t="str">
        <f t="shared" ca="1" si="35"/>
        <v>Not Due</v>
      </c>
      <c r="W479" s="591"/>
    </row>
    <row r="480" spans="1:23" s="589" customFormat="1" x14ac:dyDescent="0.2">
      <c r="A480" s="589" t="s">
        <v>56</v>
      </c>
      <c r="B480" s="589" t="s">
        <v>348</v>
      </c>
      <c r="C480" s="590" t="s">
        <v>1733</v>
      </c>
      <c r="D480" s="589" t="s">
        <v>100</v>
      </c>
      <c r="E480" s="589" t="s">
        <v>104</v>
      </c>
      <c r="F480" s="589" t="s">
        <v>112</v>
      </c>
      <c r="G480" s="589" t="s">
        <v>51</v>
      </c>
      <c r="H480" s="589" t="s">
        <v>242</v>
      </c>
      <c r="I480" s="589" t="s">
        <v>2115</v>
      </c>
      <c r="J480" s="589" t="s">
        <v>35</v>
      </c>
      <c r="K480" s="591">
        <v>4000</v>
      </c>
      <c r="L480" s="592">
        <f>IF(J480="TND",1,IF(J480="EUR",Vertical_Cash_flow!$C$16,IF(J480="USD",Vertical_Cash_flow!$F$16,0)))</f>
        <v>1</v>
      </c>
      <c r="M480" s="593">
        <f t="shared" si="32"/>
        <v>4000</v>
      </c>
      <c r="N480" s="589" t="s">
        <v>251</v>
      </c>
      <c r="O480" s="594">
        <v>45380</v>
      </c>
      <c r="P480" s="593">
        <f t="shared" si="33"/>
        <v>-74</v>
      </c>
      <c r="Q480" s="594">
        <v>45454</v>
      </c>
      <c r="R480" s="593">
        <f t="shared" ca="1" si="34"/>
        <v>-13</v>
      </c>
      <c r="S480" s="589" t="str">
        <f>VLOOKUP(Q480,Mapping!L:M,2,0)</f>
        <v>W24_2024</v>
      </c>
      <c r="T480" s="589" t="str">
        <f t="shared" ca="1" si="35"/>
        <v>Not Due</v>
      </c>
      <c r="W480" s="591"/>
    </row>
    <row r="481" spans="1:23" s="589" customFormat="1" x14ac:dyDescent="0.2">
      <c r="A481" s="589" t="s">
        <v>56</v>
      </c>
      <c r="B481" s="589" t="s">
        <v>616</v>
      </c>
      <c r="C481" s="590" t="s">
        <v>1732</v>
      </c>
      <c r="D481" s="589" t="s">
        <v>100</v>
      </c>
      <c r="E481" s="589" t="s">
        <v>104</v>
      </c>
      <c r="F481" s="589" t="s">
        <v>112</v>
      </c>
      <c r="G481" s="589" t="s">
        <v>51</v>
      </c>
      <c r="H481" s="589" t="s">
        <v>242</v>
      </c>
      <c r="I481" s="589" t="s">
        <v>2114</v>
      </c>
      <c r="J481" s="589" t="s">
        <v>35</v>
      </c>
      <c r="K481" s="591">
        <v>755.21799999999996</v>
      </c>
      <c r="L481" s="592">
        <f>IF(J481="TND",1,IF(J481="EUR",Vertical_Cash_flow!$C$16,IF(J481="USD",Vertical_Cash_flow!$F$16,0)))</f>
        <v>1</v>
      </c>
      <c r="M481" s="593">
        <f t="shared" si="32"/>
        <v>755.21799999999996</v>
      </c>
      <c r="N481" s="589" t="s">
        <v>251</v>
      </c>
      <c r="O481" s="594">
        <v>45380</v>
      </c>
      <c r="P481" s="593">
        <f t="shared" si="33"/>
        <v>-74</v>
      </c>
      <c r="Q481" s="594">
        <v>45454</v>
      </c>
      <c r="R481" s="593">
        <f t="shared" ca="1" si="34"/>
        <v>-13</v>
      </c>
      <c r="S481" s="589" t="str">
        <f>VLOOKUP(Q481,Mapping!L:M,2,0)</f>
        <v>W24_2024</v>
      </c>
      <c r="T481" s="589" t="str">
        <f t="shared" ca="1" si="35"/>
        <v>Not Due</v>
      </c>
      <c r="W481" s="591"/>
    </row>
    <row r="482" spans="1:23" s="589" customFormat="1" x14ac:dyDescent="0.2">
      <c r="A482" s="589" t="s">
        <v>56</v>
      </c>
      <c r="B482" s="589" t="s">
        <v>377</v>
      </c>
      <c r="C482" s="590" t="s">
        <v>2573</v>
      </c>
      <c r="D482" s="589" t="s">
        <v>100</v>
      </c>
      <c r="E482" s="589" t="s">
        <v>104</v>
      </c>
      <c r="F482" s="589" t="s">
        <v>112</v>
      </c>
      <c r="G482" s="589" t="s">
        <v>51</v>
      </c>
      <c r="H482" s="589" t="s">
        <v>242</v>
      </c>
      <c r="I482" s="589" t="s">
        <v>2887</v>
      </c>
      <c r="J482" s="589" t="s">
        <v>35</v>
      </c>
      <c r="K482" s="591">
        <v>3800</v>
      </c>
      <c r="L482" s="592">
        <f>IF(J482="TND",1,IF(J482="EUR",Vertical_Cash_flow!$C$16,IF(J482="USD",Vertical_Cash_flow!$F$16,0)))</f>
        <v>1</v>
      </c>
      <c r="M482" s="593">
        <f t="shared" si="32"/>
        <v>3800</v>
      </c>
      <c r="N482" s="589" t="s">
        <v>251</v>
      </c>
      <c r="O482" s="594">
        <v>45399</v>
      </c>
      <c r="P482" s="593">
        <f t="shared" si="33"/>
        <v>-55</v>
      </c>
      <c r="Q482" s="594">
        <v>45454</v>
      </c>
      <c r="R482" s="593">
        <f t="shared" ca="1" si="34"/>
        <v>-13</v>
      </c>
      <c r="S482" s="589" t="str">
        <f>VLOOKUP(Q482,Mapping!L:M,2,0)</f>
        <v>W24_2024</v>
      </c>
      <c r="T482" s="589" t="str">
        <f t="shared" ca="1" si="35"/>
        <v>Not Due</v>
      </c>
      <c r="W482" s="591"/>
    </row>
    <row r="483" spans="1:23" s="589" customFormat="1" x14ac:dyDescent="0.2">
      <c r="A483" s="589" t="s">
        <v>56</v>
      </c>
      <c r="B483" s="589" t="s">
        <v>369</v>
      </c>
      <c r="C483" s="590" t="s">
        <v>2572</v>
      </c>
      <c r="D483" s="589" t="s">
        <v>100</v>
      </c>
      <c r="E483" s="589" t="s">
        <v>104</v>
      </c>
      <c r="F483" s="589" t="s">
        <v>112</v>
      </c>
      <c r="G483" s="589" t="s">
        <v>51</v>
      </c>
      <c r="H483" s="589" t="s">
        <v>242</v>
      </c>
      <c r="I483" s="589" t="s">
        <v>2886</v>
      </c>
      <c r="J483" s="589" t="s">
        <v>35</v>
      </c>
      <c r="K483" s="591">
        <v>7500</v>
      </c>
      <c r="L483" s="592">
        <f>IF(J483="TND",1,IF(J483="EUR",Vertical_Cash_flow!$C$16,IF(J483="USD",Vertical_Cash_flow!$F$16,0)))</f>
        <v>1</v>
      </c>
      <c r="M483" s="593">
        <f t="shared" si="32"/>
        <v>7500</v>
      </c>
      <c r="N483" s="589" t="s">
        <v>251</v>
      </c>
      <c r="O483" s="594">
        <v>45387</v>
      </c>
      <c r="P483" s="593">
        <f t="shared" si="33"/>
        <v>-68</v>
      </c>
      <c r="Q483" s="594">
        <v>45455</v>
      </c>
      <c r="R483" s="593">
        <f t="shared" ca="1" si="34"/>
        <v>-14</v>
      </c>
      <c r="S483" s="589" t="str">
        <f>VLOOKUP(Q483,Mapping!L:M,2,0)</f>
        <v>W24_2024</v>
      </c>
      <c r="T483" s="589" t="str">
        <f t="shared" ca="1" si="35"/>
        <v>Not Due</v>
      </c>
      <c r="W483" s="591"/>
    </row>
    <row r="484" spans="1:23" s="589" customFormat="1" x14ac:dyDescent="0.2">
      <c r="A484" s="589" t="s">
        <v>56</v>
      </c>
      <c r="B484" s="589" t="s">
        <v>274</v>
      </c>
      <c r="C484" s="590" t="s">
        <v>1069</v>
      </c>
      <c r="D484" s="589" t="s">
        <v>100</v>
      </c>
      <c r="E484" s="589" t="s">
        <v>104</v>
      </c>
      <c r="F484" s="589" t="s">
        <v>112</v>
      </c>
      <c r="G484" s="589" t="s">
        <v>51</v>
      </c>
      <c r="H484" s="589" t="s">
        <v>242</v>
      </c>
      <c r="I484" s="589" t="s">
        <v>1144</v>
      </c>
      <c r="J484" s="589" t="s">
        <v>35</v>
      </c>
      <c r="K484" s="591">
        <v>805</v>
      </c>
      <c r="L484" s="592">
        <f>IF(J484="TND",1,IF(J484="EUR",Vertical_Cash_flow!$C$16,IF(J484="USD",Vertical_Cash_flow!$F$16,0)))</f>
        <v>1</v>
      </c>
      <c r="M484" s="593">
        <f t="shared" si="32"/>
        <v>805</v>
      </c>
      <c r="N484" s="589" t="s">
        <v>251</v>
      </c>
      <c r="O484" s="594">
        <v>45316</v>
      </c>
      <c r="P484" s="593">
        <f t="shared" si="33"/>
        <v>-139</v>
      </c>
      <c r="Q484" s="594">
        <v>45455</v>
      </c>
      <c r="R484" s="593">
        <f t="shared" ca="1" si="34"/>
        <v>-14</v>
      </c>
      <c r="S484" s="589" t="str">
        <f>VLOOKUP(Q484,Mapping!L:M,2,0)</f>
        <v>W24_2024</v>
      </c>
      <c r="T484" s="589" t="str">
        <f t="shared" ca="1" si="35"/>
        <v>Not Due</v>
      </c>
      <c r="W484" s="591"/>
    </row>
    <row r="485" spans="1:23" s="589" customFormat="1" x14ac:dyDescent="0.2">
      <c r="A485" s="589" t="s">
        <v>56</v>
      </c>
      <c r="B485" s="589" t="s">
        <v>894</v>
      </c>
      <c r="C485" s="590" t="s">
        <v>1731</v>
      </c>
      <c r="D485" s="589" t="s">
        <v>100</v>
      </c>
      <c r="E485" s="589" t="s">
        <v>104</v>
      </c>
      <c r="F485" s="589" t="s">
        <v>112</v>
      </c>
      <c r="G485" s="589" t="s">
        <v>51</v>
      </c>
      <c r="H485" s="589" t="s">
        <v>242</v>
      </c>
      <c r="I485" s="589" t="s">
        <v>2113</v>
      </c>
      <c r="J485" s="589" t="s">
        <v>35</v>
      </c>
      <c r="K485" s="591">
        <v>1148.384</v>
      </c>
      <c r="L485" s="592">
        <f>IF(J485="TND",1,IF(J485="EUR",Vertical_Cash_flow!$C$16,IF(J485="USD",Vertical_Cash_flow!$F$16,0)))</f>
        <v>1</v>
      </c>
      <c r="M485" s="593">
        <f t="shared" si="32"/>
        <v>1148.384</v>
      </c>
      <c r="N485" s="589" t="s">
        <v>251</v>
      </c>
      <c r="O485" s="594">
        <v>45380</v>
      </c>
      <c r="P485" s="593">
        <f t="shared" si="33"/>
        <v>-75</v>
      </c>
      <c r="Q485" s="594">
        <v>45455</v>
      </c>
      <c r="R485" s="593">
        <f t="shared" ca="1" si="34"/>
        <v>-14</v>
      </c>
      <c r="S485" s="589" t="str">
        <f>VLOOKUP(Q485,Mapping!L:M,2,0)</f>
        <v>W24_2024</v>
      </c>
      <c r="T485" s="589" t="str">
        <f t="shared" ca="1" si="35"/>
        <v>Not Due</v>
      </c>
      <c r="W485" s="591"/>
    </row>
    <row r="486" spans="1:23" s="589" customFormat="1" x14ac:dyDescent="0.2">
      <c r="A486" s="589" t="s">
        <v>56</v>
      </c>
      <c r="B486" s="589" t="s">
        <v>873</v>
      </c>
      <c r="C486" s="590" t="s">
        <v>2571</v>
      </c>
      <c r="D486" s="589" t="s">
        <v>100</v>
      </c>
      <c r="E486" s="589" t="s">
        <v>104</v>
      </c>
      <c r="F486" s="589" t="s">
        <v>112</v>
      </c>
      <c r="G486" s="589" t="s">
        <v>51</v>
      </c>
      <c r="H486" s="589" t="s">
        <v>242</v>
      </c>
      <c r="I486" s="589" t="s">
        <v>2885</v>
      </c>
      <c r="J486" s="589" t="s">
        <v>35</v>
      </c>
      <c r="K486" s="591">
        <v>2766.3679999999999</v>
      </c>
      <c r="L486" s="592">
        <f>IF(J486="TND",1,IF(J486="EUR",Vertical_Cash_flow!$C$16,IF(J486="USD",Vertical_Cash_flow!$F$16,0)))</f>
        <v>1</v>
      </c>
      <c r="M486" s="593">
        <f t="shared" si="32"/>
        <v>2766.3679999999999</v>
      </c>
      <c r="N486" s="589" t="s">
        <v>251</v>
      </c>
      <c r="O486" s="594">
        <v>45404</v>
      </c>
      <c r="P486" s="593">
        <f t="shared" si="33"/>
        <v>-51</v>
      </c>
      <c r="Q486" s="594">
        <v>45455</v>
      </c>
      <c r="R486" s="593">
        <f t="shared" ca="1" si="34"/>
        <v>-14</v>
      </c>
      <c r="S486" s="589" t="str">
        <f>VLOOKUP(Q486,Mapping!L:M,2,0)</f>
        <v>W24_2024</v>
      </c>
      <c r="T486" s="589" t="str">
        <f t="shared" ca="1" si="35"/>
        <v>Not Due</v>
      </c>
      <c r="W486" s="591"/>
    </row>
    <row r="487" spans="1:23" s="589" customFormat="1" x14ac:dyDescent="0.2">
      <c r="A487" s="589" t="s">
        <v>56</v>
      </c>
      <c r="B487" s="589" t="s">
        <v>620</v>
      </c>
      <c r="C487" s="590" t="s">
        <v>1730</v>
      </c>
      <c r="D487" s="589" t="s">
        <v>100</v>
      </c>
      <c r="E487" s="589" t="s">
        <v>104</v>
      </c>
      <c r="F487" s="589" t="s">
        <v>112</v>
      </c>
      <c r="G487" s="589" t="s">
        <v>51</v>
      </c>
      <c r="H487" s="589" t="s">
        <v>242</v>
      </c>
      <c r="I487" s="589" t="s">
        <v>2112</v>
      </c>
      <c r="J487" s="589" t="s">
        <v>35</v>
      </c>
      <c r="K487" s="591">
        <v>402.32799999999997</v>
      </c>
      <c r="L487" s="592">
        <f>IF(J487="TND",1,IF(J487="EUR",Vertical_Cash_flow!$C$16,IF(J487="USD",Vertical_Cash_flow!$F$16,0)))</f>
        <v>1</v>
      </c>
      <c r="M487" s="593">
        <f t="shared" si="32"/>
        <v>402.32799999999997</v>
      </c>
      <c r="N487" s="589" t="s">
        <v>251</v>
      </c>
      <c r="O487" s="594">
        <v>45348</v>
      </c>
      <c r="P487" s="593">
        <f t="shared" si="33"/>
        <v>-107</v>
      </c>
      <c r="Q487" s="594">
        <v>45455</v>
      </c>
      <c r="R487" s="593">
        <f t="shared" ca="1" si="34"/>
        <v>-14</v>
      </c>
      <c r="S487" s="589" t="str">
        <f>VLOOKUP(Q487,Mapping!L:M,2,0)</f>
        <v>W24_2024</v>
      </c>
      <c r="T487" s="589" t="str">
        <f t="shared" ca="1" si="35"/>
        <v>Not Due</v>
      </c>
      <c r="W487" s="591"/>
    </row>
    <row r="488" spans="1:23" s="589" customFormat="1" x14ac:dyDescent="0.2">
      <c r="A488" s="589" t="s">
        <v>56</v>
      </c>
      <c r="B488" s="589" t="s">
        <v>716</v>
      </c>
      <c r="C488" s="590" t="s">
        <v>2570</v>
      </c>
      <c r="D488" s="589" t="s">
        <v>100</v>
      </c>
      <c r="E488" s="589" t="s">
        <v>104</v>
      </c>
      <c r="F488" s="589" t="s">
        <v>112</v>
      </c>
      <c r="G488" s="589" t="s">
        <v>51</v>
      </c>
      <c r="H488" s="589" t="s">
        <v>242</v>
      </c>
      <c r="I488" s="589" t="s">
        <v>1203</v>
      </c>
      <c r="J488" s="589" t="s">
        <v>35</v>
      </c>
      <c r="K488" s="591">
        <v>1700</v>
      </c>
      <c r="L488" s="592">
        <f>IF(J488="TND",1,IF(J488="EUR",Vertical_Cash_flow!$C$16,IF(J488="USD",Vertical_Cash_flow!$F$16,0)))</f>
        <v>1</v>
      </c>
      <c r="M488" s="593">
        <f t="shared" si="32"/>
        <v>1700</v>
      </c>
      <c r="N488" s="589" t="s">
        <v>251</v>
      </c>
      <c r="O488" s="594">
        <v>45399</v>
      </c>
      <c r="P488" s="593">
        <f t="shared" si="33"/>
        <v>-56</v>
      </c>
      <c r="Q488" s="594">
        <v>45455</v>
      </c>
      <c r="R488" s="593">
        <f t="shared" ca="1" si="34"/>
        <v>-14</v>
      </c>
      <c r="S488" s="589" t="str">
        <f>VLOOKUP(Q488,Mapping!L:M,2,0)</f>
        <v>W24_2024</v>
      </c>
      <c r="T488" s="589" t="str">
        <f t="shared" ca="1" si="35"/>
        <v>Not Due</v>
      </c>
      <c r="W488" s="591"/>
    </row>
    <row r="489" spans="1:23" s="589" customFormat="1" x14ac:dyDescent="0.2">
      <c r="A489" s="589" t="s">
        <v>56</v>
      </c>
      <c r="B489" s="589" t="s">
        <v>524</v>
      </c>
      <c r="C489" s="590" t="s">
        <v>1729</v>
      </c>
      <c r="D489" s="589" t="s">
        <v>100</v>
      </c>
      <c r="E489" s="589" t="s">
        <v>104</v>
      </c>
      <c r="F489" s="589" t="s">
        <v>112</v>
      </c>
      <c r="G489" s="589" t="s">
        <v>51</v>
      </c>
      <c r="H489" s="589" t="s">
        <v>242</v>
      </c>
      <c r="I489" s="589" t="s">
        <v>807</v>
      </c>
      <c r="J489" s="589" t="s">
        <v>35</v>
      </c>
      <c r="K489" s="591">
        <v>716</v>
      </c>
      <c r="L489" s="592">
        <f>IF(J489="TND",1,IF(J489="EUR",Vertical_Cash_flow!$C$16,IF(J489="USD",Vertical_Cash_flow!$F$16,0)))</f>
        <v>1</v>
      </c>
      <c r="M489" s="593">
        <f t="shared" si="32"/>
        <v>716</v>
      </c>
      <c r="N489" s="589" t="s">
        <v>251</v>
      </c>
      <c r="O489" s="594">
        <v>45378</v>
      </c>
      <c r="P489" s="593">
        <f t="shared" si="33"/>
        <v>-77</v>
      </c>
      <c r="Q489" s="594">
        <v>45455</v>
      </c>
      <c r="R489" s="593">
        <f t="shared" ca="1" si="34"/>
        <v>-14</v>
      </c>
      <c r="S489" s="589" t="str">
        <f>VLOOKUP(Q489,Mapping!L:M,2,0)</f>
        <v>W24_2024</v>
      </c>
      <c r="T489" s="589" t="str">
        <f t="shared" ca="1" si="35"/>
        <v>Not Due</v>
      </c>
      <c r="W489" s="591"/>
    </row>
    <row r="490" spans="1:23" s="589" customFormat="1" x14ac:dyDescent="0.2">
      <c r="A490" s="589" t="s">
        <v>56</v>
      </c>
      <c r="B490" s="589" t="s">
        <v>486</v>
      </c>
      <c r="C490" s="590" t="s">
        <v>1292</v>
      </c>
      <c r="D490" s="589" t="s">
        <v>100</v>
      </c>
      <c r="E490" s="589" t="s">
        <v>104</v>
      </c>
      <c r="F490" s="589" t="s">
        <v>112</v>
      </c>
      <c r="G490" s="589" t="s">
        <v>51</v>
      </c>
      <c r="H490" s="589" t="s">
        <v>242</v>
      </c>
      <c r="I490" s="589" t="s">
        <v>1400</v>
      </c>
      <c r="J490" s="589" t="s">
        <v>35</v>
      </c>
      <c r="K490" s="591">
        <v>1721.4970000000001</v>
      </c>
      <c r="L490" s="592">
        <f>IF(J490="TND",1,IF(J490="EUR",Vertical_Cash_flow!$C$16,IF(J490="USD",Vertical_Cash_flow!$F$16,0)))</f>
        <v>1</v>
      </c>
      <c r="M490" s="593">
        <f t="shared" si="32"/>
        <v>1721.4970000000001</v>
      </c>
      <c r="N490" s="589" t="s">
        <v>251</v>
      </c>
      <c r="O490" s="594">
        <v>45341</v>
      </c>
      <c r="P490" s="593">
        <f t="shared" si="33"/>
        <v>-115</v>
      </c>
      <c r="Q490" s="594">
        <v>45456</v>
      </c>
      <c r="R490" s="593">
        <f t="shared" ca="1" si="34"/>
        <v>-15</v>
      </c>
      <c r="S490" s="589" t="str">
        <f>VLOOKUP(Q490,Mapping!L:M,2,0)</f>
        <v>W24_2024</v>
      </c>
      <c r="T490" s="589" t="str">
        <f t="shared" ca="1" si="35"/>
        <v>Not Due</v>
      </c>
      <c r="W490" s="591"/>
    </row>
    <row r="491" spans="1:23" s="589" customFormat="1" x14ac:dyDescent="0.2">
      <c r="A491" s="589" t="s">
        <v>56</v>
      </c>
      <c r="B491" s="589" t="s">
        <v>274</v>
      </c>
      <c r="C491" s="590" t="s">
        <v>1068</v>
      </c>
      <c r="D491" s="589" t="s">
        <v>100</v>
      </c>
      <c r="E491" s="589" t="s">
        <v>104</v>
      </c>
      <c r="F491" s="589" t="s">
        <v>112</v>
      </c>
      <c r="G491" s="589" t="s">
        <v>51</v>
      </c>
      <c r="H491" s="589" t="s">
        <v>242</v>
      </c>
      <c r="I491" s="589" t="s">
        <v>1143</v>
      </c>
      <c r="J491" s="589" t="s">
        <v>35</v>
      </c>
      <c r="K491" s="591">
        <v>800</v>
      </c>
      <c r="L491" s="592">
        <f>IF(J491="TND",1,IF(J491="EUR",Vertical_Cash_flow!$C$16,IF(J491="USD",Vertical_Cash_flow!$F$16,0)))</f>
        <v>1</v>
      </c>
      <c r="M491" s="593">
        <f t="shared" si="32"/>
        <v>800</v>
      </c>
      <c r="N491" s="589" t="s">
        <v>251</v>
      </c>
      <c r="O491" s="594">
        <v>45316</v>
      </c>
      <c r="P491" s="593">
        <f t="shared" si="33"/>
        <v>-140</v>
      </c>
      <c r="Q491" s="594">
        <v>45456</v>
      </c>
      <c r="R491" s="593">
        <f t="shared" ca="1" si="34"/>
        <v>-15</v>
      </c>
      <c r="S491" s="589" t="str">
        <f>VLOOKUP(Q491,Mapping!L:M,2,0)</f>
        <v>W24_2024</v>
      </c>
      <c r="T491" s="589" t="str">
        <f t="shared" ca="1" si="35"/>
        <v>Not Due</v>
      </c>
      <c r="W491" s="591"/>
    </row>
    <row r="492" spans="1:23" s="589" customFormat="1" x14ac:dyDescent="0.2">
      <c r="A492" s="589" t="s">
        <v>56</v>
      </c>
      <c r="B492" s="589" t="s">
        <v>589</v>
      </c>
      <c r="C492" s="590" t="s">
        <v>1067</v>
      </c>
      <c r="D492" s="589" t="s">
        <v>100</v>
      </c>
      <c r="E492" s="589" t="s">
        <v>104</v>
      </c>
      <c r="F492" s="589" t="s">
        <v>112</v>
      </c>
      <c r="G492" s="589" t="s">
        <v>51</v>
      </c>
      <c r="H492" s="589" t="s">
        <v>242</v>
      </c>
      <c r="I492" s="589" t="s">
        <v>1142</v>
      </c>
      <c r="J492" s="589" t="s">
        <v>35</v>
      </c>
      <c r="K492" s="591">
        <v>2600</v>
      </c>
      <c r="L492" s="592">
        <f>IF(J492="TND",1,IF(J492="EUR",Vertical_Cash_flow!$C$16,IF(J492="USD",Vertical_Cash_flow!$F$16,0)))</f>
        <v>1</v>
      </c>
      <c r="M492" s="593">
        <f t="shared" si="32"/>
        <v>2600</v>
      </c>
      <c r="N492" s="589" t="s">
        <v>251</v>
      </c>
      <c r="O492" s="594">
        <v>45322</v>
      </c>
      <c r="P492" s="593">
        <f t="shared" si="33"/>
        <v>-134</v>
      </c>
      <c r="Q492" s="594">
        <v>45456</v>
      </c>
      <c r="R492" s="593">
        <f t="shared" ca="1" si="34"/>
        <v>-15</v>
      </c>
      <c r="S492" s="589" t="str">
        <f>VLOOKUP(Q492,Mapping!L:M,2,0)</f>
        <v>W24_2024</v>
      </c>
      <c r="T492" s="589" t="str">
        <f t="shared" ca="1" si="35"/>
        <v>Not Due</v>
      </c>
      <c r="W492" s="591"/>
    </row>
    <row r="493" spans="1:23" s="589" customFormat="1" x14ac:dyDescent="0.2">
      <c r="A493" s="589" t="s">
        <v>56</v>
      </c>
      <c r="B493" s="589" t="s">
        <v>278</v>
      </c>
      <c r="C493" s="590" t="s">
        <v>984</v>
      </c>
      <c r="D493" s="589" t="s">
        <v>100</v>
      </c>
      <c r="E493" s="589" t="s">
        <v>104</v>
      </c>
      <c r="F493" s="589" t="s">
        <v>112</v>
      </c>
      <c r="G493" s="589" t="s">
        <v>51</v>
      </c>
      <c r="H493" s="589" t="s">
        <v>242</v>
      </c>
      <c r="I493" s="589" t="s">
        <v>995</v>
      </c>
      <c r="J493" s="589" t="s">
        <v>35</v>
      </c>
      <c r="K493" s="591">
        <v>1500</v>
      </c>
      <c r="L493" s="592">
        <f>IF(J493="TND",1,IF(J493="EUR",Vertical_Cash_flow!$C$16,IF(J493="USD",Vertical_Cash_flow!$F$16,0)))</f>
        <v>1</v>
      </c>
      <c r="M493" s="593">
        <f t="shared" si="32"/>
        <v>1500</v>
      </c>
      <c r="N493" s="589" t="s">
        <v>251</v>
      </c>
      <c r="O493" s="594">
        <v>45287</v>
      </c>
      <c r="P493" s="593">
        <f t="shared" si="33"/>
        <v>-169</v>
      </c>
      <c r="Q493" s="594">
        <v>45456</v>
      </c>
      <c r="R493" s="593">
        <f t="shared" ca="1" si="34"/>
        <v>-15</v>
      </c>
      <c r="S493" s="589" t="str">
        <f>VLOOKUP(Q493,Mapping!L:M,2,0)</f>
        <v>W24_2024</v>
      </c>
      <c r="T493" s="589" t="str">
        <f t="shared" ca="1" si="35"/>
        <v>Not Due</v>
      </c>
      <c r="W493" s="591"/>
    </row>
    <row r="494" spans="1:23" s="589" customFormat="1" x14ac:dyDescent="0.2">
      <c r="A494" s="589" t="s">
        <v>56</v>
      </c>
      <c r="B494" s="589" t="s">
        <v>325</v>
      </c>
      <c r="C494" s="590" t="s">
        <v>1728</v>
      </c>
      <c r="D494" s="589" t="s">
        <v>100</v>
      </c>
      <c r="E494" s="589" t="s">
        <v>104</v>
      </c>
      <c r="F494" s="589" t="s">
        <v>112</v>
      </c>
      <c r="G494" s="589" t="s">
        <v>51</v>
      </c>
      <c r="H494" s="589" t="s">
        <v>242</v>
      </c>
      <c r="I494" s="589" t="s">
        <v>2111</v>
      </c>
      <c r="J494" s="589" t="s">
        <v>35</v>
      </c>
      <c r="K494" s="591">
        <v>700</v>
      </c>
      <c r="L494" s="592">
        <f>IF(J494="TND",1,IF(J494="EUR",Vertical_Cash_flow!$C$16,IF(J494="USD",Vertical_Cash_flow!$F$16,0)))</f>
        <v>1</v>
      </c>
      <c r="M494" s="593">
        <f t="shared" si="32"/>
        <v>700</v>
      </c>
      <c r="N494" s="589" t="s">
        <v>251</v>
      </c>
      <c r="O494" s="594">
        <v>45378</v>
      </c>
      <c r="P494" s="593">
        <f t="shared" si="33"/>
        <v>-78</v>
      </c>
      <c r="Q494" s="594">
        <v>45456</v>
      </c>
      <c r="R494" s="593">
        <f t="shared" ca="1" si="34"/>
        <v>-15</v>
      </c>
      <c r="S494" s="589" t="str">
        <f>VLOOKUP(Q494,Mapping!L:M,2,0)</f>
        <v>W24_2024</v>
      </c>
      <c r="T494" s="589" t="str">
        <f t="shared" ca="1" si="35"/>
        <v>Not Due</v>
      </c>
      <c r="W494" s="591"/>
    </row>
    <row r="495" spans="1:23" s="589" customFormat="1" x14ac:dyDescent="0.2">
      <c r="A495" s="589" t="s">
        <v>56</v>
      </c>
      <c r="B495" s="589" t="s">
        <v>570</v>
      </c>
      <c r="C495" s="590" t="s">
        <v>1291</v>
      </c>
      <c r="D495" s="589" t="s">
        <v>100</v>
      </c>
      <c r="E495" s="589" t="s">
        <v>104</v>
      </c>
      <c r="F495" s="589" t="s">
        <v>112</v>
      </c>
      <c r="G495" s="589" t="s">
        <v>51</v>
      </c>
      <c r="H495" s="589" t="s">
        <v>242</v>
      </c>
      <c r="I495" s="589" t="s">
        <v>1399</v>
      </c>
      <c r="J495" s="589" t="s">
        <v>35</v>
      </c>
      <c r="K495" s="591">
        <v>28598.963</v>
      </c>
      <c r="L495" s="592">
        <f>IF(J495="TND",1,IF(J495="EUR",Vertical_Cash_flow!$C$16,IF(J495="USD",Vertical_Cash_flow!$F$16,0)))</f>
        <v>1</v>
      </c>
      <c r="M495" s="593">
        <f t="shared" si="32"/>
        <v>28598.963</v>
      </c>
      <c r="N495" s="589" t="s">
        <v>251</v>
      </c>
      <c r="O495" s="594">
        <v>45334</v>
      </c>
      <c r="P495" s="593">
        <f t="shared" si="33"/>
        <v>-123</v>
      </c>
      <c r="Q495" s="594">
        <v>45457</v>
      </c>
      <c r="R495" s="593">
        <f t="shared" ca="1" si="34"/>
        <v>-16</v>
      </c>
      <c r="S495" s="589" t="str">
        <f>VLOOKUP(Q495,Mapping!L:M,2,0)</f>
        <v>W24_2024</v>
      </c>
      <c r="T495" s="589" t="str">
        <f t="shared" ca="1" si="35"/>
        <v>Not Due</v>
      </c>
      <c r="W495" s="591"/>
    </row>
    <row r="496" spans="1:23" s="589" customFormat="1" x14ac:dyDescent="0.2">
      <c r="A496" s="589" t="s">
        <v>56</v>
      </c>
      <c r="B496" s="589" t="s">
        <v>274</v>
      </c>
      <c r="C496" s="590" t="s">
        <v>1066</v>
      </c>
      <c r="D496" s="589" t="s">
        <v>100</v>
      </c>
      <c r="E496" s="589" t="s">
        <v>104</v>
      </c>
      <c r="F496" s="589" t="s">
        <v>112</v>
      </c>
      <c r="G496" s="589" t="s">
        <v>51</v>
      </c>
      <c r="H496" s="589" t="s">
        <v>242</v>
      </c>
      <c r="I496" s="589" t="s">
        <v>1141</v>
      </c>
      <c r="J496" s="589" t="s">
        <v>35</v>
      </c>
      <c r="K496" s="591">
        <v>869.92</v>
      </c>
      <c r="L496" s="592">
        <f>IF(J496="TND",1,IF(J496="EUR",Vertical_Cash_flow!$C$16,IF(J496="USD",Vertical_Cash_flow!$F$16,0)))</f>
        <v>1</v>
      </c>
      <c r="M496" s="593">
        <f t="shared" si="32"/>
        <v>869.92</v>
      </c>
      <c r="N496" s="589" t="s">
        <v>251</v>
      </c>
      <c r="O496" s="594">
        <v>45316</v>
      </c>
      <c r="P496" s="593">
        <f t="shared" si="33"/>
        <v>-141</v>
      </c>
      <c r="Q496" s="594">
        <v>45457</v>
      </c>
      <c r="R496" s="593">
        <f t="shared" ca="1" si="34"/>
        <v>-16</v>
      </c>
      <c r="S496" s="589" t="str">
        <f>VLOOKUP(Q496,Mapping!L:M,2,0)</f>
        <v>W24_2024</v>
      </c>
      <c r="T496" s="589" t="str">
        <f t="shared" ca="1" si="35"/>
        <v>Not Due</v>
      </c>
      <c r="W496" s="591"/>
    </row>
    <row r="497" spans="1:23" s="589" customFormat="1" x14ac:dyDescent="0.2">
      <c r="A497" s="589" t="s">
        <v>56</v>
      </c>
      <c r="B497" s="589" t="s">
        <v>3415</v>
      </c>
      <c r="C497" s="590" t="s">
        <v>3557</v>
      </c>
      <c r="D497" s="589" t="s">
        <v>100</v>
      </c>
      <c r="E497" s="589" t="s">
        <v>104</v>
      </c>
      <c r="F497" s="589" t="s">
        <v>112</v>
      </c>
      <c r="G497" s="589" t="s">
        <v>51</v>
      </c>
      <c r="H497" s="589" t="s">
        <v>242</v>
      </c>
      <c r="I497" s="589" t="s">
        <v>3703</v>
      </c>
      <c r="J497" s="589" t="s">
        <v>35</v>
      </c>
      <c r="K497" s="591">
        <v>2530</v>
      </c>
      <c r="L497" s="592">
        <f>IF(J497="TND",1,IF(J497="EUR",Vertical_Cash_flow!$C$16,IF(J497="USD",Vertical_Cash_flow!$F$16,0)))</f>
        <v>1</v>
      </c>
      <c r="M497" s="593">
        <f t="shared" si="32"/>
        <v>2530</v>
      </c>
      <c r="N497" s="589" t="s">
        <v>251</v>
      </c>
      <c r="O497" s="594">
        <v>45429</v>
      </c>
      <c r="P497" s="593">
        <f t="shared" si="33"/>
        <v>-28</v>
      </c>
      <c r="Q497" s="594">
        <v>45457</v>
      </c>
      <c r="R497" s="593">
        <f t="shared" ca="1" si="34"/>
        <v>-16</v>
      </c>
      <c r="S497" s="589" t="str">
        <f>VLOOKUP(Q497,Mapping!L:M,2,0)</f>
        <v>W24_2024</v>
      </c>
      <c r="T497" s="589" t="str">
        <f t="shared" ca="1" si="35"/>
        <v>Not Due</v>
      </c>
      <c r="W497" s="591"/>
    </row>
    <row r="498" spans="1:23" s="589" customFormat="1" x14ac:dyDescent="0.2">
      <c r="A498" s="589" t="s">
        <v>56</v>
      </c>
      <c r="B498" s="589" t="s">
        <v>731</v>
      </c>
      <c r="C498" s="590" t="s">
        <v>2569</v>
      </c>
      <c r="D498" s="589" t="s">
        <v>100</v>
      </c>
      <c r="E498" s="589" t="s">
        <v>104</v>
      </c>
      <c r="F498" s="589" t="s">
        <v>112</v>
      </c>
      <c r="G498" s="589" t="s">
        <v>51</v>
      </c>
      <c r="H498" s="589" t="s">
        <v>242</v>
      </c>
      <c r="I498" s="589" t="s">
        <v>2884</v>
      </c>
      <c r="J498" s="589" t="s">
        <v>35</v>
      </c>
      <c r="K498" s="591">
        <v>2222.5929999999998</v>
      </c>
      <c r="L498" s="592">
        <f>IF(J498="TND",1,IF(J498="EUR",Vertical_Cash_flow!$C$16,IF(J498="USD",Vertical_Cash_flow!$F$16,0)))</f>
        <v>1</v>
      </c>
      <c r="M498" s="593">
        <f t="shared" si="32"/>
        <v>2222.5929999999998</v>
      </c>
      <c r="N498" s="589" t="s">
        <v>251</v>
      </c>
      <c r="O498" s="594">
        <v>45399</v>
      </c>
      <c r="P498" s="593">
        <f t="shared" si="33"/>
        <v>-58</v>
      </c>
      <c r="Q498" s="594">
        <v>45457</v>
      </c>
      <c r="R498" s="593">
        <f t="shared" ca="1" si="34"/>
        <v>-16</v>
      </c>
      <c r="S498" s="589" t="str">
        <f>VLOOKUP(Q498,Mapping!L:M,2,0)</f>
        <v>W24_2024</v>
      </c>
      <c r="T498" s="589" t="str">
        <f t="shared" ca="1" si="35"/>
        <v>Not Due</v>
      </c>
      <c r="W498" s="591"/>
    </row>
    <row r="499" spans="1:23" s="589" customFormat="1" x14ac:dyDescent="0.2">
      <c r="A499" s="589" t="s">
        <v>56</v>
      </c>
      <c r="B499" s="589" t="s">
        <v>500</v>
      </c>
      <c r="C499" s="590" t="s">
        <v>1727</v>
      </c>
      <c r="D499" s="589" t="s">
        <v>100</v>
      </c>
      <c r="E499" s="589" t="s">
        <v>104</v>
      </c>
      <c r="F499" s="589" t="s">
        <v>112</v>
      </c>
      <c r="G499" s="589" t="s">
        <v>51</v>
      </c>
      <c r="H499" s="589" t="s">
        <v>242</v>
      </c>
      <c r="I499" s="589" t="s">
        <v>1005</v>
      </c>
      <c r="J499" s="589" t="s">
        <v>35</v>
      </c>
      <c r="K499" s="591">
        <v>1529.925</v>
      </c>
      <c r="L499" s="592">
        <f>IF(J499="TND",1,IF(J499="EUR",Vertical_Cash_flow!$C$16,IF(J499="USD",Vertical_Cash_flow!$F$16,0)))</f>
        <v>1</v>
      </c>
      <c r="M499" s="593">
        <f t="shared" si="32"/>
        <v>1529.925</v>
      </c>
      <c r="N499" s="589" t="s">
        <v>251</v>
      </c>
      <c r="O499" s="594">
        <v>45359</v>
      </c>
      <c r="P499" s="593">
        <f t="shared" si="33"/>
        <v>-98</v>
      </c>
      <c r="Q499" s="594">
        <v>45457</v>
      </c>
      <c r="R499" s="593">
        <f t="shared" ca="1" si="34"/>
        <v>-16</v>
      </c>
      <c r="S499" s="589" t="str">
        <f>VLOOKUP(Q499,Mapping!L:M,2,0)</f>
        <v>W24_2024</v>
      </c>
      <c r="T499" s="589" t="str">
        <f t="shared" ca="1" si="35"/>
        <v>Not Due</v>
      </c>
      <c r="W499" s="591"/>
    </row>
    <row r="500" spans="1:23" s="589" customFormat="1" x14ac:dyDescent="0.2">
      <c r="A500" s="589" t="s">
        <v>56</v>
      </c>
      <c r="B500" s="589" t="s">
        <v>1242</v>
      </c>
      <c r="C500" s="590" t="s">
        <v>1290</v>
      </c>
      <c r="D500" s="589" t="s">
        <v>100</v>
      </c>
      <c r="E500" s="589" t="s">
        <v>104</v>
      </c>
      <c r="F500" s="589" t="s">
        <v>112</v>
      </c>
      <c r="G500" s="589" t="s">
        <v>51</v>
      </c>
      <c r="H500" s="589" t="s">
        <v>242</v>
      </c>
      <c r="I500" s="589" t="s">
        <v>1398</v>
      </c>
      <c r="J500" s="589" t="s">
        <v>35</v>
      </c>
      <c r="K500" s="591">
        <v>5000</v>
      </c>
      <c r="L500" s="592">
        <f>IF(J500="TND",1,IF(J500="EUR",Vertical_Cash_flow!$C$16,IF(J500="USD",Vertical_Cash_flow!$F$16,0)))</f>
        <v>1</v>
      </c>
      <c r="M500" s="593">
        <f t="shared" si="32"/>
        <v>5000</v>
      </c>
      <c r="N500" s="589" t="s">
        <v>251</v>
      </c>
      <c r="O500" s="594">
        <v>45342</v>
      </c>
      <c r="P500" s="593">
        <f t="shared" si="33"/>
        <v>-115</v>
      </c>
      <c r="Q500" s="594">
        <v>45457</v>
      </c>
      <c r="R500" s="593">
        <f t="shared" ca="1" si="34"/>
        <v>-16</v>
      </c>
      <c r="S500" s="589" t="str">
        <f>VLOOKUP(Q500,Mapping!L:M,2,0)</f>
        <v>W24_2024</v>
      </c>
      <c r="T500" s="589" t="str">
        <f t="shared" ca="1" si="35"/>
        <v>Not Due</v>
      </c>
      <c r="W500" s="591"/>
    </row>
    <row r="501" spans="1:23" s="589" customFormat="1" x14ac:dyDescent="0.2">
      <c r="A501" s="589" t="s">
        <v>56</v>
      </c>
      <c r="B501" s="589" t="s">
        <v>540</v>
      </c>
      <c r="C501" s="590" t="s">
        <v>2568</v>
      </c>
      <c r="D501" s="589" t="s">
        <v>100</v>
      </c>
      <c r="E501" s="589" t="s">
        <v>104</v>
      </c>
      <c r="F501" s="589" t="s">
        <v>112</v>
      </c>
      <c r="G501" s="589" t="s">
        <v>51</v>
      </c>
      <c r="H501" s="589" t="s">
        <v>242</v>
      </c>
      <c r="I501" s="589" t="s">
        <v>1459</v>
      </c>
      <c r="J501" s="589" t="s">
        <v>35</v>
      </c>
      <c r="K501" s="591">
        <v>1004.077</v>
      </c>
      <c r="L501" s="592">
        <f>IF(J501="TND",1,IF(J501="EUR",Vertical_Cash_flow!$C$16,IF(J501="USD",Vertical_Cash_flow!$F$16,0)))</f>
        <v>1</v>
      </c>
      <c r="M501" s="593">
        <f t="shared" si="32"/>
        <v>1004.077</v>
      </c>
      <c r="N501" s="589" t="s">
        <v>251</v>
      </c>
      <c r="O501" s="594">
        <v>45386</v>
      </c>
      <c r="P501" s="593">
        <f t="shared" si="33"/>
        <v>-72</v>
      </c>
      <c r="Q501" s="594">
        <v>45458</v>
      </c>
      <c r="R501" s="593">
        <f t="shared" ca="1" si="34"/>
        <v>-17</v>
      </c>
      <c r="S501" s="589" t="str">
        <f>VLOOKUP(Q501,Mapping!L:M,2,0)</f>
        <v>W25_2024</v>
      </c>
      <c r="T501" s="589" t="str">
        <f t="shared" ca="1" si="35"/>
        <v>Not Due</v>
      </c>
      <c r="W501" s="591"/>
    </row>
    <row r="502" spans="1:23" s="589" customFormat="1" x14ac:dyDescent="0.2">
      <c r="A502" s="589" t="s">
        <v>56</v>
      </c>
      <c r="B502" s="589" t="s">
        <v>1050</v>
      </c>
      <c r="C502" s="590" t="s">
        <v>1722</v>
      </c>
      <c r="D502" s="589" t="s">
        <v>100</v>
      </c>
      <c r="E502" s="589" t="s">
        <v>104</v>
      </c>
      <c r="F502" s="589" t="s">
        <v>112</v>
      </c>
      <c r="G502" s="589" t="s">
        <v>51</v>
      </c>
      <c r="H502" s="589" t="s">
        <v>242</v>
      </c>
      <c r="I502" s="589" t="s">
        <v>2107</v>
      </c>
      <c r="J502" s="589" t="s">
        <v>35</v>
      </c>
      <c r="K502" s="591">
        <v>4592.8829999999998</v>
      </c>
      <c r="L502" s="592">
        <f>IF(J502="TND",1,IF(J502="EUR",Vertical_Cash_flow!$C$16,IF(J502="USD",Vertical_Cash_flow!$F$16,0)))</f>
        <v>1</v>
      </c>
      <c r="M502" s="593">
        <f t="shared" si="32"/>
        <v>4592.8829999999998</v>
      </c>
      <c r="N502" s="589" t="s">
        <v>251</v>
      </c>
      <c r="O502" s="594">
        <v>45357</v>
      </c>
      <c r="P502" s="593">
        <f t="shared" si="33"/>
        <v>-101</v>
      </c>
      <c r="Q502" s="594">
        <v>45458</v>
      </c>
      <c r="R502" s="593">
        <f t="shared" ca="1" si="34"/>
        <v>-17</v>
      </c>
      <c r="S502" s="589" t="str">
        <f>VLOOKUP(Q502,Mapping!L:M,2,0)</f>
        <v>W25_2024</v>
      </c>
      <c r="T502" s="589" t="str">
        <f t="shared" ca="1" si="35"/>
        <v>Not Due</v>
      </c>
      <c r="W502" s="591"/>
    </row>
    <row r="503" spans="1:23" s="589" customFormat="1" x14ac:dyDescent="0.2">
      <c r="A503" s="589" t="s">
        <v>56</v>
      </c>
      <c r="B503" s="589" t="s">
        <v>541</v>
      </c>
      <c r="C503" s="590" t="s">
        <v>1065</v>
      </c>
      <c r="D503" s="589" t="s">
        <v>100</v>
      </c>
      <c r="E503" s="589" t="s">
        <v>104</v>
      </c>
      <c r="F503" s="589" t="s">
        <v>112</v>
      </c>
      <c r="G503" s="589" t="s">
        <v>51</v>
      </c>
      <c r="H503" s="589" t="s">
        <v>242</v>
      </c>
      <c r="I503" s="589" t="s">
        <v>1140</v>
      </c>
      <c r="J503" s="589" t="s">
        <v>35</v>
      </c>
      <c r="K503" s="591">
        <v>8281.3809999999994</v>
      </c>
      <c r="L503" s="592">
        <f>IF(J503="TND",1,IF(J503="EUR",Vertical_Cash_flow!$C$16,IF(J503="USD",Vertical_Cash_flow!$F$16,0)))</f>
        <v>1</v>
      </c>
      <c r="M503" s="593">
        <f t="shared" si="32"/>
        <v>8281.3809999999994</v>
      </c>
      <c r="N503" s="589" t="s">
        <v>251</v>
      </c>
      <c r="O503" s="594">
        <v>45322</v>
      </c>
      <c r="P503" s="593">
        <f t="shared" si="33"/>
        <v>-136</v>
      </c>
      <c r="Q503" s="594">
        <v>45458</v>
      </c>
      <c r="R503" s="593">
        <f t="shared" ca="1" si="34"/>
        <v>-17</v>
      </c>
      <c r="S503" s="589" t="str">
        <f>VLOOKUP(Q503,Mapping!L:M,2,0)</f>
        <v>W25_2024</v>
      </c>
      <c r="T503" s="589" t="str">
        <f t="shared" ca="1" si="35"/>
        <v>Not Due</v>
      </c>
      <c r="W503" s="591"/>
    </row>
    <row r="504" spans="1:23" s="589" customFormat="1" x14ac:dyDescent="0.2">
      <c r="A504" s="589" t="s">
        <v>56</v>
      </c>
      <c r="B504" s="589" t="s">
        <v>800</v>
      </c>
      <c r="C504" s="590" t="s">
        <v>3195</v>
      </c>
      <c r="D504" s="589" t="s">
        <v>100</v>
      </c>
      <c r="E504" s="589" t="s">
        <v>104</v>
      </c>
      <c r="F504" s="589" t="s">
        <v>112</v>
      </c>
      <c r="G504" s="589" t="s">
        <v>51</v>
      </c>
      <c r="H504" s="589" t="s">
        <v>242</v>
      </c>
      <c r="I504" s="589" t="s">
        <v>3370</v>
      </c>
      <c r="J504" s="589" t="s">
        <v>35</v>
      </c>
      <c r="K504" s="591">
        <v>2450.056</v>
      </c>
      <c r="L504" s="592">
        <f>IF(J504="TND",1,IF(J504="EUR",Vertical_Cash_flow!$C$16,IF(J504="USD",Vertical_Cash_flow!$F$16,0)))</f>
        <v>1</v>
      </c>
      <c r="M504" s="593">
        <f t="shared" si="32"/>
        <v>2450.056</v>
      </c>
      <c r="N504" s="589" t="s">
        <v>251</v>
      </c>
      <c r="O504" s="594">
        <v>45412</v>
      </c>
      <c r="P504" s="593">
        <f t="shared" si="33"/>
        <v>-46</v>
      </c>
      <c r="Q504" s="594">
        <v>45458</v>
      </c>
      <c r="R504" s="593">
        <f t="shared" ca="1" si="34"/>
        <v>-17</v>
      </c>
      <c r="S504" s="589" t="str">
        <f>VLOOKUP(Q504,Mapping!L:M,2,0)</f>
        <v>W25_2024</v>
      </c>
      <c r="T504" s="589" t="str">
        <f t="shared" ca="1" si="35"/>
        <v>Not Due</v>
      </c>
      <c r="W504" s="591"/>
    </row>
    <row r="505" spans="1:23" s="589" customFormat="1" x14ac:dyDescent="0.2">
      <c r="A505" s="589" t="s">
        <v>56</v>
      </c>
      <c r="B505" s="589" t="s">
        <v>285</v>
      </c>
      <c r="C505" s="590" t="s">
        <v>1725</v>
      </c>
      <c r="D505" s="589" t="s">
        <v>100</v>
      </c>
      <c r="E505" s="589" t="s">
        <v>104</v>
      </c>
      <c r="F505" s="589" t="s">
        <v>112</v>
      </c>
      <c r="G505" s="589" t="s">
        <v>51</v>
      </c>
      <c r="H505" s="589" t="s">
        <v>242</v>
      </c>
      <c r="I505" s="589" t="s">
        <v>2109</v>
      </c>
      <c r="J505" s="589" t="s">
        <v>35</v>
      </c>
      <c r="K505" s="591">
        <v>1237.2719999999999</v>
      </c>
      <c r="L505" s="592">
        <f>IF(J505="TND",1,IF(J505="EUR",Vertical_Cash_flow!$C$16,IF(J505="USD",Vertical_Cash_flow!$F$16,0)))</f>
        <v>1</v>
      </c>
      <c r="M505" s="593">
        <f t="shared" si="32"/>
        <v>1237.2719999999999</v>
      </c>
      <c r="N505" s="589" t="s">
        <v>251</v>
      </c>
      <c r="O505" s="594">
        <v>45351</v>
      </c>
      <c r="P505" s="593">
        <f t="shared" si="33"/>
        <v>-107</v>
      </c>
      <c r="Q505" s="594">
        <v>45458</v>
      </c>
      <c r="R505" s="593">
        <f t="shared" ca="1" si="34"/>
        <v>-17</v>
      </c>
      <c r="S505" s="589" t="str">
        <f>VLOOKUP(Q505,Mapping!L:M,2,0)</f>
        <v>W25_2024</v>
      </c>
      <c r="T505" s="589" t="str">
        <f t="shared" ca="1" si="35"/>
        <v>Not Due</v>
      </c>
      <c r="W505" s="591"/>
    </row>
    <row r="506" spans="1:23" s="589" customFormat="1" x14ac:dyDescent="0.2">
      <c r="A506" s="589" t="s">
        <v>56</v>
      </c>
      <c r="B506" s="589" t="s">
        <v>809</v>
      </c>
      <c r="C506" s="590" t="s">
        <v>1287</v>
      </c>
      <c r="D506" s="589" t="s">
        <v>100</v>
      </c>
      <c r="E506" s="589" t="s">
        <v>104</v>
      </c>
      <c r="F506" s="589" t="s">
        <v>112</v>
      </c>
      <c r="G506" s="589" t="s">
        <v>51</v>
      </c>
      <c r="H506" s="589" t="s">
        <v>242</v>
      </c>
      <c r="I506" s="589" t="s">
        <v>1396</v>
      </c>
      <c r="J506" s="589" t="s">
        <v>35</v>
      </c>
      <c r="K506" s="591">
        <v>3553.0309999999999</v>
      </c>
      <c r="L506" s="592">
        <f>IF(J506="TND",1,IF(J506="EUR",Vertical_Cash_flow!$C$16,IF(J506="USD",Vertical_Cash_flow!$F$16,0)))</f>
        <v>1</v>
      </c>
      <c r="M506" s="593">
        <f t="shared" si="32"/>
        <v>3553.0309999999999</v>
      </c>
      <c r="N506" s="589" t="s">
        <v>251</v>
      </c>
      <c r="O506" s="594">
        <v>45345</v>
      </c>
      <c r="P506" s="593">
        <f t="shared" si="33"/>
        <v>-113</v>
      </c>
      <c r="Q506" s="594">
        <v>45458</v>
      </c>
      <c r="R506" s="593">
        <f t="shared" ca="1" si="34"/>
        <v>-17</v>
      </c>
      <c r="S506" s="589" t="str">
        <f>VLOOKUP(Q506,Mapping!L:M,2,0)</f>
        <v>W25_2024</v>
      </c>
      <c r="T506" s="589" t="str">
        <f t="shared" ca="1" si="35"/>
        <v>Not Due</v>
      </c>
      <c r="W506" s="591"/>
    </row>
    <row r="507" spans="1:23" s="589" customFormat="1" x14ac:dyDescent="0.2">
      <c r="A507" s="589" t="s">
        <v>56</v>
      </c>
      <c r="B507" s="589" t="s">
        <v>353</v>
      </c>
      <c r="C507" s="590" t="s">
        <v>1289</v>
      </c>
      <c r="D507" s="589" t="s">
        <v>100</v>
      </c>
      <c r="E507" s="589" t="s">
        <v>104</v>
      </c>
      <c r="F507" s="589" t="s">
        <v>112</v>
      </c>
      <c r="G507" s="589" t="s">
        <v>51</v>
      </c>
      <c r="H507" s="589" t="s">
        <v>242</v>
      </c>
      <c r="I507" s="589" t="s">
        <v>1397</v>
      </c>
      <c r="J507" s="589" t="s">
        <v>35</v>
      </c>
      <c r="K507" s="591">
        <v>693.43799999999999</v>
      </c>
      <c r="L507" s="592">
        <f>IF(J507="TND",1,IF(J507="EUR",Vertical_Cash_flow!$C$16,IF(J507="USD",Vertical_Cash_flow!$F$16,0)))</f>
        <v>1</v>
      </c>
      <c r="M507" s="593">
        <f t="shared" si="32"/>
        <v>693.43799999999999</v>
      </c>
      <c r="N507" s="589" t="s">
        <v>251</v>
      </c>
      <c r="O507" s="594">
        <v>45345</v>
      </c>
      <c r="P507" s="593">
        <f t="shared" si="33"/>
        <v>-113</v>
      </c>
      <c r="Q507" s="594">
        <v>45458</v>
      </c>
      <c r="R507" s="593">
        <f t="shared" ca="1" si="34"/>
        <v>-17</v>
      </c>
      <c r="S507" s="589" t="str">
        <f>VLOOKUP(Q507,Mapping!L:M,2,0)</f>
        <v>W25_2024</v>
      </c>
      <c r="T507" s="589" t="str">
        <f t="shared" ca="1" si="35"/>
        <v>Not Due</v>
      </c>
      <c r="W507" s="591"/>
    </row>
    <row r="508" spans="1:23" s="589" customFormat="1" x14ac:dyDescent="0.2">
      <c r="A508" s="589" t="s">
        <v>56</v>
      </c>
      <c r="B508" s="589" t="s">
        <v>302</v>
      </c>
      <c r="C508" s="590" t="s">
        <v>1726</v>
      </c>
      <c r="D508" s="589" t="s">
        <v>100</v>
      </c>
      <c r="E508" s="589" t="s">
        <v>104</v>
      </c>
      <c r="F508" s="589" t="s">
        <v>112</v>
      </c>
      <c r="G508" s="589" t="s">
        <v>51</v>
      </c>
      <c r="H508" s="589" t="s">
        <v>242</v>
      </c>
      <c r="I508" s="589" t="s">
        <v>2110</v>
      </c>
      <c r="J508" s="589" t="s">
        <v>35</v>
      </c>
      <c r="K508" s="591">
        <v>3966.0720000000001</v>
      </c>
      <c r="L508" s="592">
        <f>IF(J508="TND",1,IF(J508="EUR",Vertical_Cash_flow!$C$16,IF(J508="USD",Vertical_Cash_flow!$F$16,0)))</f>
        <v>1</v>
      </c>
      <c r="M508" s="593">
        <f t="shared" si="32"/>
        <v>3966.0720000000001</v>
      </c>
      <c r="N508" s="589" t="s">
        <v>251</v>
      </c>
      <c r="O508" s="594">
        <v>45367</v>
      </c>
      <c r="P508" s="593">
        <f t="shared" si="33"/>
        <v>-91</v>
      </c>
      <c r="Q508" s="594">
        <v>45458</v>
      </c>
      <c r="R508" s="593">
        <f t="shared" ca="1" si="34"/>
        <v>-17</v>
      </c>
      <c r="S508" s="589" t="str">
        <f>VLOOKUP(Q508,Mapping!L:M,2,0)</f>
        <v>W25_2024</v>
      </c>
      <c r="T508" s="589" t="str">
        <f t="shared" ca="1" si="35"/>
        <v>Not Due</v>
      </c>
      <c r="W508" s="591"/>
    </row>
    <row r="509" spans="1:23" s="589" customFormat="1" x14ac:dyDescent="0.2">
      <c r="A509" s="589" t="s">
        <v>56</v>
      </c>
      <c r="B509" s="589" t="s">
        <v>517</v>
      </c>
      <c r="C509" s="590" t="s">
        <v>2565</v>
      </c>
      <c r="D509" s="589" t="s">
        <v>100</v>
      </c>
      <c r="E509" s="589" t="s">
        <v>104</v>
      </c>
      <c r="F509" s="589" t="s">
        <v>112</v>
      </c>
      <c r="G509" s="589" t="s">
        <v>51</v>
      </c>
      <c r="H509" s="589" t="s">
        <v>242</v>
      </c>
      <c r="I509" s="589" t="s">
        <v>2882</v>
      </c>
      <c r="J509" s="589" t="s">
        <v>35</v>
      </c>
      <c r="K509" s="591">
        <v>3696.0390000000002</v>
      </c>
      <c r="L509" s="592">
        <f>IF(J509="TND",1,IF(J509="EUR",Vertical_Cash_flow!$C$16,IF(J509="USD",Vertical_Cash_flow!$F$16,0)))</f>
        <v>1</v>
      </c>
      <c r="M509" s="593">
        <f t="shared" si="32"/>
        <v>3696.0390000000002</v>
      </c>
      <c r="N509" s="589" t="s">
        <v>251</v>
      </c>
      <c r="O509" s="594">
        <v>45408</v>
      </c>
      <c r="P509" s="593">
        <f t="shared" si="33"/>
        <v>-50</v>
      </c>
      <c r="Q509" s="594">
        <v>45458</v>
      </c>
      <c r="R509" s="593">
        <f t="shared" ca="1" si="34"/>
        <v>-17</v>
      </c>
      <c r="S509" s="589" t="str">
        <f>VLOOKUP(Q509,Mapping!L:M,2,0)</f>
        <v>W25_2024</v>
      </c>
      <c r="T509" s="589" t="str">
        <f t="shared" ca="1" si="35"/>
        <v>Not Due</v>
      </c>
      <c r="W509" s="591"/>
    </row>
    <row r="510" spans="1:23" s="589" customFormat="1" x14ac:dyDescent="0.2">
      <c r="A510" s="589" t="s">
        <v>56</v>
      </c>
      <c r="B510" s="589" t="s">
        <v>538</v>
      </c>
      <c r="C510" s="590" t="s">
        <v>1063</v>
      </c>
      <c r="D510" s="589" t="s">
        <v>100</v>
      </c>
      <c r="E510" s="589" t="s">
        <v>104</v>
      </c>
      <c r="F510" s="589" t="s">
        <v>112</v>
      </c>
      <c r="G510" s="589" t="s">
        <v>51</v>
      </c>
      <c r="H510" s="589" t="s">
        <v>242</v>
      </c>
      <c r="I510" s="589" t="s">
        <v>1138</v>
      </c>
      <c r="J510" s="589" t="s">
        <v>35</v>
      </c>
      <c r="K510" s="591">
        <v>21745.906999999999</v>
      </c>
      <c r="L510" s="592">
        <f>IF(J510="TND",1,IF(J510="EUR",Vertical_Cash_flow!$C$16,IF(J510="USD",Vertical_Cash_flow!$F$16,0)))</f>
        <v>1</v>
      </c>
      <c r="M510" s="593">
        <f t="shared" si="32"/>
        <v>21745.906999999999</v>
      </c>
      <c r="N510" s="589" t="s">
        <v>251</v>
      </c>
      <c r="O510" s="594">
        <v>45322</v>
      </c>
      <c r="P510" s="593">
        <f t="shared" si="33"/>
        <v>-136</v>
      </c>
      <c r="Q510" s="594">
        <v>45458</v>
      </c>
      <c r="R510" s="593">
        <f t="shared" ca="1" si="34"/>
        <v>-17</v>
      </c>
      <c r="S510" s="589" t="str">
        <f>VLOOKUP(Q510,Mapping!L:M,2,0)</f>
        <v>W25_2024</v>
      </c>
      <c r="T510" s="589" t="str">
        <f t="shared" ca="1" si="35"/>
        <v>Not Due</v>
      </c>
      <c r="W510" s="591"/>
    </row>
    <row r="511" spans="1:23" s="589" customFormat="1" x14ac:dyDescent="0.2">
      <c r="A511" s="589" t="s">
        <v>56</v>
      </c>
      <c r="B511" s="589" t="s">
        <v>760</v>
      </c>
      <c r="C511" s="590" t="s">
        <v>1288</v>
      </c>
      <c r="D511" s="589" t="s">
        <v>100</v>
      </c>
      <c r="E511" s="589" t="s">
        <v>104</v>
      </c>
      <c r="F511" s="589" t="s">
        <v>112</v>
      </c>
      <c r="G511" s="589" t="s">
        <v>51</v>
      </c>
      <c r="H511" s="589" t="s">
        <v>242</v>
      </c>
      <c r="I511" s="589" t="s">
        <v>1004</v>
      </c>
      <c r="J511" s="589" t="s">
        <v>35</v>
      </c>
      <c r="K511" s="591">
        <v>5500</v>
      </c>
      <c r="L511" s="592">
        <f>IF(J511="TND",1,IF(J511="EUR",Vertical_Cash_flow!$C$16,IF(J511="USD",Vertical_Cash_flow!$F$16,0)))</f>
        <v>1</v>
      </c>
      <c r="M511" s="593">
        <f t="shared" si="32"/>
        <v>5500</v>
      </c>
      <c r="N511" s="589" t="s">
        <v>251</v>
      </c>
      <c r="O511" s="594">
        <v>45334</v>
      </c>
      <c r="P511" s="593">
        <f t="shared" si="33"/>
        <v>-124</v>
      </c>
      <c r="Q511" s="594">
        <v>45458</v>
      </c>
      <c r="R511" s="593">
        <f t="shared" ca="1" si="34"/>
        <v>-17</v>
      </c>
      <c r="S511" s="589" t="str">
        <f>VLOOKUP(Q511,Mapping!L:M,2,0)</f>
        <v>W25_2024</v>
      </c>
      <c r="T511" s="589" t="str">
        <f t="shared" ca="1" si="35"/>
        <v>Not Due</v>
      </c>
      <c r="W511" s="591"/>
    </row>
    <row r="512" spans="1:23" s="589" customFormat="1" x14ac:dyDescent="0.2">
      <c r="A512" s="589" t="s">
        <v>56</v>
      </c>
      <c r="B512" s="589" t="s">
        <v>562</v>
      </c>
      <c r="C512" s="590" t="s">
        <v>2566</v>
      </c>
      <c r="D512" s="589" t="s">
        <v>100</v>
      </c>
      <c r="E512" s="589" t="s">
        <v>104</v>
      </c>
      <c r="F512" s="589" t="s">
        <v>112</v>
      </c>
      <c r="G512" s="589" t="s">
        <v>51</v>
      </c>
      <c r="H512" s="589" t="s">
        <v>242</v>
      </c>
      <c r="I512" s="589" t="s">
        <v>2883</v>
      </c>
      <c r="J512" s="589" t="s">
        <v>35</v>
      </c>
      <c r="K512" s="591">
        <v>1710.6590000000001</v>
      </c>
      <c r="L512" s="592">
        <f>IF(J512="TND",1,IF(J512="EUR",Vertical_Cash_flow!$C$16,IF(J512="USD",Vertical_Cash_flow!$F$16,0)))</f>
        <v>1</v>
      </c>
      <c r="M512" s="593">
        <f t="shared" si="32"/>
        <v>1710.6590000000001</v>
      </c>
      <c r="N512" s="589" t="s">
        <v>251</v>
      </c>
      <c r="O512" s="594">
        <v>45407</v>
      </c>
      <c r="P512" s="593">
        <f t="shared" si="33"/>
        <v>-51</v>
      </c>
      <c r="Q512" s="594">
        <v>45458</v>
      </c>
      <c r="R512" s="593">
        <f t="shared" ca="1" si="34"/>
        <v>-17</v>
      </c>
      <c r="S512" s="589" t="str">
        <f>VLOOKUP(Q512,Mapping!L:M,2,0)</f>
        <v>W25_2024</v>
      </c>
      <c r="T512" s="589" t="str">
        <f t="shared" ca="1" si="35"/>
        <v>Not Due</v>
      </c>
      <c r="W512" s="591"/>
    </row>
    <row r="513" spans="1:23" s="589" customFormat="1" x14ac:dyDescent="0.2">
      <c r="A513" s="589" t="s">
        <v>56</v>
      </c>
      <c r="B513" s="589" t="s">
        <v>760</v>
      </c>
      <c r="C513" s="590" t="s">
        <v>1064</v>
      </c>
      <c r="D513" s="589" t="s">
        <v>100</v>
      </c>
      <c r="E513" s="589" t="s">
        <v>104</v>
      </c>
      <c r="F513" s="589" t="s">
        <v>112</v>
      </c>
      <c r="G513" s="589" t="s">
        <v>51</v>
      </c>
      <c r="H513" s="589" t="s">
        <v>242</v>
      </c>
      <c r="I513" s="589" t="s">
        <v>1139</v>
      </c>
      <c r="J513" s="589" t="s">
        <v>35</v>
      </c>
      <c r="K513" s="591">
        <v>5267.9350000000004</v>
      </c>
      <c r="L513" s="592">
        <f>IF(J513="TND",1,IF(J513="EUR",Vertical_Cash_flow!$C$16,IF(J513="USD",Vertical_Cash_flow!$F$16,0)))</f>
        <v>1</v>
      </c>
      <c r="M513" s="593">
        <f t="shared" si="32"/>
        <v>5267.9350000000004</v>
      </c>
      <c r="N513" s="589" t="s">
        <v>251</v>
      </c>
      <c r="O513" s="594">
        <v>45315</v>
      </c>
      <c r="P513" s="593">
        <f t="shared" si="33"/>
        <v>-143</v>
      </c>
      <c r="Q513" s="594">
        <v>45458</v>
      </c>
      <c r="R513" s="593">
        <f t="shared" ca="1" si="34"/>
        <v>-17</v>
      </c>
      <c r="S513" s="589" t="str">
        <f>VLOOKUP(Q513,Mapping!L:M,2,0)</f>
        <v>W25_2024</v>
      </c>
      <c r="T513" s="589" t="str">
        <f t="shared" ca="1" si="35"/>
        <v>Not Due</v>
      </c>
      <c r="W513" s="591"/>
    </row>
    <row r="514" spans="1:23" s="589" customFormat="1" x14ac:dyDescent="0.2">
      <c r="A514" s="589" t="s">
        <v>56</v>
      </c>
      <c r="B514" s="589" t="s">
        <v>299</v>
      </c>
      <c r="C514" s="590" t="s">
        <v>1724</v>
      </c>
      <c r="D514" s="589" t="s">
        <v>100</v>
      </c>
      <c r="E514" s="589" t="s">
        <v>104</v>
      </c>
      <c r="F514" s="589" t="s">
        <v>112</v>
      </c>
      <c r="G514" s="589" t="s">
        <v>51</v>
      </c>
      <c r="H514" s="589" t="s">
        <v>242</v>
      </c>
      <c r="I514" s="589" t="s">
        <v>2035</v>
      </c>
      <c r="J514" s="589" t="s">
        <v>35</v>
      </c>
      <c r="K514" s="591">
        <v>1100</v>
      </c>
      <c r="L514" s="592">
        <f>IF(J514="TND",1,IF(J514="EUR",Vertical_Cash_flow!$C$16,IF(J514="USD",Vertical_Cash_flow!$F$16,0)))</f>
        <v>1</v>
      </c>
      <c r="M514" s="593">
        <f t="shared" si="32"/>
        <v>1100</v>
      </c>
      <c r="N514" s="589" t="s">
        <v>251</v>
      </c>
      <c r="O514" s="594">
        <v>45380</v>
      </c>
      <c r="P514" s="593">
        <f t="shared" si="33"/>
        <v>-78</v>
      </c>
      <c r="Q514" s="594">
        <v>45458</v>
      </c>
      <c r="R514" s="593">
        <f t="shared" ca="1" si="34"/>
        <v>-17</v>
      </c>
      <c r="S514" s="589" t="str">
        <f>VLOOKUP(Q514,Mapping!L:M,2,0)</f>
        <v>W25_2024</v>
      </c>
      <c r="T514" s="589" t="str">
        <f t="shared" ca="1" si="35"/>
        <v>Not Due</v>
      </c>
      <c r="W514" s="591"/>
    </row>
    <row r="515" spans="1:23" s="589" customFormat="1" x14ac:dyDescent="0.2">
      <c r="A515" s="589" t="s">
        <v>56</v>
      </c>
      <c r="B515" s="589" t="s">
        <v>293</v>
      </c>
      <c r="C515" s="590" t="s">
        <v>2567</v>
      </c>
      <c r="D515" s="589" t="s">
        <v>100</v>
      </c>
      <c r="E515" s="589" t="s">
        <v>104</v>
      </c>
      <c r="F515" s="589" t="s">
        <v>112</v>
      </c>
      <c r="G515" s="589" t="s">
        <v>51</v>
      </c>
      <c r="H515" s="589" t="s">
        <v>242</v>
      </c>
      <c r="I515" s="589" t="s">
        <v>2845</v>
      </c>
      <c r="J515" s="589" t="s">
        <v>35</v>
      </c>
      <c r="K515" s="591">
        <v>50000</v>
      </c>
      <c r="L515" s="592">
        <f>IF(J515="TND",1,IF(J515="EUR",Vertical_Cash_flow!$C$16,IF(J515="USD",Vertical_Cash_flow!$F$16,0)))</f>
        <v>1</v>
      </c>
      <c r="M515" s="593">
        <f t="shared" si="32"/>
        <v>50000</v>
      </c>
      <c r="N515" s="589" t="s">
        <v>251</v>
      </c>
      <c r="O515" s="594">
        <v>45398</v>
      </c>
      <c r="P515" s="593">
        <f t="shared" si="33"/>
        <v>-60</v>
      </c>
      <c r="Q515" s="594">
        <v>45458</v>
      </c>
      <c r="R515" s="593">
        <f t="shared" ca="1" si="34"/>
        <v>-17</v>
      </c>
      <c r="S515" s="589" t="str">
        <f>VLOOKUP(Q515,Mapping!L:M,2,0)</f>
        <v>W25_2024</v>
      </c>
      <c r="T515" s="589" t="str">
        <f t="shared" ca="1" si="35"/>
        <v>Not Due</v>
      </c>
      <c r="W515" s="591"/>
    </row>
    <row r="516" spans="1:23" s="589" customFormat="1" x14ac:dyDescent="0.2">
      <c r="A516" s="589" t="s">
        <v>56</v>
      </c>
      <c r="B516" s="589" t="s">
        <v>360</v>
      </c>
      <c r="C516" s="590" t="s">
        <v>1723</v>
      </c>
      <c r="D516" s="589" t="s">
        <v>100</v>
      </c>
      <c r="E516" s="589" t="s">
        <v>104</v>
      </c>
      <c r="F516" s="589" t="s">
        <v>112</v>
      </c>
      <c r="G516" s="589" t="s">
        <v>51</v>
      </c>
      <c r="H516" s="589" t="s">
        <v>242</v>
      </c>
      <c r="I516" s="589" t="s">
        <v>2108</v>
      </c>
      <c r="J516" s="589" t="s">
        <v>35</v>
      </c>
      <c r="K516" s="591">
        <v>2353.674</v>
      </c>
      <c r="L516" s="592">
        <f>IF(J516="TND",1,IF(J516="EUR",Vertical_Cash_flow!$C$16,IF(J516="USD",Vertical_Cash_flow!$F$16,0)))</f>
        <v>1</v>
      </c>
      <c r="M516" s="593">
        <f t="shared" si="32"/>
        <v>2353.674</v>
      </c>
      <c r="N516" s="589" t="s">
        <v>251</v>
      </c>
      <c r="O516" s="594">
        <v>45349</v>
      </c>
      <c r="P516" s="593">
        <f t="shared" si="33"/>
        <v>-109</v>
      </c>
      <c r="Q516" s="594">
        <v>45458</v>
      </c>
      <c r="R516" s="593">
        <f t="shared" ca="1" si="34"/>
        <v>-17</v>
      </c>
      <c r="S516" s="589" t="str">
        <f>VLOOKUP(Q516,Mapping!L:M,2,0)</f>
        <v>W25_2024</v>
      </c>
      <c r="T516" s="589" t="str">
        <f t="shared" ca="1" si="35"/>
        <v>Not Due</v>
      </c>
      <c r="W516" s="591"/>
    </row>
    <row r="517" spans="1:23" s="589" customFormat="1" x14ac:dyDescent="0.2">
      <c r="A517" s="589" t="s">
        <v>56</v>
      </c>
      <c r="B517" s="589" t="s">
        <v>403</v>
      </c>
      <c r="C517" s="590" t="s">
        <v>2562</v>
      </c>
      <c r="D517" s="589" t="s">
        <v>100</v>
      </c>
      <c r="E517" s="589" t="s">
        <v>104</v>
      </c>
      <c r="F517" s="589" t="s">
        <v>112</v>
      </c>
      <c r="G517" s="589" t="s">
        <v>51</v>
      </c>
      <c r="H517" s="589" t="s">
        <v>242</v>
      </c>
      <c r="I517" s="589" t="s">
        <v>2879</v>
      </c>
      <c r="J517" s="589" t="s">
        <v>35</v>
      </c>
      <c r="K517" s="591">
        <v>3071.2689999999998</v>
      </c>
      <c r="L517" s="592">
        <f>IF(J517="TND",1,IF(J517="EUR",Vertical_Cash_flow!$C$16,IF(J517="USD",Vertical_Cash_flow!$F$16,0)))</f>
        <v>1</v>
      </c>
      <c r="M517" s="593">
        <f t="shared" si="32"/>
        <v>3071.2689999999998</v>
      </c>
      <c r="N517" s="589" t="s">
        <v>251</v>
      </c>
      <c r="O517" s="594">
        <v>45401</v>
      </c>
      <c r="P517" s="593">
        <f t="shared" si="33"/>
        <v>-57</v>
      </c>
      <c r="Q517" s="594">
        <v>45458</v>
      </c>
      <c r="R517" s="593">
        <f t="shared" ca="1" si="34"/>
        <v>-17</v>
      </c>
      <c r="S517" s="589" t="str">
        <f>VLOOKUP(Q517,Mapping!L:M,2,0)</f>
        <v>W25_2024</v>
      </c>
      <c r="T517" s="589" t="str">
        <f t="shared" ca="1" si="35"/>
        <v>Not Due</v>
      </c>
      <c r="W517" s="591"/>
    </row>
    <row r="518" spans="1:23" s="589" customFormat="1" x14ac:dyDescent="0.2">
      <c r="A518" s="589" t="s">
        <v>56</v>
      </c>
      <c r="B518" s="589" t="s">
        <v>793</v>
      </c>
      <c r="C518" s="590" t="s">
        <v>2564</v>
      </c>
      <c r="D518" s="589" t="s">
        <v>100</v>
      </c>
      <c r="E518" s="589" t="s">
        <v>104</v>
      </c>
      <c r="F518" s="589" t="s">
        <v>112</v>
      </c>
      <c r="G518" s="589" t="s">
        <v>51</v>
      </c>
      <c r="H518" s="589" t="s">
        <v>242</v>
      </c>
      <c r="I518" s="589" t="s">
        <v>2881</v>
      </c>
      <c r="J518" s="589" t="s">
        <v>35</v>
      </c>
      <c r="K518" s="591">
        <v>2543.2429999999999</v>
      </c>
      <c r="L518" s="592">
        <f>IF(J518="TND",1,IF(J518="EUR",Vertical_Cash_flow!$C$16,IF(J518="USD",Vertical_Cash_flow!$F$16,0)))</f>
        <v>1</v>
      </c>
      <c r="M518" s="593">
        <f t="shared" si="32"/>
        <v>2543.2429999999999</v>
      </c>
      <c r="N518" s="589" t="s">
        <v>251</v>
      </c>
      <c r="O518" s="594">
        <v>45400</v>
      </c>
      <c r="P518" s="593">
        <f t="shared" si="33"/>
        <v>-58</v>
      </c>
      <c r="Q518" s="594">
        <v>45458</v>
      </c>
      <c r="R518" s="593">
        <f t="shared" ca="1" si="34"/>
        <v>-17</v>
      </c>
      <c r="S518" s="589" t="str">
        <f>VLOOKUP(Q518,Mapping!L:M,2,0)</f>
        <v>W25_2024</v>
      </c>
      <c r="T518" s="589" t="str">
        <f t="shared" ca="1" si="35"/>
        <v>Not Due</v>
      </c>
      <c r="W518" s="591"/>
    </row>
    <row r="519" spans="1:23" s="589" customFormat="1" x14ac:dyDescent="0.2">
      <c r="A519" s="589" t="s">
        <v>56</v>
      </c>
      <c r="B519" s="589" t="s">
        <v>523</v>
      </c>
      <c r="C519" s="590" t="s">
        <v>3193</v>
      </c>
      <c r="D519" s="589" t="s">
        <v>100</v>
      </c>
      <c r="E519" s="589" t="s">
        <v>104</v>
      </c>
      <c r="F519" s="589" t="s">
        <v>112</v>
      </c>
      <c r="G519" s="589" t="s">
        <v>51</v>
      </c>
      <c r="H519" s="589" t="s">
        <v>242</v>
      </c>
      <c r="I519" s="589" t="s">
        <v>3368</v>
      </c>
      <c r="J519" s="589" t="s">
        <v>35</v>
      </c>
      <c r="K519" s="591">
        <v>1257</v>
      </c>
      <c r="L519" s="592">
        <f>IF(J519="TND",1,IF(J519="EUR",Vertical_Cash_flow!$C$16,IF(J519="USD",Vertical_Cash_flow!$F$16,0)))</f>
        <v>1</v>
      </c>
      <c r="M519" s="593">
        <f t="shared" si="32"/>
        <v>1257</v>
      </c>
      <c r="N519" s="589" t="s">
        <v>251</v>
      </c>
      <c r="O519" s="594">
        <v>45415</v>
      </c>
      <c r="P519" s="593">
        <f t="shared" si="33"/>
        <v>-43</v>
      </c>
      <c r="Q519" s="594">
        <v>45458</v>
      </c>
      <c r="R519" s="593">
        <f t="shared" ca="1" si="34"/>
        <v>-17</v>
      </c>
      <c r="S519" s="589" t="str">
        <f>VLOOKUP(Q519,Mapping!L:M,2,0)</f>
        <v>W25_2024</v>
      </c>
      <c r="T519" s="589" t="str">
        <f t="shared" ca="1" si="35"/>
        <v>Not Due</v>
      </c>
      <c r="W519" s="591"/>
    </row>
    <row r="520" spans="1:23" s="589" customFormat="1" x14ac:dyDescent="0.2">
      <c r="A520" s="589" t="s">
        <v>56</v>
      </c>
      <c r="B520" s="589" t="s">
        <v>493</v>
      </c>
      <c r="C520" s="590" t="s">
        <v>1719</v>
      </c>
      <c r="D520" s="589" t="s">
        <v>100</v>
      </c>
      <c r="E520" s="589" t="s">
        <v>104</v>
      </c>
      <c r="F520" s="589" t="s">
        <v>112</v>
      </c>
      <c r="G520" s="589" t="s">
        <v>51</v>
      </c>
      <c r="H520" s="589" t="s">
        <v>242</v>
      </c>
      <c r="I520" s="589" t="s">
        <v>2104</v>
      </c>
      <c r="J520" s="589" t="s">
        <v>35</v>
      </c>
      <c r="K520" s="591">
        <v>4838.21</v>
      </c>
      <c r="L520" s="592">
        <f>IF(J520="TND",1,IF(J520="EUR",Vertical_Cash_flow!$C$16,IF(J520="USD",Vertical_Cash_flow!$F$16,0)))</f>
        <v>1</v>
      </c>
      <c r="M520" s="593">
        <f t="shared" si="32"/>
        <v>4838.21</v>
      </c>
      <c r="N520" s="589" t="s">
        <v>251</v>
      </c>
      <c r="O520" s="594">
        <v>45380</v>
      </c>
      <c r="P520" s="593">
        <f t="shared" si="33"/>
        <v>-78</v>
      </c>
      <c r="Q520" s="594">
        <v>45458</v>
      </c>
      <c r="R520" s="593">
        <f t="shared" ca="1" si="34"/>
        <v>-17</v>
      </c>
      <c r="S520" s="589" t="str">
        <f>VLOOKUP(Q520,Mapping!L:M,2,0)</f>
        <v>W25_2024</v>
      </c>
      <c r="T520" s="589" t="str">
        <f t="shared" ca="1" si="35"/>
        <v>Not Due</v>
      </c>
      <c r="W520" s="591"/>
    </row>
    <row r="521" spans="1:23" s="589" customFormat="1" x14ac:dyDescent="0.2">
      <c r="A521" s="589" t="s">
        <v>56</v>
      </c>
      <c r="B521" s="589" t="s">
        <v>351</v>
      </c>
      <c r="C521" s="590" t="s">
        <v>2563</v>
      </c>
      <c r="D521" s="589" t="s">
        <v>100</v>
      </c>
      <c r="E521" s="589" t="s">
        <v>104</v>
      </c>
      <c r="F521" s="589" t="s">
        <v>112</v>
      </c>
      <c r="G521" s="589" t="s">
        <v>51</v>
      </c>
      <c r="H521" s="589" t="s">
        <v>242</v>
      </c>
      <c r="I521" s="589" t="s">
        <v>2880</v>
      </c>
      <c r="J521" s="589" t="s">
        <v>35</v>
      </c>
      <c r="K521" s="591">
        <v>2115.877</v>
      </c>
      <c r="L521" s="592">
        <f>IF(J521="TND",1,IF(J521="EUR",Vertical_Cash_flow!$C$16,IF(J521="USD",Vertical_Cash_flow!$F$16,0)))</f>
        <v>1</v>
      </c>
      <c r="M521" s="593">
        <f t="shared" si="32"/>
        <v>2115.877</v>
      </c>
      <c r="N521" s="589" t="s">
        <v>251</v>
      </c>
      <c r="O521" s="594">
        <v>45401</v>
      </c>
      <c r="P521" s="593">
        <f t="shared" si="33"/>
        <v>-57</v>
      </c>
      <c r="Q521" s="594">
        <v>45458</v>
      </c>
      <c r="R521" s="593">
        <f t="shared" ca="1" si="34"/>
        <v>-17</v>
      </c>
      <c r="S521" s="589" t="str">
        <f>VLOOKUP(Q521,Mapping!L:M,2,0)</f>
        <v>W25_2024</v>
      </c>
      <c r="T521" s="589" t="str">
        <f t="shared" ca="1" si="35"/>
        <v>Not Due</v>
      </c>
      <c r="W521" s="591"/>
    </row>
    <row r="522" spans="1:23" s="589" customFormat="1" x14ac:dyDescent="0.2">
      <c r="A522" s="589" t="s">
        <v>56</v>
      </c>
      <c r="B522" s="589" t="s">
        <v>739</v>
      </c>
      <c r="C522" s="590" t="s">
        <v>3192</v>
      </c>
      <c r="D522" s="589" t="s">
        <v>100</v>
      </c>
      <c r="E522" s="589" t="s">
        <v>104</v>
      </c>
      <c r="F522" s="589" t="s">
        <v>112</v>
      </c>
      <c r="G522" s="589" t="s">
        <v>51</v>
      </c>
      <c r="H522" s="589" t="s">
        <v>242</v>
      </c>
      <c r="I522" s="589" t="s">
        <v>3367</v>
      </c>
      <c r="J522" s="589" t="s">
        <v>35</v>
      </c>
      <c r="K522" s="591">
        <v>2171.453</v>
      </c>
      <c r="L522" s="592">
        <f>IF(J522="TND",1,IF(J522="EUR",Vertical_Cash_flow!$C$16,IF(J522="USD",Vertical_Cash_flow!$F$16,0)))</f>
        <v>1</v>
      </c>
      <c r="M522" s="593">
        <f t="shared" si="32"/>
        <v>2171.453</v>
      </c>
      <c r="N522" s="589" t="s">
        <v>251</v>
      </c>
      <c r="O522" s="594">
        <v>45412</v>
      </c>
      <c r="P522" s="593">
        <f t="shared" si="33"/>
        <v>-46</v>
      </c>
      <c r="Q522" s="594">
        <v>45458</v>
      </c>
      <c r="R522" s="593">
        <f t="shared" ca="1" si="34"/>
        <v>-17</v>
      </c>
      <c r="S522" s="589" t="str">
        <f>VLOOKUP(Q522,Mapping!L:M,2,0)</f>
        <v>W25_2024</v>
      </c>
      <c r="T522" s="589" t="str">
        <f t="shared" ca="1" si="35"/>
        <v>Not Due</v>
      </c>
      <c r="W522" s="591"/>
    </row>
    <row r="523" spans="1:23" s="589" customFormat="1" x14ac:dyDescent="0.2">
      <c r="A523" s="589" t="s">
        <v>56</v>
      </c>
      <c r="B523" s="589" t="s">
        <v>2328</v>
      </c>
      <c r="C523" s="590" t="s">
        <v>2560</v>
      </c>
      <c r="D523" s="589" t="s">
        <v>100</v>
      </c>
      <c r="E523" s="589" t="s">
        <v>104</v>
      </c>
      <c r="F523" s="589" t="s">
        <v>112</v>
      </c>
      <c r="G523" s="589" t="s">
        <v>51</v>
      </c>
      <c r="H523" s="589" t="s">
        <v>242</v>
      </c>
      <c r="I523" s="589" t="s">
        <v>2877</v>
      </c>
      <c r="J523" s="589" t="s">
        <v>35</v>
      </c>
      <c r="K523" s="591">
        <v>10674.958000000001</v>
      </c>
      <c r="L523" s="592">
        <f>IF(J523="TND",1,IF(J523="EUR",Vertical_Cash_flow!$C$16,IF(J523="USD",Vertical_Cash_flow!$F$16,0)))</f>
        <v>1</v>
      </c>
      <c r="M523" s="593">
        <f t="shared" si="32"/>
        <v>10674.958000000001</v>
      </c>
      <c r="N523" s="589" t="s">
        <v>251</v>
      </c>
      <c r="O523" s="594">
        <v>45406</v>
      </c>
      <c r="P523" s="593">
        <f t="shared" si="33"/>
        <v>-52</v>
      </c>
      <c r="Q523" s="594">
        <v>45458</v>
      </c>
      <c r="R523" s="593">
        <f t="shared" ca="1" si="34"/>
        <v>-17</v>
      </c>
      <c r="S523" s="589" t="str">
        <f>VLOOKUP(Q523,Mapping!L:M,2,0)</f>
        <v>W25_2024</v>
      </c>
      <c r="T523" s="589" t="str">
        <f t="shared" ca="1" si="35"/>
        <v>Not Due</v>
      </c>
      <c r="W523" s="591"/>
    </row>
    <row r="524" spans="1:23" s="589" customFormat="1" x14ac:dyDescent="0.2">
      <c r="A524" s="589" t="s">
        <v>56</v>
      </c>
      <c r="B524" s="589" t="s">
        <v>848</v>
      </c>
      <c r="C524" s="590" t="s">
        <v>3556</v>
      </c>
      <c r="D524" s="589" t="s">
        <v>100</v>
      </c>
      <c r="E524" s="589" t="s">
        <v>104</v>
      </c>
      <c r="F524" s="589" t="s">
        <v>112</v>
      </c>
      <c r="G524" s="589" t="s">
        <v>51</v>
      </c>
      <c r="H524" s="589" t="s">
        <v>242</v>
      </c>
      <c r="I524" s="589" t="s">
        <v>3682</v>
      </c>
      <c r="J524" s="589" t="s">
        <v>35</v>
      </c>
      <c r="K524" s="591">
        <v>2000</v>
      </c>
      <c r="L524" s="592">
        <f>IF(J524="TND",1,IF(J524="EUR",Vertical_Cash_flow!$C$16,IF(J524="USD",Vertical_Cash_flow!$F$16,0)))</f>
        <v>1</v>
      </c>
      <c r="M524" s="593">
        <f t="shared" si="32"/>
        <v>2000</v>
      </c>
      <c r="N524" s="589" t="s">
        <v>251</v>
      </c>
      <c r="O524" s="594">
        <v>45423</v>
      </c>
      <c r="P524" s="593">
        <f t="shared" si="33"/>
        <v>-35</v>
      </c>
      <c r="Q524" s="594">
        <v>45458</v>
      </c>
      <c r="R524" s="593">
        <f t="shared" ca="1" si="34"/>
        <v>-17</v>
      </c>
      <c r="S524" s="589" t="str">
        <f>VLOOKUP(Q524,Mapping!L:M,2,0)</f>
        <v>W25_2024</v>
      </c>
      <c r="T524" s="589" t="str">
        <f t="shared" ca="1" si="35"/>
        <v>Not Due</v>
      </c>
      <c r="W524" s="591"/>
    </row>
    <row r="525" spans="1:23" s="589" customFormat="1" x14ac:dyDescent="0.2">
      <c r="A525" s="589" t="s">
        <v>56</v>
      </c>
      <c r="B525" s="589" t="s">
        <v>393</v>
      </c>
      <c r="C525" s="590" t="s">
        <v>2558</v>
      </c>
      <c r="D525" s="589" t="s">
        <v>100</v>
      </c>
      <c r="E525" s="589" t="s">
        <v>104</v>
      </c>
      <c r="F525" s="589" t="s">
        <v>112</v>
      </c>
      <c r="G525" s="589" t="s">
        <v>51</v>
      </c>
      <c r="H525" s="589" t="s">
        <v>242</v>
      </c>
      <c r="I525" s="589" t="s">
        <v>2875</v>
      </c>
      <c r="J525" s="589" t="s">
        <v>35</v>
      </c>
      <c r="K525" s="591">
        <v>816.65700000000004</v>
      </c>
      <c r="L525" s="592">
        <f>IF(J525="TND",1,IF(J525="EUR",Vertical_Cash_flow!$C$16,IF(J525="USD",Vertical_Cash_flow!$F$16,0)))</f>
        <v>1</v>
      </c>
      <c r="M525" s="593">
        <f t="shared" si="32"/>
        <v>816.65700000000004</v>
      </c>
      <c r="N525" s="589" t="s">
        <v>251</v>
      </c>
      <c r="O525" s="594">
        <v>45407</v>
      </c>
      <c r="P525" s="593">
        <f t="shared" si="33"/>
        <v>-51</v>
      </c>
      <c r="Q525" s="594">
        <v>45458</v>
      </c>
      <c r="R525" s="593">
        <f t="shared" ca="1" si="34"/>
        <v>-17</v>
      </c>
      <c r="S525" s="589" t="str">
        <f>VLOOKUP(Q525,Mapping!L:M,2,0)</f>
        <v>W25_2024</v>
      </c>
      <c r="T525" s="589" t="str">
        <f t="shared" ca="1" si="35"/>
        <v>Not Due</v>
      </c>
      <c r="W525" s="591"/>
    </row>
    <row r="526" spans="1:23" s="589" customFormat="1" x14ac:dyDescent="0.2">
      <c r="A526" s="589" t="s">
        <v>56</v>
      </c>
      <c r="B526" s="589" t="s">
        <v>519</v>
      </c>
      <c r="C526" s="590" t="s">
        <v>3194</v>
      </c>
      <c r="D526" s="589" t="s">
        <v>100</v>
      </c>
      <c r="E526" s="589" t="s">
        <v>104</v>
      </c>
      <c r="F526" s="589" t="s">
        <v>112</v>
      </c>
      <c r="G526" s="589" t="s">
        <v>51</v>
      </c>
      <c r="H526" s="589" t="s">
        <v>242</v>
      </c>
      <c r="I526" s="589" t="s">
        <v>3369</v>
      </c>
      <c r="J526" s="589" t="s">
        <v>35</v>
      </c>
      <c r="K526" s="591">
        <v>2500</v>
      </c>
      <c r="L526" s="592">
        <f>IF(J526="TND",1,IF(J526="EUR",Vertical_Cash_flow!$C$16,IF(J526="USD",Vertical_Cash_flow!$F$16,0)))</f>
        <v>1</v>
      </c>
      <c r="M526" s="593">
        <f t="shared" si="32"/>
        <v>2500</v>
      </c>
      <c r="N526" s="589" t="s">
        <v>251</v>
      </c>
      <c r="O526" s="594">
        <v>45420</v>
      </c>
      <c r="P526" s="593">
        <f t="shared" si="33"/>
        <v>-38</v>
      </c>
      <c r="Q526" s="594">
        <v>45458</v>
      </c>
      <c r="R526" s="593">
        <f t="shared" ca="1" si="34"/>
        <v>-17</v>
      </c>
      <c r="S526" s="589" t="str">
        <f>VLOOKUP(Q526,Mapping!L:M,2,0)</f>
        <v>W25_2024</v>
      </c>
      <c r="T526" s="589" t="str">
        <f t="shared" ca="1" si="35"/>
        <v>Not Due</v>
      </c>
      <c r="W526" s="591"/>
    </row>
    <row r="527" spans="1:23" s="589" customFormat="1" x14ac:dyDescent="0.2">
      <c r="A527" s="589" t="s">
        <v>56</v>
      </c>
      <c r="B527" s="589" t="s">
        <v>948</v>
      </c>
      <c r="C527" s="590" t="s">
        <v>2561</v>
      </c>
      <c r="D527" s="589" t="s">
        <v>100</v>
      </c>
      <c r="E527" s="589" t="s">
        <v>104</v>
      </c>
      <c r="F527" s="589" t="s">
        <v>112</v>
      </c>
      <c r="G527" s="589" t="s">
        <v>51</v>
      </c>
      <c r="H527" s="589" t="s">
        <v>242</v>
      </c>
      <c r="I527" s="589" t="s">
        <v>2878</v>
      </c>
      <c r="J527" s="589" t="s">
        <v>35</v>
      </c>
      <c r="K527" s="591">
        <v>5000</v>
      </c>
      <c r="L527" s="592">
        <f>IF(J527="TND",1,IF(J527="EUR",Vertical_Cash_flow!$C$16,IF(J527="USD",Vertical_Cash_flow!$F$16,0)))</f>
        <v>1</v>
      </c>
      <c r="M527" s="593">
        <f t="shared" si="32"/>
        <v>5000</v>
      </c>
      <c r="N527" s="589" t="s">
        <v>251</v>
      </c>
      <c r="O527" s="594">
        <v>45402</v>
      </c>
      <c r="P527" s="593">
        <f t="shared" si="33"/>
        <v>-56</v>
      </c>
      <c r="Q527" s="594">
        <v>45458</v>
      </c>
      <c r="R527" s="593">
        <f t="shared" ca="1" si="34"/>
        <v>-17</v>
      </c>
      <c r="S527" s="589" t="str">
        <f>VLOOKUP(Q527,Mapping!L:M,2,0)</f>
        <v>W25_2024</v>
      </c>
      <c r="T527" s="589" t="str">
        <f t="shared" ca="1" si="35"/>
        <v>Not Due</v>
      </c>
      <c r="W527" s="591"/>
    </row>
    <row r="528" spans="1:23" s="589" customFormat="1" x14ac:dyDescent="0.2">
      <c r="A528" s="589" t="s">
        <v>56</v>
      </c>
      <c r="B528" s="589" t="s">
        <v>1499</v>
      </c>
      <c r="C528" s="590" t="s">
        <v>1720</v>
      </c>
      <c r="D528" s="589" t="s">
        <v>100</v>
      </c>
      <c r="E528" s="589" t="s">
        <v>104</v>
      </c>
      <c r="F528" s="589" t="s">
        <v>112</v>
      </c>
      <c r="G528" s="589" t="s">
        <v>51</v>
      </c>
      <c r="H528" s="589" t="s">
        <v>242</v>
      </c>
      <c r="I528" s="589" t="s">
        <v>2105</v>
      </c>
      <c r="J528" s="589" t="s">
        <v>35</v>
      </c>
      <c r="K528" s="591">
        <v>5128.5820000000003</v>
      </c>
      <c r="L528" s="592">
        <f>IF(J528="TND",1,IF(J528="EUR",Vertical_Cash_flow!$C$16,IF(J528="USD",Vertical_Cash_flow!$F$16,0)))</f>
        <v>1</v>
      </c>
      <c r="M528" s="593">
        <f t="shared" si="32"/>
        <v>5128.5820000000003</v>
      </c>
      <c r="N528" s="589" t="s">
        <v>251</v>
      </c>
      <c r="O528" s="594">
        <v>45369</v>
      </c>
      <c r="P528" s="593">
        <f t="shared" si="33"/>
        <v>-89</v>
      </c>
      <c r="Q528" s="594">
        <v>45458</v>
      </c>
      <c r="R528" s="593">
        <f t="shared" ca="1" si="34"/>
        <v>-17</v>
      </c>
      <c r="S528" s="589" t="str">
        <f>VLOOKUP(Q528,Mapping!L:M,2,0)</f>
        <v>W25_2024</v>
      </c>
      <c r="T528" s="589" t="str">
        <f t="shared" ca="1" si="35"/>
        <v>Not Due</v>
      </c>
      <c r="W528" s="591"/>
    </row>
    <row r="529" spans="1:23" s="589" customFormat="1" x14ac:dyDescent="0.2">
      <c r="A529" s="589" t="s">
        <v>56</v>
      </c>
      <c r="B529" s="589" t="s">
        <v>392</v>
      </c>
      <c r="C529" s="590" t="s">
        <v>1062</v>
      </c>
      <c r="D529" s="589" t="s">
        <v>100</v>
      </c>
      <c r="E529" s="589" t="s">
        <v>104</v>
      </c>
      <c r="F529" s="589" t="s">
        <v>112</v>
      </c>
      <c r="G529" s="589" t="s">
        <v>51</v>
      </c>
      <c r="H529" s="589" t="s">
        <v>242</v>
      </c>
      <c r="I529" s="589" t="s">
        <v>1137</v>
      </c>
      <c r="J529" s="589" t="s">
        <v>35</v>
      </c>
      <c r="K529" s="591">
        <v>5633.3440000000001</v>
      </c>
      <c r="L529" s="592">
        <f>IF(J529="TND",1,IF(J529="EUR",Vertical_Cash_flow!$C$16,IF(J529="USD",Vertical_Cash_flow!$F$16,0)))</f>
        <v>1</v>
      </c>
      <c r="M529" s="593">
        <f t="shared" si="32"/>
        <v>5633.3440000000001</v>
      </c>
      <c r="N529" s="589" t="s">
        <v>251</v>
      </c>
      <c r="O529" s="594">
        <v>45317</v>
      </c>
      <c r="P529" s="593">
        <f t="shared" si="33"/>
        <v>-141</v>
      </c>
      <c r="Q529" s="594">
        <v>45458</v>
      </c>
      <c r="R529" s="593">
        <f t="shared" ca="1" si="34"/>
        <v>-17</v>
      </c>
      <c r="S529" s="589" t="str">
        <f>VLOOKUP(Q529,Mapping!L:M,2,0)</f>
        <v>W25_2024</v>
      </c>
      <c r="T529" s="589" t="str">
        <f t="shared" ca="1" si="35"/>
        <v>Not Due</v>
      </c>
      <c r="W529" s="591"/>
    </row>
    <row r="530" spans="1:23" s="589" customFormat="1" x14ac:dyDescent="0.2">
      <c r="A530" s="589" t="s">
        <v>56</v>
      </c>
      <c r="B530" s="589" t="s">
        <v>396</v>
      </c>
      <c r="C530" s="590" t="s">
        <v>1721</v>
      </c>
      <c r="D530" s="589" t="s">
        <v>100</v>
      </c>
      <c r="E530" s="589" t="s">
        <v>104</v>
      </c>
      <c r="F530" s="589" t="s">
        <v>112</v>
      </c>
      <c r="G530" s="589" t="s">
        <v>51</v>
      </c>
      <c r="H530" s="589" t="s">
        <v>242</v>
      </c>
      <c r="I530" s="589" t="s">
        <v>2106</v>
      </c>
      <c r="J530" s="589" t="s">
        <v>35</v>
      </c>
      <c r="K530" s="591">
        <v>790.524</v>
      </c>
      <c r="L530" s="592">
        <f>IF(J530="TND",1,IF(J530="EUR",Vertical_Cash_flow!$C$16,IF(J530="USD",Vertical_Cash_flow!$F$16,0)))</f>
        <v>1</v>
      </c>
      <c r="M530" s="593">
        <f t="shared" si="32"/>
        <v>790.524</v>
      </c>
      <c r="N530" s="589" t="s">
        <v>251</v>
      </c>
      <c r="O530" s="594">
        <v>45350</v>
      </c>
      <c r="P530" s="593">
        <f t="shared" si="33"/>
        <v>-108</v>
      </c>
      <c r="Q530" s="594">
        <v>45458</v>
      </c>
      <c r="R530" s="593">
        <f t="shared" ca="1" si="34"/>
        <v>-17</v>
      </c>
      <c r="S530" s="589" t="str">
        <f>VLOOKUP(Q530,Mapping!L:M,2,0)</f>
        <v>W25_2024</v>
      </c>
      <c r="T530" s="589" t="str">
        <f t="shared" ca="1" si="35"/>
        <v>Not Due</v>
      </c>
      <c r="W530" s="591"/>
    </row>
    <row r="531" spans="1:23" s="589" customFormat="1" x14ac:dyDescent="0.2">
      <c r="A531" s="589" t="s">
        <v>56</v>
      </c>
      <c r="B531" s="589" t="s">
        <v>395</v>
      </c>
      <c r="C531" s="590" t="s">
        <v>1718</v>
      </c>
      <c r="D531" s="589" t="s">
        <v>100</v>
      </c>
      <c r="E531" s="589" t="s">
        <v>104</v>
      </c>
      <c r="F531" s="589" t="s">
        <v>112</v>
      </c>
      <c r="G531" s="589" t="s">
        <v>51</v>
      </c>
      <c r="H531" s="589" t="s">
        <v>242</v>
      </c>
      <c r="I531" s="589" t="s">
        <v>2103</v>
      </c>
      <c r="J531" s="589" t="s">
        <v>35</v>
      </c>
      <c r="K531" s="591">
        <v>2771</v>
      </c>
      <c r="L531" s="592">
        <f>IF(J531="TND",1,IF(J531="EUR",Vertical_Cash_flow!$C$16,IF(J531="USD",Vertical_Cash_flow!$F$16,0)))</f>
        <v>1</v>
      </c>
      <c r="M531" s="593">
        <f t="shared" si="32"/>
        <v>2771</v>
      </c>
      <c r="N531" s="589" t="s">
        <v>251</v>
      </c>
      <c r="O531" s="594">
        <v>45359</v>
      </c>
      <c r="P531" s="593">
        <f t="shared" si="33"/>
        <v>-99</v>
      </c>
      <c r="Q531" s="594">
        <v>45458</v>
      </c>
      <c r="R531" s="593">
        <f t="shared" ca="1" si="34"/>
        <v>-17</v>
      </c>
      <c r="S531" s="589" t="str">
        <f>VLOOKUP(Q531,Mapping!L:M,2,0)</f>
        <v>W25_2024</v>
      </c>
      <c r="T531" s="589" t="str">
        <f t="shared" ca="1" si="35"/>
        <v>Not Due</v>
      </c>
      <c r="W531" s="591"/>
    </row>
    <row r="532" spans="1:23" s="589" customFormat="1" x14ac:dyDescent="0.2">
      <c r="A532" s="589" t="s">
        <v>56</v>
      </c>
      <c r="B532" s="589" t="s">
        <v>398</v>
      </c>
      <c r="C532" s="590" t="s">
        <v>1716</v>
      </c>
      <c r="D532" s="589" t="s">
        <v>100</v>
      </c>
      <c r="E532" s="589" t="s">
        <v>104</v>
      </c>
      <c r="F532" s="589" t="s">
        <v>112</v>
      </c>
      <c r="G532" s="589" t="s">
        <v>51</v>
      </c>
      <c r="H532" s="589" t="s">
        <v>242</v>
      </c>
      <c r="I532" s="589" t="s">
        <v>2101</v>
      </c>
      <c r="J532" s="589" t="s">
        <v>35</v>
      </c>
      <c r="K532" s="591">
        <v>3000</v>
      </c>
      <c r="L532" s="592">
        <f>IF(J532="TND",1,IF(J532="EUR",Vertical_Cash_flow!$C$16,IF(J532="USD",Vertical_Cash_flow!$F$16,0)))</f>
        <v>1</v>
      </c>
      <c r="M532" s="593">
        <f t="shared" si="32"/>
        <v>3000</v>
      </c>
      <c r="N532" s="589" t="s">
        <v>251</v>
      </c>
      <c r="O532" s="594">
        <v>45364</v>
      </c>
      <c r="P532" s="593">
        <f t="shared" si="33"/>
        <v>-94</v>
      </c>
      <c r="Q532" s="594">
        <v>45458</v>
      </c>
      <c r="R532" s="593">
        <f t="shared" ca="1" si="34"/>
        <v>-17</v>
      </c>
      <c r="S532" s="589" t="str">
        <f>VLOOKUP(Q532,Mapping!L:M,2,0)</f>
        <v>W25_2024</v>
      </c>
      <c r="T532" s="589" t="str">
        <f t="shared" ca="1" si="35"/>
        <v>Not Due</v>
      </c>
      <c r="W532" s="591"/>
    </row>
    <row r="533" spans="1:23" s="589" customFormat="1" x14ac:dyDescent="0.2">
      <c r="A533" s="589" t="s">
        <v>56</v>
      </c>
      <c r="B533" s="589" t="s">
        <v>601</v>
      </c>
      <c r="C533" s="590" t="s">
        <v>2559</v>
      </c>
      <c r="D533" s="589" t="s">
        <v>100</v>
      </c>
      <c r="E533" s="589" t="s">
        <v>104</v>
      </c>
      <c r="F533" s="589" t="s">
        <v>112</v>
      </c>
      <c r="G533" s="589" t="s">
        <v>51</v>
      </c>
      <c r="H533" s="589" t="s">
        <v>242</v>
      </c>
      <c r="I533" s="589" t="s">
        <v>2876</v>
      </c>
      <c r="J533" s="589" t="s">
        <v>35</v>
      </c>
      <c r="K533" s="591">
        <v>3590</v>
      </c>
      <c r="L533" s="592">
        <f>IF(J533="TND",1,IF(J533="EUR",Vertical_Cash_flow!$C$16,IF(J533="USD",Vertical_Cash_flow!$F$16,0)))</f>
        <v>1</v>
      </c>
      <c r="M533" s="593">
        <f t="shared" ref="M533:M596" si="36">K533/L533</f>
        <v>3590</v>
      </c>
      <c r="N533" s="589" t="s">
        <v>251</v>
      </c>
      <c r="O533" s="594">
        <v>45407</v>
      </c>
      <c r="P533" s="593">
        <f t="shared" ref="P533:P596" si="37">O533-Q533</f>
        <v>-51</v>
      </c>
      <c r="Q533" s="594">
        <v>45458</v>
      </c>
      <c r="R533" s="593">
        <f t="shared" ref="R533:R596" ca="1" si="38">$W$1-Q533</f>
        <v>-17</v>
      </c>
      <c r="S533" s="589" t="str">
        <f>VLOOKUP(Q533,Mapping!L:M,2,0)</f>
        <v>W25_2024</v>
      </c>
      <c r="T533" s="589" t="str">
        <f t="shared" ref="T533:T596" ca="1" si="39">IF(R533="","",IF(R533&lt;0,"Not Due",IF(AND(R533&gt;=0,R533&lt;=30),"up to 30 days",IF(AND(R533&gt;30,R533&lt;=60),"30-60 days",IF(AND(R533&gt;60,R533&lt;=90),"60-90 days",IF(AND(R533&gt;90,R533&lt;=120),"90-120 days",IF(AND(R533&gt;120,R533&lt;=180),"120-180 days",IF(AND(R533&gt;180,R533&lt;=360),"180-360 days",IF(R533&gt;360,"more than 360 days","ok")))))))))</f>
        <v>Not Due</v>
      </c>
      <c r="W533" s="591"/>
    </row>
    <row r="534" spans="1:23" s="589" customFormat="1" x14ac:dyDescent="0.2">
      <c r="A534" s="589" t="s">
        <v>56</v>
      </c>
      <c r="B534" s="589" t="s">
        <v>808</v>
      </c>
      <c r="C534" s="590" t="s">
        <v>1717</v>
      </c>
      <c r="D534" s="589" t="s">
        <v>100</v>
      </c>
      <c r="E534" s="589" t="s">
        <v>104</v>
      </c>
      <c r="F534" s="589" t="s">
        <v>112</v>
      </c>
      <c r="G534" s="589" t="s">
        <v>51</v>
      </c>
      <c r="H534" s="589" t="s">
        <v>242</v>
      </c>
      <c r="I534" s="589" t="s">
        <v>2102</v>
      </c>
      <c r="J534" s="589" t="s">
        <v>35</v>
      </c>
      <c r="K534" s="591">
        <v>2800</v>
      </c>
      <c r="L534" s="592">
        <f>IF(J534="TND",1,IF(J534="EUR",Vertical_Cash_flow!$C$16,IF(J534="USD",Vertical_Cash_flow!$F$16,0)))</f>
        <v>1</v>
      </c>
      <c r="M534" s="593">
        <f t="shared" si="36"/>
        <v>2800</v>
      </c>
      <c r="N534" s="589" t="s">
        <v>251</v>
      </c>
      <c r="O534" s="594">
        <v>45358</v>
      </c>
      <c r="P534" s="593">
        <f t="shared" si="37"/>
        <v>-100</v>
      </c>
      <c r="Q534" s="594">
        <v>45458</v>
      </c>
      <c r="R534" s="593">
        <f t="shared" ca="1" si="38"/>
        <v>-17</v>
      </c>
      <c r="S534" s="589" t="str">
        <f>VLOOKUP(Q534,Mapping!L:M,2,0)</f>
        <v>W25_2024</v>
      </c>
      <c r="T534" s="589" t="str">
        <f t="shared" ca="1" si="39"/>
        <v>Not Due</v>
      </c>
      <c r="W534" s="591"/>
    </row>
    <row r="535" spans="1:23" s="589" customFormat="1" x14ac:dyDescent="0.2">
      <c r="A535" s="589" t="s">
        <v>56</v>
      </c>
      <c r="B535" s="589" t="s">
        <v>383</v>
      </c>
      <c r="C535" s="590" t="s">
        <v>1285</v>
      </c>
      <c r="D535" s="589" t="s">
        <v>100</v>
      </c>
      <c r="E535" s="589" t="s">
        <v>104</v>
      </c>
      <c r="F535" s="589" t="s">
        <v>112</v>
      </c>
      <c r="G535" s="589" t="s">
        <v>51</v>
      </c>
      <c r="H535" s="589" t="s">
        <v>242</v>
      </c>
      <c r="I535" s="589" t="s">
        <v>1394</v>
      </c>
      <c r="J535" s="589" t="s">
        <v>35</v>
      </c>
      <c r="K535" s="591">
        <v>20231.855</v>
      </c>
      <c r="L535" s="592">
        <f>IF(J535="TND",1,IF(J535="EUR",Vertical_Cash_flow!$C$16,IF(J535="USD",Vertical_Cash_flow!$F$16,0)))</f>
        <v>1</v>
      </c>
      <c r="M535" s="593">
        <f t="shared" si="36"/>
        <v>20231.855</v>
      </c>
      <c r="N535" s="589" t="s">
        <v>251</v>
      </c>
      <c r="O535" s="594">
        <v>45342</v>
      </c>
      <c r="P535" s="593">
        <f t="shared" si="37"/>
        <v>-116</v>
      </c>
      <c r="Q535" s="594">
        <v>45458</v>
      </c>
      <c r="R535" s="593">
        <f t="shared" ca="1" si="38"/>
        <v>-17</v>
      </c>
      <c r="S535" s="589" t="str">
        <f>VLOOKUP(Q535,Mapping!L:M,2,0)</f>
        <v>W25_2024</v>
      </c>
      <c r="T535" s="589" t="str">
        <f t="shared" ca="1" si="39"/>
        <v>Not Due</v>
      </c>
      <c r="W535" s="591"/>
    </row>
    <row r="536" spans="1:23" s="589" customFormat="1" x14ac:dyDescent="0.2">
      <c r="A536" s="589" t="s">
        <v>56</v>
      </c>
      <c r="B536" s="589" t="s">
        <v>1048</v>
      </c>
      <c r="C536" s="590" t="s">
        <v>1714</v>
      </c>
      <c r="D536" s="589" t="s">
        <v>100</v>
      </c>
      <c r="E536" s="589" t="s">
        <v>104</v>
      </c>
      <c r="F536" s="589" t="s">
        <v>112</v>
      </c>
      <c r="G536" s="589" t="s">
        <v>51</v>
      </c>
      <c r="H536" s="589" t="s">
        <v>242</v>
      </c>
      <c r="I536" s="589" t="s">
        <v>2015</v>
      </c>
      <c r="J536" s="589" t="s">
        <v>35</v>
      </c>
      <c r="K536" s="591">
        <v>650</v>
      </c>
      <c r="L536" s="592">
        <f>IF(J536="TND",1,IF(J536="EUR",Vertical_Cash_flow!$C$16,IF(J536="USD",Vertical_Cash_flow!$F$16,0)))</f>
        <v>1</v>
      </c>
      <c r="M536" s="593">
        <f t="shared" si="36"/>
        <v>650</v>
      </c>
      <c r="N536" s="589" t="s">
        <v>251</v>
      </c>
      <c r="O536" s="594">
        <v>45380</v>
      </c>
      <c r="P536" s="593">
        <f t="shared" si="37"/>
        <v>-78</v>
      </c>
      <c r="Q536" s="594">
        <v>45458</v>
      </c>
      <c r="R536" s="593">
        <f t="shared" ca="1" si="38"/>
        <v>-17</v>
      </c>
      <c r="S536" s="589" t="str">
        <f>VLOOKUP(Q536,Mapping!L:M,2,0)</f>
        <v>W25_2024</v>
      </c>
      <c r="T536" s="589" t="str">
        <f t="shared" ca="1" si="39"/>
        <v>Not Due</v>
      </c>
      <c r="W536" s="591"/>
    </row>
    <row r="537" spans="1:23" s="589" customFormat="1" x14ac:dyDescent="0.2">
      <c r="A537" s="589" t="s">
        <v>56</v>
      </c>
      <c r="B537" s="589" t="s">
        <v>343</v>
      </c>
      <c r="C537" s="590" t="s">
        <v>1713</v>
      </c>
      <c r="D537" s="589" t="s">
        <v>100</v>
      </c>
      <c r="E537" s="589" t="s">
        <v>104</v>
      </c>
      <c r="F537" s="589" t="s">
        <v>112</v>
      </c>
      <c r="G537" s="589" t="s">
        <v>51</v>
      </c>
      <c r="H537" s="589" t="s">
        <v>242</v>
      </c>
      <c r="I537" s="589" t="s">
        <v>2099</v>
      </c>
      <c r="J537" s="589" t="s">
        <v>35</v>
      </c>
      <c r="K537" s="591">
        <v>2000</v>
      </c>
      <c r="L537" s="592">
        <f>IF(J537="TND",1,IF(J537="EUR",Vertical_Cash_flow!$C$16,IF(J537="USD",Vertical_Cash_flow!$F$16,0)))</f>
        <v>1</v>
      </c>
      <c r="M537" s="593">
        <f t="shared" si="36"/>
        <v>2000</v>
      </c>
      <c r="N537" s="589" t="s">
        <v>251</v>
      </c>
      <c r="O537" s="594">
        <v>45373</v>
      </c>
      <c r="P537" s="593">
        <f t="shared" si="37"/>
        <v>-85</v>
      </c>
      <c r="Q537" s="594">
        <v>45458</v>
      </c>
      <c r="R537" s="593">
        <f t="shared" ca="1" si="38"/>
        <v>-17</v>
      </c>
      <c r="S537" s="589" t="str">
        <f>VLOOKUP(Q537,Mapping!L:M,2,0)</f>
        <v>W25_2024</v>
      </c>
      <c r="T537" s="589" t="str">
        <f t="shared" ca="1" si="39"/>
        <v>Not Due</v>
      </c>
      <c r="W537" s="591"/>
    </row>
    <row r="538" spans="1:23" s="589" customFormat="1" x14ac:dyDescent="0.2">
      <c r="A538" s="589" t="s">
        <v>56</v>
      </c>
      <c r="B538" s="589" t="s">
        <v>387</v>
      </c>
      <c r="C538" s="590" t="s">
        <v>1286</v>
      </c>
      <c r="D538" s="589" t="s">
        <v>100</v>
      </c>
      <c r="E538" s="589" t="s">
        <v>104</v>
      </c>
      <c r="F538" s="589" t="s">
        <v>112</v>
      </c>
      <c r="G538" s="589" t="s">
        <v>51</v>
      </c>
      <c r="H538" s="589" t="s">
        <v>242</v>
      </c>
      <c r="I538" s="589" t="s">
        <v>1395</v>
      </c>
      <c r="J538" s="589" t="s">
        <v>35</v>
      </c>
      <c r="K538" s="591">
        <v>1125.702</v>
      </c>
      <c r="L538" s="592">
        <f>IF(J538="TND",1,IF(J538="EUR",Vertical_Cash_flow!$C$16,IF(J538="USD",Vertical_Cash_flow!$F$16,0)))</f>
        <v>1</v>
      </c>
      <c r="M538" s="593">
        <f t="shared" si="36"/>
        <v>1125.702</v>
      </c>
      <c r="N538" s="589" t="s">
        <v>251</v>
      </c>
      <c r="O538" s="594">
        <v>45328</v>
      </c>
      <c r="P538" s="593">
        <f t="shared" si="37"/>
        <v>-130</v>
      </c>
      <c r="Q538" s="594">
        <v>45458</v>
      </c>
      <c r="R538" s="593">
        <f t="shared" ca="1" si="38"/>
        <v>-17</v>
      </c>
      <c r="S538" s="589" t="str">
        <f>VLOOKUP(Q538,Mapping!L:M,2,0)</f>
        <v>W25_2024</v>
      </c>
      <c r="T538" s="589" t="str">
        <f t="shared" ca="1" si="39"/>
        <v>Not Due</v>
      </c>
      <c r="W538" s="591"/>
    </row>
    <row r="539" spans="1:23" s="589" customFormat="1" x14ac:dyDescent="0.2">
      <c r="A539" s="589" t="s">
        <v>56</v>
      </c>
      <c r="B539" s="589" t="s">
        <v>893</v>
      </c>
      <c r="C539" s="590" t="s">
        <v>1715</v>
      </c>
      <c r="D539" s="589" t="s">
        <v>100</v>
      </c>
      <c r="E539" s="589" t="s">
        <v>104</v>
      </c>
      <c r="F539" s="589" t="s">
        <v>112</v>
      </c>
      <c r="G539" s="589" t="s">
        <v>51</v>
      </c>
      <c r="H539" s="589" t="s">
        <v>242</v>
      </c>
      <c r="I539" s="589" t="s">
        <v>2100</v>
      </c>
      <c r="J539" s="589" t="s">
        <v>35</v>
      </c>
      <c r="K539" s="591">
        <v>1913.6</v>
      </c>
      <c r="L539" s="592">
        <f>IF(J539="TND",1,IF(J539="EUR",Vertical_Cash_flow!$C$16,IF(J539="USD",Vertical_Cash_flow!$F$16,0)))</f>
        <v>1</v>
      </c>
      <c r="M539" s="593">
        <f t="shared" si="36"/>
        <v>1913.6</v>
      </c>
      <c r="N539" s="589" t="s">
        <v>251</v>
      </c>
      <c r="O539" s="594">
        <v>45348</v>
      </c>
      <c r="P539" s="593">
        <f t="shared" si="37"/>
        <v>-110</v>
      </c>
      <c r="Q539" s="594">
        <v>45458</v>
      </c>
      <c r="R539" s="593">
        <f t="shared" ca="1" si="38"/>
        <v>-17</v>
      </c>
      <c r="S539" s="589" t="str">
        <f>VLOOKUP(Q539,Mapping!L:M,2,0)</f>
        <v>W25_2024</v>
      </c>
      <c r="T539" s="589" t="str">
        <f t="shared" ca="1" si="39"/>
        <v>Not Due</v>
      </c>
      <c r="W539" s="591"/>
    </row>
    <row r="540" spans="1:23" s="589" customFormat="1" x14ac:dyDescent="0.2">
      <c r="A540" s="589" t="s">
        <v>56</v>
      </c>
      <c r="B540" s="589" t="s">
        <v>605</v>
      </c>
      <c r="C540" s="590" t="s">
        <v>950</v>
      </c>
      <c r="D540" s="589" t="s">
        <v>100</v>
      </c>
      <c r="E540" s="589" t="s">
        <v>104</v>
      </c>
      <c r="F540" s="589" t="s">
        <v>112</v>
      </c>
      <c r="G540" s="589" t="s">
        <v>51</v>
      </c>
      <c r="H540" s="589" t="s">
        <v>242</v>
      </c>
      <c r="I540" s="589" t="s">
        <v>958</v>
      </c>
      <c r="J540" s="589" t="s">
        <v>35</v>
      </c>
      <c r="K540" s="591">
        <v>6347.99</v>
      </c>
      <c r="L540" s="592">
        <f>IF(J540="TND",1,IF(J540="EUR",Vertical_Cash_flow!$C$16,IF(J540="USD",Vertical_Cash_flow!$F$16,0)))</f>
        <v>1</v>
      </c>
      <c r="M540" s="593">
        <f t="shared" si="36"/>
        <v>6347.99</v>
      </c>
      <c r="N540" s="589" t="s">
        <v>251</v>
      </c>
      <c r="O540" s="594">
        <v>45260</v>
      </c>
      <c r="P540" s="593">
        <f t="shared" si="37"/>
        <v>-198</v>
      </c>
      <c r="Q540" s="594">
        <v>45458</v>
      </c>
      <c r="R540" s="593">
        <f t="shared" ca="1" si="38"/>
        <v>-17</v>
      </c>
      <c r="S540" s="589" t="str">
        <f>VLOOKUP(Q540,Mapping!L:M,2,0)</f>
        <v>W25_2024</v>
      </c>
      <c r="T540" s="589" t="str">
        <f t="shared" ca="1" si="39"/>
        <v>Not Due</v>
      </c>
      <c r="W540" s="591"/>
    </row>
    <row r="541" spans="1:23" s="589" customFormat="1" x14ac:dyDescent="0.2">
      <c r="A541" s="589" t="s">
        <v>56</v>
      </c>
      <c r="B541" s="589" t="s">
        <v>3414</v>
      </c>
      <c r="C541" s="590" t="s">
        <v>3555</v>
      </c>
      <c r="D541" s="589" t="s">
        <v>100</v>
      </c>
      <c r="E541" s="589" t="s">
        <v>104</v>
      </c>
      <c r="F541" s="589" t="s">
        <v>112</v>
      </c>
      <c r="G541" s="589" t="s">
        <v>51</v>
      </c>
      <c r="H541" s="589" t="s">
        <v>242</v>
      </c>
      <c r="I541" s="589" t="s">
        <v>3702</v>
      </c>
      <c r="J541" s="589" t="s">
        <v>35</v>
      </c>
      <c r="K541" s="591">
        <v>1400</v>
      </c>
      <c r="L541" s="592">
        <f>IF(J541="TND",1,IF(J541="EUR",Vertical_Cash_flow!$C$16,IF(J541="USD",Vertical_Cash_flow!$F$16,0)))</f>
        <v>1</v>
      </c>
      <c r="M541" s="593">
        <f t="shared" si="36"/>
        <v>1400</v>
      </c>
      <c r="N541" s="589" t="s">
        <v>251</v>
      </c>
      <c r="O541" s="594">
        <v>45430</v>
      </c>
      <c r="P541" s="593">
        <f t="shared" si="37"/>
        <v>-28</v>
      </c>
      <c r="Q541" s="594">
        <v>45458</v>
      </c>
      <c r="R541" s="593">
        <f t="shared" ca="1" si="38"/>
        <v>-17</v>
      </c>
      <c r="S541" s="589" t="str">
        <f>VLOOKUP(Q541,Mapping!L:M,2,0)</f>
        <v>W25_2024</v>
      </c>
      <c r="T541" s="589" t="str">
        <f t="shared" ca="1" si="39"/>
        <v>Not Due</v>
      </c>
      <c r="W541" s="591"/>
    </row>
    <row r="542" spans="1:23" s="589" customFormat="1" x14ac:dyDescent="0.2">
      <c r="A542" s="589" t="s">
        <v>56</v>
      </c>
      <c r="B542" s="589" t="s">
        <v>1496</v>
      </c>
      <c r="C542" s="590" t="s">
        <v>1712</v>
      </c>
      <c r="D542" s="589" t="s">
        <v>100</v>
      </c>
      <c r="E542" s="589" t="s">
        <v>104</v>
      </c>
      <c r="F542" s="589" t="s">
        <v>112</v>
      </c>
      <c r="G542" s="589" t="s">
        <v>51</v>
      </c>
      <c r="H542" s="589" t="s">
        <v>242</v>
      </c>
      <c r="I542" s="589" t="s">
        <v>2098</v>
      </c>
      <c r="J542" s="589" t="s">
        <v>35</v>
      </c>
      <c r="K542" s="591">
        <v>897.178</v>
      </c>
      <c r="L542" s="592">
        <f>IF(J542="TND",1,IF(J542="EUR",Vertical_Cash_flow!$C$16,IF(J542="USD",Vertical_Cash_flow!$F$16,0)))</f>
        <v>1</v>
      </c>
      <c r="M542" s="593">
        <f t="shared" si="36"/>
        <v>897.178</v>
      </c>
      <c r="N542" s="589" t="s">
        <v>251</v>
      </c>
      <c r="O542" s="594">
        <v>45379</v>
      </c>
      <c r="P542" s="593">
        <f t="shared" si="37"/>
        <v>-79</v>
      </c>
      <c r="Q542" s="594">
        <v>45458</v>
      </c>
      <c r="R542" s="593">
        <f t="shared" ca="1" si="38"/>
        <v>-17</v>
      </c>
      <c r="S542" s="589" t="str">
        <f>VLOOKUP(Q542,Mapping!L:M,2,0)</f>
        <v>W25_2024</v>
      </c>
      <c r="T542" s="589" t="str">
        <f t="shared" ca="1" si="39"/>
        <v>Not Due</v>
      </c>
      <c r="W542" s="591"/>
    </row>
    <row r="543" spans="1:23" s="589" customFormat="1" x14ac:dyDescent="0.2">
      <c r="A543" s="589" t="s">
        <v>56</v>
      </c>
      <c r="B543" s="589" t="s">
        <v>482</v>
      </c>
      <c r="C543" s="590" t="s">
        <v>1711</v>
      </c>
      <c r="D543" s="589" t="s">
        <v>100</v>
      </c>
      <c r="E543" s="589" t="s">
        <v>104</v>
      </c>
      <c r="F543" s="589" t="s">
        <v>112</v>
      </c>
      <c r="G543" s="589" t="s">
        <v>51</v>
      </c>
      <c r="H543" s="589" t="s">
        <v>242</v>
      </c>
      <c r="I543" s="589" t="s">
        <v>2097</v>
      </c>
      <c r="J543" s="589" t="s">
        <v>35</v>
      </c>
      <c r="K543" s="591">
        <v>1250</v>
      </c>
      <c r="L543" s="592">
        <f>IF(J543="TND",1,IF(J543="EUR",Vertical_Cash_flow!$C$16,IF(J543="USD",Vertical_Cash_flow!$F$16,0)))</f>
        <v>1</v>
      </c>
      <c r="M543" s="593">
        <f t="shared" si="36"/>
        <v>1250</v>
      </c>
      <c r="N543" s="589" t="s">
        <v>251</v>
      </c>
      <c r="O543" s="594">
        <v>45350</v>
      </c>
      <c r="P543" s="593">
        <f t="shared" si="37"/>
        <v>-108</v>
      </c>
      <c r="Q543" s="594">
        <v>45458</v>
      </c>
      <c r="R543" s="593">
        <f t="shared" ca="1" si="38"/>
        <v>-17</v>
      </c>
      <c r="S543" s="589" t="str">
        <f>VLOOKUP(Q543,Mapping!L:M,2,0)</f>
        <v>W25_2024</v>
      </c>
      <c r="T543" s="589" t="str">
        <f t="shared" ca="1" si="39"/>
        <v>Not Due</v>
      </c>
      <c r="W543" s="591"/>
    </row>
    <row r="544" spans="1:23" s="589" customFormat="1" x14ac:dyDescent="0.2">
      <c r="A544" s="589" t="s">
        <v>56</v>
      </c>
      <c r="B544" s="589" t="s">
        <v>482</v>
      </c>
      <c r="C544" s="590" t="s">
        <v>1710</v>
      </c>
      <c r="D544" s="589" t="s">
        <v>100</v>
      </c>
      <c r="E544" s="589" t="s">
        <v>104</v>
      </c>
      <c r="F544" s="589" t="s">
        <v>112</v>
      </c>
      <c r="G544" s="589" t="s">
        <v>51</v>
      </c>
      <c r="H544" s="589" t="s">
        <v>242</v>
      </c>
      <c r="I544" s="589" t="s">
        <v>2096</v>
      </c>
      <c r="J544" s="589" t="s">
        <v>35</v>
      </c>
      <c r="K544" s="591">
        <v>1250</v>
      </c>
      <c r="L544" s="592">
        <f>IF(J544="TND",1,IF(J544="EUR",Vertical_Cash_flow!$C$16,IF(J544="USD",Vertical_Cash_flow!$F$16,0)))</f>
        <v>1</v>
      </c>
      <c r="M544" s="593">
        <f t="shared" si="36"/>
        <v>1250</v>
      </c>
      <c r="N544" s="589" t="s">
        <v>251</v>
      </c>
      <c r="O544" s="594">
        <v>45350</v>
      </c>
      <c r="P544" s="593">
        <f t="shared" si="37"/>
        <v>-108</v>
      </c>
      <c r="Q544" s="594">
        <v>45458</v>
      </c>
      <c r="R544" s="593">
        <f t="shared" ca="1" si="38"/>
        <v>-17</v>
      </c>
      <c r="S544" s="589" t="str">
        <f>VLOOKUP(Q544,Mapping!L:M,2,0)</f>
        <v>W25_2024</v>
      </c>
      <c r="T544" s="589" t="str">
        <f t="shared" ca="1" si="39"/>
        <v>Not Due</v>
      </c>
      <c r="W544" s="591"/>
    </row>
    <row r="545" spans="1:23" s="589" customFormat="1" x14ac:dyDescent="0.2">
      <c r="A545" s="589" t="s">
        <v>56</v>
      </c>
      <c r="B545" s="589" t="s">
        <v>617</v>
      </c>
      <c r="C545" s="590" t="s">
        <v>2557</v>
      </c>
      <c r="D545" s="589" t="s">
        <v>100</v>
      </c>
      <c r="E545" s="589" t="s">
        <v>104</v>
      </c>
      <c r="F545" s="589" t="s">
        <v>112</v>
      </c>
      <c r="G545" s="589" t="s">
        <v>51</v>
      </c>
      <c r="H545" s="589" t="s">
        <v>242</v>
      </c>
      <c r="I545" s="589" t="s">
        <v>2874</v>
      </c>
      <c r="J545" s="589" t="s">
        <v>35</v>
      </c>
      <c r="K545" s="591">
        <v>1187.337</v>
      </c>
      <c r="L545" s="592">
        <f>IF(J545="TND",1,IF(J545="EUR",Vertical_Cash_flow!$C$16,IF(J545="USD",Vertical_Cash_flow!$F$16,0)))</f>
        <v>1</v>
      </c>
      <c r="M545" s="593">
        <f t="shared" si="36"/>
        <v>1187.337</v>
      </c>
      <c r="N545" s="589" t="s">
        <v>251</v>
      </c>
      <c r="O545" s="594">
        <v>45386</v>
      </c>
      <c r="P545" s="593">
        <f t="shared" si="37"/>
        <v>-72</v>
      </c>
      <c r="Q545" s="594">
        <v>45458</v>
      </c>
      <c r="R545" s="593">
        <f t="shared" ca="1" si="38"/>
        <v>-17</v>
      </c>
      <c r="S545" s="589" t="str">
        <f>VLOOKUP(Q545,Mapping!L:M,2,0)</f>
        <v>W25_2024</v>
      </c>
      <c r="T545" s="589" t="str">
        <f t="shared" ca="1" si="39"/>
        <v>Not Due</v>
      </c>
      <c r="W545" s="591"/>
    </row>
    <row r="546" spans="1:23" s="589" customFormat="1" x14ac:dyDescent="0.2">
      <c r="A546" s="589" t="s">
        <v>56</v>
      </c>
      <c r="B546" s="589" t="s">
        <v>507</v>
      </c>
      <c r="C546" s="590" t="s">
        <v>2556</v>
      </c>
      <c r="D546" s="589" t="s">
        <v>100</v>
      </c>
      <c r="E546" s="589" t="s">
        <v>104</v>
      </c>
      <c r="F546" s="589" t="s">
        <v>112</v>
      </c>
      <c r="G546" s="589" t="s">
        <v>51</v>
      </c>
      <c r="H546" s="589" t="s">
        <v>242</v>
      </c>
      <c r="I546" s="589" t="s">
        <v>2873</v>
      </c>
      <c r="J546" s="589" t="s">
        <v>35</v>
      </c>
      <c r="K546" s="591">
        <v>1239.3109999999999</v>
      </c>
      <c r="L546" s="592">
        <f>IF(J546="TND",1,IF(J546="EUR",Vertical_Cash_flow!$C$16,IF(J546="USD",Vertical_Cash_flow!$F$16,0)))</f>
        <v>1</v>
      </c>
      <c r="M546" s="593">
        <f t="shared" si="36"/>
        <v>1239.3109999999999</v>
      </c>
      <c r="N546" s="589" t="s">
        <v>251</v>
      </c>
      <c r="O546" s="594">
        <v>45402</v>
      </c>
      <c r="P546" s="593">
        <f t="shared" si="37"/>
        <v>-56</v>
      </c>
      <c r="Q546" s="594">
        <v>45458</v>
      </c>
      <c r="R546" s="593">
        <f t="shared" ca="1" si="38"/>
        <v>-17</v>
      </c>
      <c r="S546" s="589" t="str">
        <f>VLOOKUP(Q546,Mapping!L:M,2,0)</f>
        <v>W25_2024</v>
      </c>
      <c r="T546" s="589" t="str">
        <f t="shared" ca="1" si="39"/>
        <v>Not Due</v>
      </c>
      <c r="W546" s="591"/>
    </row>
    <row r="547" spans="1:23" s="589" customFormat="1" x14ac:dyDescent="0.2">
      <c r="A547" s="589" t="s">
        <v>56</v>
      </c>
      <c r="B547" s="589" t="s">
        <v>526</v>
      </c>
      <c r="C547" s="590" t="s">
        <v>1709</v>
      </c>
      <c r="D547" s="589" t="s">
        <v>100</v>
      </c>
      <c r="E547" s="589" t="s">
        <v>104</v>
      </c>
      <c r="F547" s="589" t="s">
        <v>112</v>
      </c>
      <c r="G547" s="589" t="s">
        <v>51</v>
      </c>
      <c r="H547" s="589" t="s">
        <v>242</v>
      </c>
      <c r="I547" s="589" t="s">
        <v>2095</v>
      </c>
      <c r="J547" s="589" t="s">
        <v>35</v>
      </c>
      <c r="K547" s="591">
        <v>1106</v>
      </c>
      <c r="L547" s="592">
        <f>IF(J547="TND",1,IF(J547="EUR",Vertical_Cash_flow!$C$16,IF(J547="USD",Vertical_Cash_flow!$F$16,0)))</f>
        <v>1</v>
      </c>
      <c r="M547" s="593">
        <f t="shared" si="36"/>
        <v>1106</v>
      </c>
      <c r="N547" s="589" t="s">
        <v>251</v>
      </c>
      <c r="O547" s="594">
        <v>45369</v>
      </c>
      <c r="P547" s="593">
        <f t="shared" si="37"/>
        <v>-90</v>
      </c>
      <c r="Q547" s="594">
        <v>45459</v>
      </c>
      <c r="R547" s="593">
        <f t="shared" ca="1" si="38"/>
        <v>-18</v>
      </c>
      <c r="S547" s="589" t="str">
        <f>VLOOKUP(Q547,Mapping!L:M,2,0)</f>
        <v>W25_2024</v>
      </c>
      <c r="T547" s="589" t="str">
        <f t="shared" ca="1" si="39"/>
        <v>Not Due</v>
      </c>
      <c r="W547" s="591"/>
    </row>
    <row r="548" spans="1:23" s="589" customFormat="1" x14ac:dyDescent="0.2">
      <c r="A548" s="589" t="s">
        <v>56</v>
      </c>
      <c r="B548" s="589" t="s">
        <v>621</v>
      </c>
      <c r="C548" s="590" t="s">
        <v>2555</v>
      </c>
      <c r="D548" s="589" t="s">
        <v>100</v>
      </c>
      <c r="E548" s="589" t="s">
        <v>104</v>
      </c>
      <c r="F548" s="589" t="s">
        <v>112</v>
      </c>
      <c r="G548" s="589" t="s">
        <v>51</v>
      </c>
      <c r="H548" s="589" t="s">
        <v>242</v>
      </c>
      <c r="I548" s="589" t="s">
        <v>2866</v>
      </c>
      <c r="J548" s="589" t="s">
        <v>35</v>
      </c>
      <c r="K548" s="591">
        <v>455.85399999999998</v>
      </c>
      <c r="L548" s="592">
        <f>IF(J548="TND",1,IF(J548="EUR",Vertical_Cash_flow!$C$16,IF(J548="USD",Vertical_Cash_flow!$F$16,0)))</f>
        <v>1</v>
      </c>
      <c r="M548" s="593">
        <f t="shared" si="36"/>
        <v>455.85399999999998</v>
      </c>
      <c r="N548" s="589" t="s">
        <v>251</v>
      </c>
      <c r="O548" s="594">
        <v>45398</v>
      </c>
      <c r="P548" s="593">
        <f t="shared" si="37"/>
        <v>-61</v>
      </c>
      <c r="Q548" s="594">
        <v>45459</v>
      </c>
      <c r="R548" s="593">
        <f t="shared" ca="1" si="38"/>
        <v>-18</v>
      </c>
      <c r="S548" s="589" t="str">
        <f>VLOOKUP(Q548,Mapping!L:M,2,0)</f>
        <v>W25_2024</v>
      </c>
      <c r="T548" s="589" t="str">
        <f t="shared" ca="1" si="39"/>
        <v>Not Due</v>
      </c>
      <c r="W548" s="591"/>
    </row>
    <row r="549" spans="1:23" s="589" customFormat="1" x14ac:dyDescent="0.2">
      <c r="A549" s="589" t="s">
        <v>56</v>
      </c>
      <c r="B549" s="589" t="s">
        <v>636</v>
      </c>
      <c r="C549" s="590" t="s">
        <v>1707</v>
      </c>
      <c r="D549" s="589" t="s">
        <v>100</v>
      </c>
      <c r="E549" s="589" t="s">
        <v>104</v>
      </c>
      <c r="F549" s="589" t="s">
        <v>112</v>
      </c>
      <c r="G549" s="589" t="s">
        <v>51</v>
      </c>
      <c r="H549" s="589" t="s">
        <v>242</v>
      </c>
      <c r="I549" s="589" t="s">
        <v>2093</v>
      </c>
      <c r="J549" s="589" t="s">
        <v>35</v>
      </c>
      <c r="K549" s="591">
        <v>2000</v>
      </c>
      <c r="L549" s="592">
        <f>IF(J549="TND",1,IF(J549="EUR",Vertical_Cash_flow!$C$16,IF(J549="USD",Vertical_Cash_flow!$F$16,0)))</f>
        <v>1</v>
      </c>
      <c r="M549" s="593">
        <f t="shared" si="36"/>
        <v>2000</v>
      </c>
      <c r="N549" s="589" t="s">
        <v>251</v>
      </c>
      <c r="O549" s="594">
        <v>45355</v>
      </c>
      <c r="P549" s="593">
        <f t="shared" si="37"/>
        <v>-104</v>
      </c>
      <c r="Q549" s="594">
        <v>45459</v>
      </c>
      <c r="R549" s="593">
        <f t="shared" ca="1" si="38"/>
        <v>-18</v>
      </c>
      <c r="S549" s="589" t="str">
        <f>VLOOKUP(Q549,Mapping!L:M,2,0)</f>
        <v>W25_2024</v>
      </c>
      <c r="T549" s="589" t="str">
        <f t="shared" ca="1" si="39"/>
        <v>Not Due</v>
      </c>
      <c r="W549" s="591"/>
    </row>
    <row r="550" spans="1:23" s="589" customFormat="1" x14ac:dyDescent="0.2">
      <c r="A550" s="589" t="s">
        <v>56</v>
      </c>
      <c r="B550" s="589" t="s">
        <v>622</v>
      </c>
      <c r="C550" s="590" t="s">
        <v>1708</v>
      </c>
      <c r="D550" s="589" t="s">
        <v>100</v>
      </c>
      <c r="E550" s="589" t="s">
        <v>104</v>
      </c>
      <c r="F550" s="589" t="s">
        <v>112</v>
      </c>
      <c r="G550" s="589" t="s">
        <v>51</v>
      </c>
      <c r="H550" s="589" t="s">
        <v>242</v>
      </c>
      <c r="I550" s="589" t="s">
        <v>2094</v>
      </c>
      <c r="J550" s="589" t="s">
        <v>35</v>
      </c>
      <c r="K550" s="591">
        <v>2000</v>
      </c>
      <c r="L550" s="592">
        <f>IF(J550="TND",1,IF(J550="EUR",Vertical_Cash_flow!$C$16,IF(J550="USD",Vertical_Cash_flow!$F$16,0)))</f>
        <v>1</v>
      </c>
      <c r="M550" s="593">
        <f t="shared" si="36"/>
        <v>2000</v>
      </c>
      <c r="N550" s="589" t="s">
        <v>251</v>
      </c>
      <c r="O550" s="594">
        <v>45359</v>
      </c>
      <c r="P550" s="593">
        <f t="shared" si="37"/>
        <v>-100</v>
      </c>
      <c r="Q550" s="594">
        <v>45459</v>
      </c>
      <c r="R550" s="593">
        <f t="shared" ca="1" si="38"/>
        <v>-18</v>
      </c>
      <c r="S550" s="589" t="str">
        <f>VLOOKUP(Q550,Mapping!L:M,2,0)</f>
        <v>W25_2024</v>
      </c>
      <c r="T550" s="589" t="str">
        <f t="shared" ca="1" si="39"/>
        <v>Not Due</v>
      </c>
      <c r="W550" s="591"/>
    </row>
    <row r="551" spans="1:23" s="589" customFormat="1" x14ac:dyDescent="0.2">
      <c r="A551" s="589" t="s">
        <v>56</v>
      </c>
      <c r="B551" s="589" t="s">
        <v>570</v>
      </c>
      <c r="C551" s="590" t="s">
        <v>1284</v>
      </c>
      <c r="D551" s="589" t="s">
        <v>100</v>
      </c>
      <c r="E551" s="589" t="s">
        <v>104</v>
      </c>
      <c r="F551" s="589" t="s">
        <v>112</v>
      </c>
      <c r="G551" s="589" t="s">
        <v>51</v>
      </c>
      <c r="H551" s="589" t="s">
        <v>242</v>
      </c>
      <c r="I551" s="589" t="s">
        <v>1393</v>
      </c>
      <c r="J551" s="589" t="s">
        <v>35</v>
      </c>
      <c r="K551" s="591">
        <v>28587.714</v>
      </c>
      <c r="L551" s="592">
        <f>IF(J551="TND",1,IF(J551="EUR",Vertical_Cash_flow!$C$16,IF(J551="USD",Vertical_Cash_flow!$F$16,0)))</f>
        <v>1</v>
      </c>
      <c r="M551" s="593">
        <f t="shared" si="36"/>
        <v>28587.714</v>
      </c>
      <c r="N551" s="589" t="s">
        <v>251</v>
      </c>
      <c r="O551" s="594">
        <v>45334</v>
      </c>
      <c r="P551" s="593">
        <f t="shared" si="37"/>
        <v>-126</v>
      </c>
      <c r="Q551" s="594">
        <v>45460</v>
      </c>
      <c r="R551" s="593">
        <f t="shared" ca="1" si="38"/>
        <v>-19</v>
      </c>
      <c r="S551" s="589" t="str">
        <f>VLOOKUP(Q551,Mapping!L:M,2,0)</f>
        <v>W25_2024</v>
      </c>
      <c r="T551" s="589" t="str">
        <f t="shared" ca="1" si="39"/>
        <v>Not Due</v>
      </c>
      <c r="W551" s="591"/>
    </row>
    <row r="552" spans="1:23" s="589" customFormat="1" x14ac:dyDescent="0.2">
      <c r="A552" s="589" t="s">
        <v>56</v>
      </c>
      <c r="B552" s="589" t="s">
        <v>405</v>
      </c>
      <c r="C552" s="590" t="s">
        <v>2553</v>
      </c>
      <c r="D552" s="589" t="s">
        <v>100</v>
      </c>
      <c r="E552" s="589" t="s">
        <v>104</v>
      </c>
      <c r="F552" s="589" t="s">
        <v>112</v>
      </c>
      <c r="G552" s="589" t="s">
        <v>51</v>
      </c>
      <c r="H552" s="589" t="s">
        <v>242</v>
      </c>
      <c r="I552" s="589" t="s">
        <v>2871</v>
      </c>
      <c r="J552" s="589" t="s">
        <v>35</v>
      </c>
      <c r="K552" s="591">
        <v>839.726</v>
      </c>
      <c r="L552" s="592">
        <f>IF(J552="TND",1,IF(J552="EUR",Vertical_Cash_flow!$C$16,IF(J552="USD",Vertical_Cash_flow!$F$16,0)))</f>
        <v>1</v>
      </c>
      <c r="M552" s="593">
        <f t="shared" si="36"/>
        <v>839.726</v>
      </c>
      <c r="N552" s="589" t="s">
        <v>251</v>
      </c>
      <c r="O552" s="594">
        <v>45397</v>
      </c>
      <c r="P552" s="593">
        <f t="shared" si="37"/>
        <v>-63</v>
      </c>
      <c r="Q552" s="594">
        <v>45460</v>
      </c>
      <c r="R552" s="593">
        <f t="shared" ca="1" si="38"/>
        <v>-19</v>
      </c>
      <c r="S552" s="589" t="str">
        <f>VLOOKUP(Q552,Mapping!L:M,2,0)</f>
        <v>W25_2024</v>
      </c>
      <c r="T552" s="589" t="str">
        <f t="shared" ca="1" si="39"/>
        <v>Not Due</v>
      </c>
      <c r="W552" s="591"/>
    </row>
    <row r="553" spans="1:23" s="589" customFormat="1" x14ac:dyDescent="0.2">
      <c r="A553" s="589" t="s">
        <v>56</v>
      </c>
      <c r="B553" s="589" t="s">
        <v>498</v>
      </c>
      <c r="C553" s="590" t="s">
        <v>1706</v>
      </c>
      <c r="D553" s="589" t="s">
        <v>100</v>
      </c>
      <c r="E553" s="589" t="s">
        <v>104</v>
      </c>
      <c r="F553" s="589" t="s">
        <v>112</v>
      </c>
      <c r="G553" s="589" t="s">
        <v>51</v>
      </c>
      <c r="H553" s="589" t="s">
        <v>242</v>
      </c>
      <c r="I553" s="589" t="s">
        <v>2092</v>
      </c>
      <c r="J553" s="589" t="s">
        <v>35</v>
      </c>
      <c r="K553" s="591">
        <v>6875</v>
      </c>
      <c r="L553" s="592">
        <f>IF(J553="TND",1,IF(J553="EUR",Vertical_Cash_flow!$C$16,IF(J553="USD",Vertical_Cash_flow!$F$16,0)))</f>
        <v>1</v>
      </c>
      <c r="M553" s="593">
        <f t="shared" si="36"/>
        <v>6875</v>
      </c>
      <c r="N553" s="589" t="s">
        <v>251</v>
      </c>
      <c r="O553" s="594">
        <v>45351</v>
      </c>
      <c r="P553" s="593">
        <f t="shared" si="37"/>
        <v>-109</v>
      </c>
      <c r="Q553" s="594">
        <v>45460</v>
      </c>
      <c r="R553" s="593">
        <f t="shared" ca="1" si="38"/>
        <v>-19</v>
      </c>
      <c r="S553" s="589" t="str">
        <f>VLOOKUP(Q553,Mapping!L:M,2,0)</f>
        <v>W25_2024</v>
      </c>
      <c r="T553" s="589" t="str">
        <f t="shared" ca="1" si="39"/>
        <v>Not Due</v>
      </c>
      <c r="W553" s="591"/>
    </row>
    <row r="554" spans="1:23" s="589" customFormat="1" x14ac:dyDescent="0.2">
      <c r="A554" s="589" t="s">
        <v>56</v>
      </c>
      <c r="B554" s="589" t="s">
        <v>289</v>
      </c>
      <c r="C554" s="590" t="s">
        <v>2554</v>
      </c>
      <c r="D554" s="589" t="s">
        <v>100</v>
      </c>
      <c r="E554" s="589" t="s">
        <v>104</v>
      </c>
      <c r="F554" s="589" t="s">
        <v>112</v>
      </c>
      <c r="G554" s="589" t="s">
        <v>51</v>
      </c>
      <c r="H554" s="589" t="s">
        <v>242</v>
      </c>
      <c r="I554" s="589" t="s">
        <v>2872</v>
      </c>
      <c r="J554" s="589" t="s">
        <v>35</v>
      </c>
      <c r="K554" s="591">
        <v>1671</v>
      </c>
      <c r="L554" s="592">
        <f>IF(J554="TND",1,IF(J554="EUR",Vertical_Cash_flow!$C$16,IF(J554="USD",Vertical_Cash_flow!$F$16,0)))</f>
        <v>1</v>
      </c>
      <c r="M554" s="593">
        <f t="shared" si="36"/>
        <v>1671</v>
      </c>
      <c r="N554" s="589" t="s">
        <v>251</v>
      </c>
      <c r="O554" s="594">
        <v>45388</v>
      </c>
      <c r="P554" s="593">
        <f t="shared" si="37"/>
        <v>-72</v>
      </c>
      <c r="Q554" s="594">
        <v>45460</v>
      </c>
      <c r="R554" s="593">
        <f t="shared" ca="1" si="38"/>
        <v>-19</v>
      </c>
      <c r="S554" s="589" t="str">
        <f>VLOOKUP(Q554,Mapping!L:M,2,0)</f>
        <v>W25_2024</v>
      </c>
      <c r="T554" s="589" t="str">
        <f t="shared" ca="1" si="39"/>
        <v>Not Due</v>
      </c>
      <c r="W554" s="591"/>
    </row>
    <row r="555" spans="1:23" s="589" customFormat="1" x14ac:dyDescent="0.2">
      <c r="A555" s="589" t="s">
        <v>56</v>
      </c>
      <c r="B555" s="589" t="s">
        <v>616</v>
      </c>
      <c r="C555" s="590" t="s">
        <v>1705</v>
      </c>
      <c r="D555" s="589" t="s">
        <v>100</v>
      </c>
      <c r="E555" s="589" t="s">
        <v>104</v>
      </c>
      <c r="F555" s="589" t="s">
        <v>112</v>
      </c>
      <c r="G555" s="589" t="s">
        <v>51</v>
      </c>
      <c r="H555" s="589" t="s">
        <v>242</v>
      </c>
      <c r="I555" s="589" t="s">
        <v>2091</v>
      </c>
      <c r="J555" s="589" t="s">
        <v>35</v>
      </c>
      <c r="K555" s="591">
        <v>750</v>
      </c>
      <c r="L555" s="592">
        <f>IF(J555="TND",1,IF(J555="EUR",Vertical_Cash_flow!$C$16,IF(J555="USD",Vertical_Cash_flow!$F$16,0)))</f>
        <v>1</v>
      </c>
      <c r="M555" s="593">
        <f t="shared" si="36"/>
        <v>750</v>
      </c>
      <c r="N555" s="589" t="s">
        <v>251</v>
      </c>
      <c r="O555" s="594">
        <v>45380</v>
      </c>
      <c r="P555" s="593">
        <f t="shared" si="37"/>
        <v>-80</v>
      </c>
      <c r="Q555" s="594">
        <v>45460</v>
      </c>
      <c r="R555" s="593">
        <f t="shared" ca="1" si="38"/>
        <v>-19</v>
      </c>
      <c r="S555" s="589" t="str">
        <f>VLOOKUP(Q555,Mapping!L:M,2,0)</f>
        <v>W25_2024</v>
      </c>
      <c r="T555" s="589" t="str">
        <f t="shared" ca="1" si="39"/>
        <v>Not Due</v>
      </c>
      <c r="W555" s="591"/>
    </row>
    <row r="556" spans="1:23" s="589" customFormat="1" x14ac:dyDescent="0.2">
      <c r="A556" s="589" t="s">
        <v>56</v>
      </c>
      <c r="B556" s="589" t="s">
        <v>809</v>
      </c>
      <c r="C556" s="590" t="s">
        <v>1703</v>
      </c>
      <c r="D556" s="589" t="s">
        <v>100</v>
      </c>
      <c r="E556" s="589" t="s">
        <v>104</v>
      </c>
      <c r="F556" s="589" t="s">
        <v>112</v>
      </c>
      <c r="G556" s="589" t="s">
        <v>51</v>
      </c>
      <c r="H556" s="589" t="s">
        <v>242</v>
      </c>
      <c r="I556" s="589" t="s">
        <v>811</v>
      </c>
      <c r="J556" s="589" t="s">
        <v>35</v>
      </c>
      <c r="K556" s="591">
        <v>3211.1950000000002</v>
      </c>
      <c r="L556" s="592">
        <f>IF(J556="TND",1,IF(J556="EUR",Vertical_Cash_flow!$C$16,IF(J556="USD",Vertical_Cash_flow!$F$16,0)))</f>
        <v>1</v>
      </c>
      <c r="M556" s="593">
        <f t="shared" si="36"/>
        <v>3211.1950000000002</v>
      </c>
      <c r="N556" s="589" t="s">
        <v>251</v>
      </c>
      <c r="O556" s="594">
        <v>45370</v>
      </c>
      <c r="P556" s="593">
        <f t="shared" si="37"/>
        <v>-91</v>
      </c>
      <c r="Q556" s="594">
        <v>45461</v>
      </c>
      <c r="R556" s="593">
        <f t="shared" ca="1" si="38"/>
        <v>-20</v>
      </c>
      <c r="S556" s="589" t="str">
        <f>VLOOKUP(Q556,Mapping!L:M,2,0)</f>
        <v>W25_2024</v>
      </c>
      <c r="T556" s="589" t="str">
        <f t="shared" ca="1" si="39"/>
        <v>Not Due</v>
      </c>
      <c r="W556" s="591"/>
    </row>
    <row r="557" spans="1:23" s="589" customFormat="1" x14ac:dyDescent="0.2">
      <c r="A557" s="589" t="s">
        <v>56</v>
      </c>
      <c r="B557" s="589" t="s">
        <v>544</v>
      </c>
      <c r="C557" s="590" t="s">
        <v>1704</v>
      </c>
      <c r="D557" s="589" t="s">
        <v>100</v>
      </c>
      <c r="E557" s="589" t="s">
        <v>104</v>
      </c>
      <c r="F557" s="589" t="s">
        <v>112</v>
      </c>
      <c r="G557" s="589" t="s">
        <v>51</v>
      </c>
      <c r="H557" s="589" t="s">
        <v>242</v>
      </c>
      <c r="I557" s="589" t="s">
        <v>2090</v>
      </c>
      <c r="J557" s="589" t="s">
        <v>35</v>
      </c>
      <c r="K557" s="591">
        <v>1143.991</v>
      </c>
      <c r="L557" s="592">
        <f>IF(J557="TND",1,IF(J557="EUR",Vertical_Cash_flow!$C$16,IF(J557="USD",Vertical_Cash_flow!$F$16,0)))</f>
        <v>1</v>
      </c>
      <c r="M557" s="593">
        <f t="shared" si="36"/>
        <v>1143.991</v>
      </c>
      <c r="N557" s="589" t="s">
        <v>251</v>
      </c>
      <c r="O557" s="594">
        <v>45381</v>
      </c>
      <c r="P557" s="593">
        <f t="shared" si="37"/>
        <v>-80</v>
      </c>
      <c r="Q557" s="594">
        <v>45461</v>
      </c>
      <c r="R557" s="593">
        <f t="shared" ca="1" si="38"/>
        <v>-20</v>
      </c>
      <c r="S557" s="589" t="str">
        <f>VLOOKUP(Q557,Mapping!L:M,2,0)</f>
        <v>W25_2024</v>
      </c>
      <c r="T557" s="589" t="str">
        <f t="shared" ca="1" si="39"/>
        <v>Not Due</v>
      </c>
      <c r="W557" s="591"/>
    </row>
    <row r="558" spans="1:23" s="589" customFormat="1" x14ac:dyDescent="0.2">
      <c r="A558" s="589" t="s">
        <v>56</v>
      </c>
      <c r="B558" s="589" t="s">
        <v>587</v>
      </c>
      <c r="C558" s="590" t="s">
        <v>1702</v>
      </c>
      <c r="D558" s="589" t="s">
        <v>100</v>
      </c>
      <c r="E558" s="589" t="s">
        <v>104</v>
      </c>
      <c r="F558" s="589" t="s">
        <v>112</v>
      </c>
      <c r="G558" s="589" t="s">
        <v>51</v>
      </c>
      <c r="H558" s="589" t="s">
        <v>242</v>
      </c>
      <c r="I558" s="589" t="s">
        <v>2089</v>
      </c>
      <c r="J558" s="589" t="s">
        <v>35</v>
      </c>
      <c r="K558" s="591">
        <v>5000</v>
      </c>
      <c r="L558" s="592">
        <f>IF(J558="TND",1,IF(J558="EUR",Vertical_Cash_flow!$C$16,IF(J558="USD",Vertical_Cash_flow!$F$16,0)))</f>
        <v>1</v>
      </c>
      <c r="M558" s="593">
        <f t="shared" si="36"/>
        <v>5000</v>
      </c>
      <c r="N558" s="589" t="s">
        <v>251</v>
      </c>
      <c r="O558" s="594">
        <v>45377</v>
      </c>
      <c r="P558" s="593">
        <f t="shared" si="37"/>
        <v>-84</v>
      </c>
      <c r="Q558" s="594">
        <v>45461</v>
      </c>
      <c r="R558" s="593">
        <f t="shared" ca="1" si="38"/>
        <v>-20</v>
      </c>
      <c r="S558" s="589" t="str">
        <f>VLOOKUP(Q558,Mapping!L:M,2,0)</f>
        <v>W25_2024</v>
      </c>
      <c r="T558" s="589" t="str">
        <f t="shared" ca="1" si="39"/>
        <v>Not Due</v>
      </c>
      <c r="W558" s="591"/>
    </row>
    <row r="559" spans="1:23" s="589" customFormat="1" x14ac:dyDescent="0.2">
      <c r="A559" s="589" t="s">
        <v>56</v>
      </c>
      <c r="B559" s="589" t="s">
        <v>554</v>
      </c>
      <c r="C559" s="590" t="s">
        <v>3191</v>
      </c>
      <c r="D559" s="589" t="s">
        <v>100</v>
      </c>
      <c r="E559" s="589" t="s">
        <v>104</v>
      </c>
      <c r="F559" s="589" t="s">
        <v>112</v>
      </c>
      <c r="G559" s="589" t="s">
        <v>51</v>
      </c>
      <c r="H559" s="589" t="s">
        <v>242</v>
      </c>
      <c r="I559" s="589" t="s">
        <v>2849</v>
      </c>
      <c r="J559" s="589" t="s">
        <v>35</v>
      </c>
      <c r="K559" s="591">
        <v>1576.2539999999999</v>
      </c>
      <c r="L559" s="592">
        <f>IF(J559="TND",1,IF(J559="EUR",Vertical_Cash_flow!$C$16,IF(J559="USD",Vertical_Cash_flow!$F$16,0)))</f>
        <v>1</v>
      </c>
      <c r="M559" s="593">
        <f t="shared" si="36"/>
        <v>1576.2539999999999</v>
      </c>
      <c r="N559" s="589" t="s">
        <v>251</v>
      </c>
      <c r="O559" s="594">
        <v>45418</v>
      </c>
      <c r="P559" s="593">
        <f t="shared" si="37"/>
        <v>-44</v>
      </c>
      <c r="Q559" s="594">
        <v>45462</v>
      </c>
      <c r="R559" s="593">
        <f t="shared" ca="1" si="38"/>
        <v>-21</v>
      </c>
      <c r="S559" s="589" t="str">
        <f>VLOOKUP(Q559,Mapping!L:M,2,0)</f>
        <v>W25_2024</v>
      </c>
      <c r="T559" s="589" t="str">
        <f t="shared" ca="1" si="39"/>
        <v>Not Due</v>
      </c>
      <c r="W559" s="591"/>
    </row>
    <row r="560" spans="1:23" s="589" customFormat="1" x14ac:dyDescent="0.2">
      <c r="A560" s="589" t="s">
        <v>56</v>
      </c>
      <c r="B560" s="589" t="s">
        <v>348</v>
      </c>
      <c r="C560" s="590" t="s">
        <v>1701</v>
      </c>
      <c r="D560" s="589" t="s">
        <v>100</v>
      </c>
      <c r="E560" s="589" t="s">
        <v>104</v>
      </c>
      <c r="F560" s="589" t="s">
        <v>112</v>
      </c>
      <c r="G560" s="589" t="s">
        <v>51</v>
      </c>
      <c r="H560" s="589" t="s">
        <v>242</v>
      </c>
      <c r="I560" s="589" t="s">
        <v>2088</v>
      </c>
      <c r="J560" s="589" t="s">
        <v>35</v>
      </c>
      <c r="K560" s="591">
        <v>4000</v>
      </c>
      <c r="L560" s="592">
        <f>IF(J560="TND",1,IF(J560="EUR",Vertical_Cash_flow!$C$16,IF(J560="USD",Vertical_Cash_flow!$F$16,0)))</f>
        <v>1</v>
      </c>
      <c r="M560" s="593">
        <f t="shared" si="36"/>
        <v>4000</v>
      </c>
      <c r="N560" s="589" t="s">
        <v>251</v>
      </c>
      <c r="O560" s="594">
        <v>45380</v>
      </c>
      <c r="P560" s="593">
        <f t="shared" si="37"/>
        <v>-82</v>
      </c>
      <c r="Q560" s="594">
        <v>45462</v>
      </c>
      <c r="R560" s="593">
        <f t="shared" ca="1" si="38"/>
        <v>-21</v>
      </c>
      <c r="S560" s="589" t="str">
        <f>VLOOKUP(Q560,Mapping!L:M,2,0)</f>
        <v>W25_2024</v>
      </c>
      <c r="T560" s="589" t="str">
        <f t="shared" ca="1" si="39"/>
        <v>Not Due</v>
      </c>
      <c r="W560" s="591"/>
    </row>
    <row r="561" spans="1:23" s="589" customFormat="1" x14ac:dyDescent="0.2">
      <c r="A561" s="589" t="s">
        <v>56</v>
      </c>
      <c r="B561" s="589" t="s">
        <v>360</v>
      </c>
      <c r="C561" s="590" t="s">
        <v>1697</v>
      </c>
      <c r="D561" s="589" t="s">
        <v>100</v>
      </c>
      <c r="E561" s="589" t="s">
        <v>104</v>
      </c>
      <c r="F561" s="589" t="s">
        <v>112</v>
      </c>
      <c r="G561" s="589" t="s">
        <v>51</v>
      </c>
      <c r="H561" s="589" t="s">
        <v>242</v>
      </c>
      <c r="I561" s="589" t="s">
        <v>2085</v>
      </c>
      <c r="J561" s="589" t="s">
        <v>35</v>
      </c>
      <c r="K561" s="591">
        <v>2353.674</v>
      </c>
      <c r="L561" s="592">
        <f>IF(J561="TND",1,IF(J561="EUR",Vertical_Cash_flow!$C$16,IF(J561="USD",Vertical_Cash_flow!$F$16,0)))</f>
        <v>1</v>
      </c>
      <c r="M561" s="593">
        <f t="shared" si="36"/>
        <v>2353.674</v>
      </c>
      <c r="N561" s="589" t="s">
        <v>251</v>
      </c>
      <c r="O561" s="594">
        <v>45349</v>
      </c>
      <c r="P561" s="593">
        <f t="shared" si="37"/>
        <v>-114</v>
      </c>
      <c r="Q561" s="594">
        <v>45463</v>
      </c>
      <c r="R561" s="593">
        <f t="shared" ca="1" si="38"/>
        <v>-22</v>
      </c>
      <c r="S561" s="589" t="str">
        <f>VLOOKUP(Q561,Mapping!L:M,2,0)</f>
        <v>W25_2024</v>
      </c>
      <c r="T561" s="589" t="str">
        <f t="shared" ca="1" si="39"/>
        <v>Not Due</v>
      </c>
      <c r="W561" s="591"/>
    </row>
    <row r="562" spans="1:23" s="589" customFormat="1" x14ac:dyDescent="0.2">
      <c r="A562" s="589" t="s">
        <v>56</v>
      </c>
      <c r="B562" s="589" t="s">
        <v>894</v>
      </c>
      <c r="C562" s="590" t="s">
        <v>3190</v>
      </c>
      <c r="D562" s="589" t="s">
        <v>100</v>
      </c>
      <c r="E562" s="589" t="s">
        <v>104</v>
      </c>
      <c r="F562" s="589" t="s">
        <v>112</v>
      </c>
      <c r="G562" s="589" t="s">
        <v>51</v>
      </c>
      <c r="H562" s="589" t="s">
        <v>242</v>
      </c>
      <c r="I562" s="589" t="s">
        <v>3366</v>
      </c>
      <c r="J562" s="589" t="s">
        <v>35</v>
      </c>
      <c r="K562" s="591">
        <v>570.39700000000005</v>
      </c>
      <c r="L562" s="592">
        <f>IF(J562="TND",1,IF(J562="EUR",Vertical_Cash_flow!$C$16,IF(J562="USD",Vertical_Cash_flow!$F$16,0)))</f>
        <v>1</v>
      </c>
      <c r="M562" s="593">
        <f t="shared" si="36"/>
        <v>570.39700000000005</v>
      </c>
      <c r="N562" s="589" t="s">
        <v>251</v>
      </c>
      <c r="O562" s="594">
        <v>45412</v>
      </c>
      <c r="P562" s="593">
        <f t="shared" si="37"/>
        <v>-51</v>
      </c>
      <c r="Q562" s="594">
        <v>45463</v>
      </c>
      <c r="R562" s="593">
        <f t="shared" ca="1" si="38"/>
        <v>-22</v>
      </c>
      <c r="S562" s="589" t="str">
        <f>VLOOKUP(Q562,Mapping!L:M,2,0)</f>
        <v>W25_2024</v>
      </c>
      <c r="T562" s="589" t="str">
        <f t="shared" ca="1" si="39"/>
        <v>Not Due</v>
      </c>
      <c r="W562" s="591"/>
    </row>
    <row r="563" spans="1:23" s="589" customFormat="1" x14ac:dyDescent="0.2">
      <c r="A563" s="589" t="s">
        <v>56</v>
      </c>
      <c r="B563" s="589" t="s">
        <v>295</v>
      </c>
      <c r="C563" s="590" t="s">
        <v>1696</v>
      </c>
      <c r="D563" s="589" t="s">
        <v>100</v>
      </c>
      <c r="E563" s="589" t="s">
        <v>104</v>
      </c>
      <c r="F563" s="589" t="s">
        <v>112</v>
      </c>
      <c r="G563" s="589" t="s">
        <v>51</v>
      </c>
      <c r="H563" s="589" t="s">
        <v>242</v>
      </c>
      <c r="I563" s="589" t="s">
        <v>2084</v>
      </c>
      <c r="J563" s="589" t="s">
        <v>35</v>
      </c>
      <c r="K563" s="591">
        <v>1043.877</v>
      </c>
      <c r="L563" s="592">
        <f>IF(J563="TND",1,IF(J563="EUR",Vertical_Cash_flow!$C$16,IF(J563="USD",Vertical_Cash_flow!$F$16,0)))</f>
        <v>1</v>
      </c>
      <c r="M563" s="593">
        <f t="shared" si="36"/>
        <v>1043.877</v>
      </c>
      <c r="N563" s="589" t="s">
        <v>251</v>
      </c>
      <c r="O563" s="594">
        <v>45373</v>
      </c>
      <c r="P563" s="593">
        <f t="shared" si="37"/>
        <v>-90</v>
      </c>
      <c r="Q563" s="594">
        <v>45463</v>
      </c>
      <c r="R563" s="593">
        <f t="shared" ca="1" si="38"/>
        <v>-22</v>
      </c>
      <c r="S563" s="589" t="str">
        <f>VLOOKUP(Q563,Mapping!L:M,2,0)</f>
        <v>W25_2024</v>
      </c>
      <c r="T563" s="589" t="str">
        <f t="shared" ca="1" si="39"/>
        <v>Not Due</v>
      </c>
      <c r="W563" s="591"/>
    </row>
    <row r="564" spans="1:23" s="589" customFormat="1" x14ac:dyDescent="0.2">
      <c r="A564" s="589" t="s">
        <v>56</v>
      </c>
      <c r="B564" s="589" t="s">
        <v>285</v>
      </c>
      <c r="C564" s="590" t="s">
        <v>1700</v>
      </c>
      <c r="D564" s="589" t="s">
        <v>100</v>
      </c>
      <c r="E564" s="589" t="s">
        <v>104</v>
      </c>
      <c r="F564" s="589" t="s">
        <v>112</v>
      </c>
      <c r="G564" s="589" t="s">
        <v>51</v>
      </c>
      <c r="H564" s="589" t="s">
        <v>242</v>
      </c>
      <c r="I564" s="589" t="s">
        <v>2087</v>
      </c>
      <c r="J564" s="589" t="s">
        <v>35</v>
      </c>
      <c r="K564" s="591">
        <v>1237.2719999999999</v>
      </c>
      <c r="L564" s="592">
        <f>IF(J564="TND",1,IF(J564="EUR",Vertical_Cash_flow!$C$16,IF(J564="USD",Vertical_Cash_flow!$F$16,0)))</f>
        <v>1</v>
      </c>
      <c r="M564" s="593">
        <f t="shared" si="36"/>
        <v>1237.2719999999999</v>
      </c>
      <c r="N564" s="589" t="s">
        <v>251</v>
      </c>
      <c r="O564" s="594">
        <v>45351</v>
      </c>
      <c r="P564" s="593">
        <f t="shared" si="37"/>
        <v>-112</v>
      </c>
      <c r="Q564" s="594">
        <v>45463</v>
      </c>
      <c r="R564" s="593">
        <f t="shared" ca="1" si="38"/>
        <v>-22</v>
      </c>
      <c r="S564" s="589" t="str">
        <f>VLOOKUP(Q564,Mapping!L:M,2,0)</f>
        <v>W25_2024</v>
      </c>
      <c r="T564" s="589" t="str">
        <f t="shared" ca="1" si="39"/>
        <v>Not Due</v>
      </c>
      <c r="W564" s="591"/>
    </row>
    <row r="565" spans="1:23" s="589" customFormat="1" x14ac:dyDescent="0.2">
      <c r="A565" s="589" t="s">
        <v>56</v>
      </c>
      <c r="B565" s="589" t="s">
        <v>310</v>
      </c>
      <c r="C565" s="590" t="s">
        <v>3189</v>
      </c>
      <c r="D565" s="589" t="s">
        <v>100</v>
      </c>
      <c r="E565" s="589" t="s">
        <v>104</v>
      </c>
      <c r="F565" s="589" t="s">
        <v>112</v>
      </c>
      <c r="G565" s="589" t="s">
        <v>51</v>
      </c>
      <c r="H565" s="589" t="s">
        <v>242</v>
      </c>
      <c r="I565" s="589" t="s">
        <v>3344</v>
      </c>
      <c r="J565" s="589" t="s">
        <v>35</v>
      </c>
      <c r="K565" s="591">
        <v>936.33299999999997</v>
      </c>
      <c r="L565" s="592">
        <f>IF(J565="TND",1,IF(J565="EUR",Vertical_Cash_flow!$C$16,IF(J565="USD",Vertical_Cash_flow!$F$16,0)))</f>
        <v>1</v>
      </c>
      <c r="M565" s="593">
        <f t="shared" si="36"/>
        <v>936.33299999999997</v>
      </c>
      <c r="N565" s="589" t="s">
        <v>251</v>
      </c>
      <c r="O565" s="594">
        <v>45412</v>
      </c>
      <c r="P565" s="593">
        <f t="shared" si="37"/>
        <v>-51</v>
      </c>
      <c r="Q565" s="594">
        <v>45463</v>
      </c>
      <c r="R565" s="593">
        <f t="shared" ca="1" si="38"/>
        <v>-22</v>
      </c>
      <c r="S565" s="589" t="str">
        <f>VLOOKUP(Q565,Mapping!L:M,2,0)</f>
        <v>W25_2024</v>
      </c>
      <c r="T565" s="589" t="str">
        <f t="shared" ca="1" si="39"/>
        <v>Not Due</v>
      </c>
      <c r="W565" s="591"/>
    </row>
    <row r="566" spans="1:23" s="589" customFormat="1" x14ac:dyDescent="0.2">
      <c r="A566" s="589" t="s">
        <v>56</v>
      </c>
      <c r="B566" s="589" t="s">
        <v>274</v>
      </c>
      <c r="C566" s="590" t="s">
        <v>1281</v>
      </c>
      <c r="D566" s="589" t="s">
        <v>100</v>
      </c>
      <c r="E566" s="589" t="s">
        <v>104</v>
      </c>
      <c r="F566" s="589" t="s">
        <v>112</v>
      </c>
      <c r="G566" s="589" t="s">
        <v>51</v>
      </c>
      <c r="H566" s="589" t="s">
        <v>242</v>
      </c>
      <c r="I566" s="589" t="s">
        <v>1390</v>
      </c>
      <c r="J566" s="589" t="s">
        <v>35</v>
      </c>
      <c r="K566" s="591">
        <v>617.21699999999998</v>
      </c>
      <c r="L566" s="592">
        <f>IF(J566="TND",1,IF(J566="EUR",Vertical_Cash_flow!$C$16,IF(J566="USD",Vertical_Cash_flow!$F$16,0)))</f>
        <v>1</v>
      </c>
      <c r="M566" s="593">
        <f t="shared" si="36"/>
        <v>617.21699999999998</v>
      </c>
      <c r="N566" s="589" t="s">
        <v>251</v>
      </c>
      <c r="O566" s="594">
        <v>45343</v>
      </c>
      <c r="P566" s="593">
        <f t="shared" si="37"/>
        <v>-120</v>
      </c>
      <c r="Q566" s="594">
        <v>45463</v>
      </c>
      <c r="R566" s="593">
        <f t="shared" ca="1" si="38"/>
        <v>-22</v>
      </c>
      <c r="S566" s="589" t="str">
        <f>VLOOKUP(Q566,Mapping!L:M,2,0)</f>
        <v>W25_2024</v>
      </c>
      <c r="T566" s="589" t="str">
        <f t="shared" ca="1" si="39"/>
        <v>Not Due</v>
      </c>
      <c r="W566" s="591"/>
    </row>
    <row r="567" spans="1:23" s="589" customFormat="1" x14ac:dyDescent="0.2">
      <c r="A567" s="589" t="s">
        <v>56</v>
      </c>
      <c r="B567" s="589" t="s">
        <v>570</v>
      </c>
      <c r="C567" s="590" t="s">
        <v>1283</v>
      </c>
      <c r="D567" s="589" t="s">
        <v>100</v>
      </c>
      <c r="E567" s="589" t="s">
        <v>104</v>
      </c>
      <c r="F567" s="589" t="s">
        <v>112</v>
      </c>
      <c r="G567" s="589" t="s">
        <v>51</v>
      </c>
      <c r="H567" s="589" t="s">
        <v>242</v>
      </c>
      <c r="I567" s="589" t="s">
        <v>1392</v>
      </c>
      <c r="J567" s="589" t="s">
        <v>35</v>
      </c>
      <c r="K567" s="591">
        <v>28587.714</v>
      </c>
      <c r="L567" s="592">
        <f>IF(J567="TND",1,IF(J567="EUR",Vertical_Cash_flow!$C$16,IF(J567="USD",Vertical_Cash_flow!$F$16,0)))</f>
        <v>1</v>
      </c>
      <c r="M567" s="593">
        <f t="shared" si="36"/>
        <v>28587.714</v>
      </c>
      <c r="N567" s="589" t="s">
        <v>251</v>
      </c>
      <c r="O567" s="594">
        <v>45334</v>
      </c>
      <c r="P567" s="593">
        <f t="shared" si="37"/>
        <v>-129</v>
      </c>
      <c r="Q567" s="594">
        <v>45463</v>
      </c>
      <c r="R567" s="593">
        <f t="shared" ca="1" si="38"/>
        <v>-22</v>
      </c>
      <c r="S567" s="589" t="str">
        <f>VLOOKUP(Q567,Mapping!L:M,2,0)</f>
        <v>W25_2024</v>
      </c>
      <c r="T567" s="589" t="str">
        <f t="shared" ca="1" si="39"/>
        <v>Not Due</v>
      </c>
      <c r="W567" s="591"/>
    </row>
    <row r="568" spans="1:23" s="589" customFormat="1" x14ac:dyDescent="0.2">
      <c r="A568" s="589" t="s">
        <v>56</v>
      </c>
      <c r="B568" s="589" t="s">
        <v>1035</v>
      </c>
      <c r="C568" s="590" t="s">
        <v>2549</v>
      </c>
      <c r="D568" s="589" t="s">
        <v>100</v>
      </c>
      <c r="E568" s="589" t="s">
        <v>104</v>
      </c>
      <c r="F568" s="589" t="s">
        <v>112</v>
      </c>
      <c r="G568" s="589" t="s">
        <v>51</v>
      </c>
      <c r="H568" s="589" t="s">
        <v>242</v>
      </c>
      <c r="I568" s="589" t="s">
        <v>2868</v>
      </c>
      <c r="J568" s="589" t="s">
        <v>35</v>
      </c>
      <c r="K568" s="591">
        <v>879.72</v>
      </c>
      <c r="L568" s="592">
        <f>IF(J568="TND",1,IF(J568="EUR",Vertical_Cash_flow!$C$16,IF(J568="USD",Vertical_Cash_flow!$F$16,0)))</f>
        <v>1</v>
      </c>
      <c r="M568" s="593">
        <f t="shared" si="36"/>
        <v>879.72</v>
      </c>
      <c r="N568" s="589" t="s">
        <v>251</v>
      </c>
      <c r="O568" s="594">
        <v>45408</v>
      </c>
      <c r="P568" s="593">
        <f t="shared" si="37"/>
        <v>-55</v>
      </c>
      <c r="Q568" s="594">
        <v>45463</v>
      </c>
      <c r="R568" s="593">
        <f t="shared" ca="1" si="38"/>
        <v>-22</v>
      </c>
      <c r="S568" s="589" t="str">
        <f>VLOOKUP(Q568,Mapping!L:M,2,0)</f>
        <v>W25_2024</v>
      </c>
      <c r="T568" s="589" t="str">
        <f t="shared" ca="1" si="39"/>
        <v>Not Due</v>
      </c>
      <c r="W568" s="591"/>
    </row>
    <row r="569" spans="1:23" s="589" customFormat="1" x14ac:dyDescent="0.2">
      <c r="A569" s="589" t="s">
        <v>56</v>
      </c>
      <c r="B569" s="589" t="s">
        <v>903</v>
      </c>
      <c r="C569" s="590" t="s">
        <v>2550</v>
      </c>
      <c r="D569" s="589" t="s">
        <v>100</v>
      </c>
      <c r="E569" s="589" t="s">
        <v>104</v>
      </c>
      <c r="F569" s="589" t="s">
        <v>112</v>
      </c>
      <c r="G569" s="589" t="s">
        <v>51</v>
      </c>
      <c r="H569" s="589" t="s">
        <v>242</v>
      </c>
      <c r="I569" s="589" t="s">
        <v>2869</v>
      </c>
      <c r="J569" s="589" t="s">
        <v>35</v>
      </c>
      <c r="K569" s="591">
        <v>2433.6909999999998</v>
      </c>
      <c r="L569" s="592">
        <f>IF(J569="TND",1,IF(J569="EUR",Vertical_Cash_flow!$C$16,IF(J569="USD",Vertical_Cash_flow!$F$16,0)))</f>
        <v>1</v>
      </c>
      <c r="M569" s="593">
        <f t="shared" si="36"/>
        <v>2433.6909999999998</v>
      </c>
      <c r="N569" s="589" t="s">
        <v>251</v>
      </c>
      <c r="O569" s="594">
        <v>45407</v>
      </c>
      <c r="P569" s="593">
        <f t="shared" si="37"/>
        <v>-56</v>
      </c>
      <c r="Q569" s="594">
        <v>45463</v>
      </c>
      <c r="R569" s="593">
        <f t="shared" ca="1" si="38"/>
        <v>-22</v>
      </c>
      <c r="S569" s="589" t="str">
        <f>VLOOKUP(Q569,Mapping!L:M,2,0)</f>
        <v>W25_2024</v>
      </c>
      <c r="T569" s="589" t="str">
        <f t="shared" ca="1" si="39"/>
        <v>Not Due</v>
      </c>
      <c r="W569" s="591"/>
    </row>
    <row r="570" spans="1:23" s="589" customFormat="1" x14ac:dyDescent="0.2">
      <c r="A570" s="589" t="s">
        <v>56</v>
      </c>
      <c r="B570" s="589" t="s">
        <v>514</v>
      </c>
      <c r="C570" s="590" t="s">
        <v>3554</v>
      </c>
      <c r="D570" s="589" t="s">
        <v>100</v>
      </c>
      <c r="E570" s="589" t="s">
        <v>104</v>
      </c>
      <c r="F570" s="589" t="s">
        <v>112</v>
      </c>
      <c r="G570" s="589" t="s">
        <v>51</v>
      </c>
      <c r="H570" s="589" t="s">
        <v>242</v>
      </c>
      <c r="I570" s="589" t="s">
        <v>3701</v>
      </c>
      <c r="J570" s="589" t="s">
        <v>35</v>
      </c>
      <c r="K570" s="591">
        <v>1041.547</v>
      </c>
      <c r="L570" s="592">
        <f>IF(J570="TND",1,IF(J570="EUR",Vertical_Cash_flow!$C$16,IF(J570="USD",Vertical_Cash_flow!$F$16,0)))</f>
        <v>1</v>
      </c>
      <c r="M570" s="593">
        <f t="shared" si="36"/>
        <v>1041.547</v>
      </c>
      <c r="N570" s="589" t="s">
        <v>251</v>
      </c>
      <c r="O570" s="594">
        <v>45426</v>
      </c>
      <c r="P570" s="593">
        <f t="shared" si="37"/>
        <v>-37</v>
      </c>
      <c r="Q570" s="594">
        <v>45463</v>
      </c>
      <c r="R570" s="593">
        <f t="shared" ca="1" si="38"/>
        <v>-22</v>
      </c>
      <c r="S570" s="589" t="str">
        <f>VLOOKUP(Q570,Mapping!L:M,2,0)</f>
        <v>W25_2024</v>
      </c>
      <c r="T570" s="589" t="str">
        <f t="shared" ca="1" si="39"/>
        <v>Not Due</v>
      </c>
      <c r="W570" s="591"/>
    </row>
    <row r="571" spans="1:23" s="589" customFormat="1" x14ac:dyDescent="0.2">
      <c r="A571" s="589" t="s">
        <v>56</v>
      </c>
      <c r="B571" s="589" t="s">
        <v>312</v>
      </c>
      <c r="C571" s="590" t="s">
        <v>2551</v>
      </c>
      <c r="D571" s="589" t="s">
        <v>100</v>
      </c>
      <c r="E571" s="589" t="s">
        <v>104</v>
      </c>
      <c r="F571" s="589" t="s">
        <v>112</v>
      </c>
      <c r="G571" s="589" t="s">
        <v>51</v>
      </c>
      <c r="H571" s="589" t="s">
        <v>242</v>
      </c>
      <c r="I571" s="589" t="s">
        <v>2870</v>
      </c>
      <c r="J571" s="589" t="s">
        <v>35</v>
      </c>
      <c r="K571" s="591">
        <v>1035.319</v>
      </c>
      <c r="L571" s="592">
        <f>IF(J571="TND",1,IF(J571="EUR",Vertical_Cash_flow!$C$16,IF(J571="USD",Vertical_Cash_flow!$F$16,0)))</f>
        <v>1</v>
      </c>
      <c r="M571" s="593">
        <f t="shared" si="36"/>
        <v>1035.319</v>
      </c>
      <c r="N571" s="589" t="s">
        <v>251</v>
      </c>
      <c r="O571" s="594">
        <v>45406</v>
      </c>
      <c r="P571" s="593">
        <f t="shared" si="37"/>
        <v>-57</v>
      </c>
      <c r="Q571" s="594">
        <v>45463</v>
      </c>
      <c r="R571" s="593">
        <f t="shared" ca="1" si="38"/>
        <v>-22</v>
      </c>
      <c r="S571" s="589" t="str">
        <f>VLOOKUP(Q571,Mapping!L:M,2,0)</f>
        <v>W25_2024</v>
      </c>
      <c r="T571" s="589" t="str">
        <f t="shared" ca="1" si="39"/>
        <v>Not Due</v>
      </c>
      <c r="W571" s="591"/>
    </row>
    <row r="572" spans="1:23" s="589" customFormat="1" x14ac:dyDescent="0.2">
      <c r="A572" s="589" t="s">
        <v>56</v>
      </c>
      <c r="B572" s="589" t="s">
        <v>634</v>
      </c>
      <c r="C572" s="590" t="s">
        <v>1698</v>
      </c>
      <c r="D572" s="589" t="s">
        <v>100</v>
      </c>
      <c r="E572" s="589" t="s">
        <v>104</v>
      </c>
      <c r="F572" s="589" t="s">
        <v>112</v>
      </c>
      <c r="G572" s="589" t="s">
        <v>51</v>
      </c>
      <c r="H572" s="589" t="s">
        <v>242</v>
      </c>
      <c r="I572" s="589" t="s">
        <v>2041</v>
      </c>
      <c r="J572" s="589" t="s">
        <v>35</v>
      </c>
      <c r="K572" s="591">
        <v>1000</v>
      </c>
      <c r="L572" s="592">
        <f>IF(J572="TND",1,IF(J572="EUR",Vertical_Cash_flow!$C$16,IF(J572="USD",Vertical_Cash_flow!$F$16,0)))</f>
        <v>1</v>
      </c>
      <c r="M572" s="593">
        <f t="shared" si="36"/>
        <v>1000</v>
      </c>
      <c r="N572" s="589" t="s">
        <v>251</v>
      </c>
      <c r="O572" s="594">
        <v>45379</v>
      </c>
      <c r="P572" s="593">
        <f t="shared" si="37"/>
        <v>-84</v>
      </c>
      <c r="Q572" s="594">
        <v>45463</v>
      </c>
      <c r="R572" s="593">
        <f t="shared" ca="1" si="38"/>
        <v>-22</v>
      </c>
      <c r="S572" s="589" t="str">
        <f>VLOOKUP(Q572,Mapping!L:M,2,0)</f>
        <v>W25_2024</v>
      </c>
      <c r="T572" s="589" t="str">
        <f t="shared" ca="1" si="39"/>
        <v>Not Due</v>
      </c>
      <c r="W572" s="591"/>
    </row>
    <row r="573" spans="1:23" s="589" customFormat="1" x14ac:dyDescent="0.2">
      <c r="A573" s="589" t="s">
        <v>56</v>
      </c>
      <c r="B573" s="589" t="s">
        <v>294</v>
      </c>
      <c r="C573" s="590" t="s">
        <v>1699</v>
      </c>
      <c r="D573" s="589" t="s">
        <v>100</v>
      </c>
      <c r="E573" s="589" t="s">
        <v>104</v>
      </c>
      <c r="F573" s="589" t="s">
        <v>112</v>
      </c>
      <c r="G573" s="589" t="s">
        <v>51</v>
      </c>
      <c r="H573" s="589" t="s">
        <v>242</v>
      </c>
      <c r="I573" s="589" t="s">
        <v>2086</v>
      </c>
      <c r="J573" s="589" t="s">
        <v>35</v>
      </c>
      <c r="K573" s="591">
        <v>700</v>
      </c>
      <c r="L573" s="592">
        <f>IF(J573="TND",1,IF(J573="EUR",Vertical_Cash_flow!$C$16,IF(J573="USD",Vertical_Cash_flow!$F$16,0)))</f>
        <v>1</v>
      </c>
      <c r="M573" s="593">
        <f t="shared" si="36"/>
        <v>700</v>
      </c>
      <c r="N573" s="589" t="s">
        <v>251</v>
      </c>
      <c r="O573" s="594">
        <v>45363</v>
      </c>
      <c r="P573" s="593">
        <f t="shared" si="37"/>
        <v>-100</v>
      </c>
      <c r="Q573" s="594">
        <v>45463</v>
      </c>
      <c r="R573" s="593">
        <f t="shared" ca="1" si="38"/>
        <v>-22</v>
      </c>
      <c r="S573" s="589" t="str">
        <f>VLOOKUP(Q573,Mapping!L:M,2,0)</f>
        <v>W25_2024</v>
      </c>
      <c r="T573" s="589" t="str">
        <f t="shared" ca="1" si="39"/>
        <v>Not Due</v>
      </c>
      <c r="W573" s="591"/>
    </row>
    <row r="574" spans="1:23" s="589" customFormat="1" x14ac:dyDescent="0.2">
      <c r="A574" s="589" t="s">
        <v>56</v>
      </c>
      <c r="B574" s="589" t="s">
        <v>553</v>
      </c>
      <c r="C574" s="590" t="s">
        <v>2552</v>
      </c>
      <c r="D574" s="589" t="s">
        <v>100</v>
      </c>
      <c r="E574" s="589" t="s">
        <v>104</v>
      </c>
      <c r="F574" s="589" t="s">
        <v>112</v>
      </c>
      <c r="G574" s="589" t="s">
        <v>51</v>
      </c>
      <c r="H574" s="589" t="s">
        <v>242</v>
      </c>
      <c r="I574" s="589" t="s">
        <v>2271</v>
      </c>
      <c r="J574" s="589" t="s">
        <v>35</v>
      </c>
      <c r="K574" s="591">
        <v>2283.029</v>
      </c>
      <c r="L574" s="592">
        <f>IF(J574="TND",1,IF(J574="EUR",Vertical_Cash_flow!$C$16,IF(J574="USD",Vertical_Cash_flow!$F$16,0)))</f>
        <v>1</v>
      </c>
      <c r="M574" s="593">
        <f t="shared" si="36"/>
        <v>2283.029</v>
      </c>
      <c r="N574" s="589" t="s">
        <v>251</v>
      </c>
      <c r="O574" s="594">
        <v>45402</v>
      </c>
      <c r="P574" s="593">
        <f t="shared" si="37"/>
        <v>-61</v>
      </c>
      <c r="Q574" s="594">
        <v>45463</v>
      </c>
      <c r="R574" s="593">
        <f t="shared" ca="1" si="38"/>
        <v>-22</v>
      </c>
      <c r="S574" s="589" t="str">
        <f>VLOOKUP(Q574,Mapping!L:M,2,0)</f>
        <v>W25_2024</v>
      </c>
      <c r="T574" s="589" t="str">
        <f t="shared" ca="1" si="39"/>
        <v>Not Due</v>
      </c>
      <c r="W574" s="591"/>
    </row>
    <row r="575" spans="1:23" s="589" customFormat="1" x14ac:dyDescent="0.2">
      <c r="A575" s="589" t="s">
        <v>56</v>
      </c>
      <c r="B575" s="589" t="s">
        <v>358</v>
      </c>
      <c r="C575" s="590" t="s">
        <v>1695</v>
      </c>
      <c r="D575" s="589" t="s">
        <v>100</v>
      </c>
      <c r="E575" s="589" t="s">
        <v>104</v>
      </c>
      <c r="F575" s="589" t="s">
        <v>112</v>
      </c>
      <c r="G575" s="589" t="s">
        <v>51</v>
      </c>
      <c r="H575" s="589" t="s">
        <v>242</v>
      </c>
      <c r="I575" s="589" t="s">
        <v>2083</v>
      </c>
      <c r="J575" s="589" t="s">
        <v>35</v>
      </c>
      <c r="K575" s="591">
        <v>2326.2469999999998</v>
      </c>
      <c r="L575" s="592">
        <f>IF(J575="TND",1,IF(J575="EUR",Vertical_Cash_flow!$C$16,IF(J575="USD",Vertical_Cash_flow!$F$16,0)))</f>
        <v>1</v>
      </c>
      <c r="M575" s="593">
        <f t="shared" si="36"/>
        <v>2326.2469999999998</v>
      </c>
      <c r="N575" s="589" t="s">
        <v>251</v>
      </c>
      <c r="O575" s="594">
        <v>45369</v>
      </c>
      <c r="P575" s="593">
        <f t="shared" si="37"/>
        <v>-94</v>
      </c>
      <c r="Q575" s="594">
        <v>45463</v>
      </c>
      <c r="R575" s="593">
        <f t="shared" ca="1" si="38"/>
        <v>-22</v>
      </c>
      <c r="S575" s="589" t="str">
        <f>VLOOKUP(Q575,Mapping!L:M,2,0)</f>
        <v>W25_2024</v>
      </c>
      <c r="T575" s="589" t="str">
        <f t="shared" ca="1" si="39"/>
        <v>Not Due</v>
      </c>
      <c r="W575" s="591"/>
    </row>
    <row r="576" spans="1:23" s="589" customFormat="1" x14ac:dyDescent="0.2">
      <c r="A576" s="589" t="s">
        <v>56</v>
      </c>
      <c r="B576" s="589" t="s">
        <v>353</v>
      </c>
      <c r="C576" s="590" t="s">
        <v>1282</v>
      </c>
      <c r="D576" s="589" t="s">
        <v>100</v>
      </c>
      <c r="E576" s="589" t="s">
        <v>104</v>
      </c>
      <c r="F576" s="589" t="s">
        <v>112</v>
      </c>
      <c r="G576" s="589" t="s">
        <v>51</v>
      </c>
      <c r="H576" s="589" t="s">
        <v>242</v>
      </c>
      <c r="I576" s="589" t="s">
        <v>1391</v>
      </c>
      <c r="J576" s="589" t="s">
        <v>35</v>
      </c>
      <c r="K576" s="591">
        <v>694.20500000000004</v>
      </c>
      <c r="L576" s="592">
        <f>IF(J576="TND",1,IF(J576="EUR",Vertical_Cash_flow!$C$16,IF(J576="USD",Vertical_Cash_flow!$F$16,0)))</f>
        <v>1</v>
      </c>
      <c r="M576" s="593">
        <f t="shared" si="36"/>
        <v>694.20500000000004</v>
      </c>
      <c r="N576" s="589" t="s">
        <v>251</v>
      </c>
      <c r="O576" s="594">
        <v>45345</v>
      </c>
      <c r="P576" s="593">
        <f t="shared" si="37"/>
        <v>-118</v>
      </c>
      <c r="Q576" s="594">
        <v>45463</v>
      </c>
      <c r="R576" s="593">
        <f t="shared" ca="1" si="38"/>
        <v>-22</v>
      </c>
      <c r="S576" s="589" t="str">
        <f>VLOOKUP(Q576,Mapping!L:M,2,0)</f>
        <v>W25_2024</v>
      </c>
      <c r="T576" s="589" t="str">
        <f t="shared" ca="1" si="39"/>
        <v>Not Due</v>
      </c>
      <c r="W576" s="591"/>
    </row>
    <row r="577" spans="1:23" s="589" customFormat="1" x14ac:dyDescent="0.2">
      <c r="A577" s="589" t="s">
        <v>56</v>
      </c>
      <c r="B577" s="589" t="s">
        <v>369</v>
      </c>
      <c r="C577" s="590" t="s">
        <v>3188</v>
      </c>
      <c r="D577" s="589" t="s">
        <v>100</v>
      </c>
      <c r="E577" s="589" t="s">
        <v>104</v>
      </c>
      <c r="F577" s="589" t="s">
        <v>112</v>
      </c>
      <c r="G577" s="589" t="s">
        <v>51</v>
      </c>
      <c r="H577" s="589" t="s">
        <v>242</v>
      </c>
      <c r="I577" s="589" t="s">
        <v>3365</v>
      </c>
      <c r="J577" s="589" t="s">
        <v>35</v>
      </c>
      <c r="K577" s="591">
        <v>7675.857</v>
      </c>
      <c r="L577" s="592">
        <f>IF(J577="TND",1,IF(J577="EUR",Vertical_Cash_flow!$C$16,IF(J577="USD",Vertical_Cash_flow!$F$16,0)))</f>
        <v>1</v>
      </c>
      <c r="M577" s="593">
        <f t="shared" si="36"/>
        <v>7675.857</v>
      </c>
      <c r="N577" s="589" t="s">
        <v>251</v>
      </c>
      <c r="O577" s="594">
        <v>45412</v>
      </c>
      <c r="P577" s="593">
        <f t="shared" si="37"/>
        <v>-51</v>
      </c>
      <c r="Q577" s="594">
        <v>45463</v>
      </c>
      <c r="R577" s="593">
        <f t="shared" ca="1" si="38"/>
        <v>-22</v>
      </c>
      <c r="S577" s="589" t="str">
        <f>VLOOKUP(Q577,Mapping!L:M,2,0)</f>
        <v>W25_2024</v>
      </c>
      <c r="T577" s="589" t="str">
        <f t="shared" ca="1" si="39"/>
        <v>Not Due</v>
      </c>
      <c r="W577" s="591"/>
    </row>
    <row r="578" spans="1:23" s="589" customFormat="1" x14ac:dyDescent="0.2">
      <c r="A578" s="589" t="s">
        <v>56</v>
      </c>
      <c r="B578" s="589" t="s">
        <v>351</v>
      </c>
      <c r="C578" s="590" t="s">
        <v>2548</v>
      </c>
      <c r="D578" s="589" t="s">
        <v>100</v>
      </c>
      <c r="E578" s="589" t="s">
        <v>104</v>
      </c>
      <c r="F578" s="589" t="s">
        <v>112</v>
      </c>
      <c r="G578" s="589" t="s">
        <v>51</v>
      </c>
      <c r="H578" s="589" t="s">
        <v>242</v>
      </c>
      <c r="I578" s="589" t="s">
        <v>2867</v>
      </c>
      <c r="J578" s="589" t="s">
        <v>35</v>
      </c>
      <c r="K578" s="591">
        <v>2100</v>
      </c>
      <c r="L578" s="592">
        <f>IF(J578="TND",1,IF(J578="EUR",Vertical_Cash_flow!$C$16,IF(J578="USD",Vertical_Cash_flow!$F$16,0)))</f>
        <v>1</v>
      </c>
      <c r="M578" s="593">
        <f t="shared" si="36"/>
        <v>2100</v>
      </c>
      <c r="N578" s="589" t="s">
        <v>251</v>
      </c>
      <c r="O578" s="594">
        <v>45401</v>
      </c>
      <c r="P578" s="593">
        <f t="shared" si="37"/>
        <v>-62</v>
      </c>
      <c r="Q578" s="594">
        <v>45463</v>
      </c>
      <c r="R578" s="593">
        <f t="shared" ca="1" si="38"/>
        <v>-22</v>
      </c>
      <c r="S578" s="589" t="str">
        <f>VLOOKUP(Q578,Mapping!L:M,2,0)</f>
        <v>W25_2024</v>
      </c>
      <c r="T578" s="589" t="str">
        <f t="shared" ca="1" si="39"/>
        <v>Not Due</v>
      </c>
      <c r="W578" s="591"/>
    </row>
    <row r="579" spans="1:23" s="589" customFormat="1" x14ac:dyDescent="0.2">
      <c r="A579" s="589" t="s">
        <v>56</v>
      </c>
      <c r="B579" s="589" t="s">
        <v>398</v>
      </c>
      <c r="C579" s="590" t="s">
        <v>1694</v>
      </c>
      <c r="D579" s="589" t="s">
        <v>100</v>
      </c>
      <c r="E579" s="589" t="s">
        <v>104</v>
      </c>
      <c r="F579" s="589" t="s">
        <v>112</v>
      </c>
      <c r="G579" s="589" t="s">
        <v>51</v>
      </c>
      <c r="H579" s="589" t="s">
        <v>242</v>
      </c>
      <c r="I579" s="589" t="s">
        <v>2082</v>
      </c>
      <c r="J579" s="589" t="s">
        <v>35</v>
      </c>
      <c r="K579" s="591">
        <v>3000</v>
      </c>
      <c r="L579" s="592">
        <f>IF(J579="TND",1,IF(J579="EUR",Vertical_Cash_flow!$C$16,IF(J579="USD",Vertical_Cash_flow!$F$16,0)))</f>
        <v>1</v>
      </c>
      <c r="M579" s="593">
        <f t="shared" si="36"/>
        <v>3000</v>
      </c>
      <c r="N579" s="589" t="s">
        <v>251</v>
      </c>
      <c r="O579" s="594">
        <v>45364</v>
      </c>
      <c r="P579" s="593">
        <f t="shared" si="37"/>
        <v>-99</v>
      </c>
      <c r="Q579" s="594">
        <v>45463</v>
      </c>
      <c r="R579" s="593">
        <f t="shared" ca="1" si="38"/>
        <v>-22</v>
      </c>
      <c r="S579" s="589" t="str">
        <f>VLOOKUP(Q579,Mapping!L:M,2,0)</f>
        <v>W25_2024</v>
      </c>
      <c r="T579" s="589" t="str">
        <f t="shared" ca="1" si="39"/>
        <v>Not Due</v>
      </c>
      <c r="W579" s="591"/>
    </row>
    <row r="580" spans="1:23" s="589" customFormat="1" x14ac:dyDescent="0.2">
      <c r="A580" s="589" t="s">
        <v>56</v>
      </c>
      <c r="B580" s="589" t="s">
        <v>808</v>
      </c>
      <c r="C580" s="590" t="s">
        <v>1280</v>
      </c>
      <c r="D580" s="589" t="s">
        <v>100</v>
      </c>
      <c r="E580" s="589" t="s">
        <v>104</v>
      </c>
      <c r="F580" s="589" t="s">
        <v>112</v>
      </c>
      <c r="G580" s="589" t="s">
        <v>51</v>
      </c>
      <c r="H580" s="589" t="s">
        <v>242</v>
      </c>
      <c r="I580" s="589" t="s">
        <v>1389</v>
      </c>
      <c r="J580" s="589" t="s">
        <v>35</v>
      </c>
      <c r="K580" s="591">
        <v>4000</v>
      </c>
      <c r="L580" s="592">
        <f>IF(J580="TND",1,IF(J580="EUR",Vertical_Cash_flow!$C$16,IF(J580="USD",Vertical_Cash_flow!$F$16,0)))</f>
        <v>1</v>
      </c>
      <c r="M580" s="593">
        <f t="shared" si="36"/>
        <v>4000</v>
      </c>
      <c r="N580" s="589" t="s">
        <v>251</v>
      </c>
      <c r="O580" s="594">
        <v>45328</v>
      </c>
      <c r="P580" s="593">
        <f t="shared" si="37"/>
        <v>-135</v>
      </c>
      <c r="Q580" s="594">
        <v>45463</v>
      </c>
      <c r="R580" s="593">
        <f t="shared" ca="1" si="38"/>
        <v>-22</v>
      </c>
      <c r="S580" s="589" t="str">
        <f>VLOOKUP(Q580,Mapping!L:M,2,0)</f>
        <v>W25_2024</v>
      </c>
      <c r="T580" s="589" t="str">
        <f t="shared" ca="1" si="39"/>
        <v>Not Due</v>
      </c>
      <c r="W580" s="591"/>
    </row>
    <row r="581" spans="1:23" s="589" customFormat="1" x14ac:dyDescent="0.2">
      <c r="A581" s="589" t="s">
        <v>56</v>
      </c>
      <c r="B581" s="589" t="s">
        <v>621</v>
      </c>
      <c r="C581" s="590" t="s">
        <v>2547</v>
      </c>
      <c r="D581" s="589" t="s">
        <v>100</v>
      </c>
      <c r="E581" s="589" t="s">
        <v>104</v>
      </c>
      <c r="F581" s="589" t="s">
        <v>112</v>
      </c>
      <c r="G581" s="589" t="s">
        <v>51</v>
      </c>
      <c r="H581" s="589" t="s">
        <v>242</v>
      </c>
      <c r="I581" s="589" t="s">
        <v>2866</v>
      </c>
      <c r="J581" s="589" t="s">
        <v>35</v>
      </c>
      <c r="K581" s="591">
        <v>1777.212</v>
      </c>
      <c r="L581" s="592">
        <f>IF(J581="TND",1,IF(J581="EUR",Vertical_Cash_flow!$C$16,IF(J581="USD",Vertical_Cash_flow!$F$16,0)))</f>
        <v>1</v>
      </c>
      <c r="M581" s="593">
        <f t="shared" si="36"/>
        <v>1777.212</v>
      </c>
      <c r="N581" s="589" t="s">
        <v>251</v>
      </c>
      <c r="O581" s="594">
        <v>45398</v>
      </c>
      <c r="P581" s="593">
        <f t="shared" si="37"/>
        <v>-65</v>
      </c>
      <c r="Q581" s="594">
        <v>45463</v>
      </c>
      <c r="R581" s="593">
        <f t="shared" ca="1" si="38"/>
        <v>-22</v>
      </c>
      <c r="S581" s="589" t="str">
        <f>VLOOKUP(Q581,Mapping!L:M,2,0)</f>
        <v>W25_2024</v>
      </c>
      <c r="T581" s="589" t="str">
        <f t="shared" ca="1" si="39"/>
        <v>Not Due</v>
      </c>
      <c r="W581" s="591"/>
    </row>
    <row r="582" spans="1:23" s="589" customFormat="1" x14ac:dyDescent="0.2">
      <c r="A582" s="589" t="s">
        <v>56</v>
      </c>
      <c r="B582" s="589" t="s">
        <v>589</v>
      </c>
      <c r="C582" s="590" t="s">
        <v>1061</v>
      </c>
      <c r="D582" s="589" t="s">
        <v>100</v>
      </c>
      <c r="E582" s="589" t="s">
        <v>104</v>
      </c>
      <c r="F582" s="589" t="s">
        <v>112</v>
      </c>
      <c r="G582" s="589" t="s">
        <v>51</v>
      </c>
      <c r="H582" s="589" t="s">
        <v>242</v>
      </c>
      <c r="I582" s="589" t="s">
        <v>1136</v>
      </c>
      <c r="J582" s="589" t="s">
        <v>35</v>
      </c>
      <c r="K582" s="591">
        <v>2600</v>
      </c>
      <c r="L582" s="592">
        <f>IF(J582="TND",1,IF(J582="EUR",Vertical_Cash_flow!$C$16,IF(J582="USD",Vertical_Cash_flow!$F$16,0)))</f>
        <v>1</v>
      </c>
      <c r="M582" s="593">
        <f t="shared" si="36"/>
        <v>2600</v>
      </c>
      <c r="N582" s="589" t="s">
        <v>251</v>
      </c>
      <c r="O582" s="594">
        <v>45322</v>
      </c>
      <c r="P582" s="593">
        <f t="shared" si="37"/>
        <v>-141</v>
      </c>
      <c r="Q582" s="594">
        <v>45463</v>
      </c>
      <c r="R582" s="593">
        <f t="shared" ca="1" si="38"/>
        <v>-22</v>
      </c>
      <c r="S582" s="589" t="str">
        <f>VLOOKUP(Q582,Mapping!L:M,2,0)</f>
        <v>W25_2024</v>
      </c>
      <c r="T582" s="589" t="str">
        <f t="shared" ca="1" si="39"/>
        <v>Not Due</v>
      </c>
      <c r="W582" s="591"/>
    </row>
    <row r="583" spans="1:23" s="589" customFormat="1" x14ac:dyDescent="0.2">
      <c r="A583" s="589" t="s">
        <v>56</v>
      </c>
      <c r="B583" s="589" t="s">
        <v>616</v>
      </c>
      <c r="C583" s="590" t="s">
        <v>1691</v>
      </c>
      <c r="D583" s="589" t="s">
        <v>100</v>
      </c>
      <c r="E583" s="589" t="s">
        <v>104</v>
      </c>
      <c r="F583" s="589" t="s">
        <v>112</v>
      </c>
      <c r="G583" s="589" t="s">
        <v>51</v>
      </c>
      <c r="H583" s="589" t="s">
        <v>242</v>
      </c>
      <c r="I583" s="589" t="s">
        <v>2080</v>
      </c>
      <c r="J583" s="589" t="s">
        <v>35</v>
      </c>
      <c r="K583" s="591">
        <v>750</v>
      </c>
      <c r="L583" s="592">
        <f>IF(J583="TND",1,IF(J583="EUR",Vertical_Cash_flow!$C$16,IF(J583="USD",Vertical_Cash_flow!$F$16,0)))</f>
        <v>1</v>
      </c>
      <c r="M583" s="593">
        <f t="shared" si="36"/>
        <v>750</v>
      </c>
      <c r="N583" s="589" t="s">
        <v>251</v>
      </c>
      <c r="O583" s="594">
        <v>45380</v>
      </c>
      <c r="P583" s="593">
        <f t="shared" si="37"/>
        <v>-83</v>
      </c>
      <c r="Q583" s="594">
        <v>45463</v>
      </c>
      <c r="R583" s="593">
        <f t="shared" ca="1" si="38"/>
        <v>-22</v>
      </c>
      <c r="S583" s="589" t="str">
        <f>VLOOKUP(Q583,Mapping!L:M,2,0)</f>
        <v>W25_2024</v>
      </c>
      <c r="T583" s="589" t="str">
        <f t="shared" ca="1" si="39"/>
        <v>Not Due</v>
      </c>
      <c r="W583" s="591"/>
    </row>
    <row r="584" spans="1:23" s="589" customFormat="1" x14ac:dyDescent="0.2">
      <c r="A584" s="589" t="s">
        <v>56</v>
      </c>
      <c r="B584" s="589" t="s">
        <v>387</v>
      </c>
      <c r="C584" s="590" t="s">
        <v>1693</v>
      </c>
      <c r="D584" s="589" t="s">
        <v>100</v>
      </c>
      <c r="E584" s="589" t="s">
        <v>104</v>
      </c>
      <c r="F584" s="589" t="s">
        <v>112</v>
      </c>
      <c r="G584" s="589" t="s">
        <v>51</v>
      </c>
      <c r="H584" s="589" t="s">
        <v>242</v>
      </c>
      <c r="I584" s="589" t="s">
        <v>999</v>
      </c>
      <c r="J584" s="589" t="s">
        <v>35</v>
      </c>
      <c r="K584" s="591">
        <v>1780.884</v>
      </c>
      <c r="L584" s="592">
        <f>IF(J584="TND",1,IF(J584="EUR",Vertical_Cash_flow!$C$16,IF(J584="USD",Vertical_Cash_flow!$F$16,0)))</f>
        <v>1</v>
      </c>
      <c r="M584" s="593">
        <f t="shared" si="36"/>
        <v>1780.884</v>
      </c>
      <c r="N584" s="589" t="s">
        <v>251</v>
      </c>
      <c r="O584" s="594">
        <v>45349</v>
      </c>
      <c r="P584" s="593">
        <f t="shared" si="37"/>
        <v>-114</v>
      </c>
      <c r="Q584" s="594">
        <v>45463</v>
      </c>
      <c r="R584" s="593">
        <f t="shared" ca="1" si="38"/>
        <v>-22</v>
      </c>
      <c r="S584" s="589" t="str">
        <f>VLOOKUP(Q584,Mapping!L:M,2,0)</f>
        <v>W25_2024</v>
      </c>
      <c r="T584" s="589" t="str">
        <f t="shared" ca="1" si="39"/>
        <v>Not Due</v>
      </c>
      <c r="W584" s="591"/>
    </row>
    <row r="585" spans="1:23" s="589" customFormat="1" x14ac:dyDescent="0.2">
      <c r="A585" s="589" t="s">
        <v>56</v>
      </c>
      <c r="B585" s="589" t="s">
        <v>716</v>
      </c>
      <c r="C585" s="590" t="s">
        <v>2546</v>
      </c>
      <c r="D585" s="589" t="s">
        <v>100</v>
      </c>
      <c r="E585" s="589" t="s">
        <v>104</v>
      </c>
      <c r="F585" s="589" t="s">
        <v>112</v>
      </c>
      <c r="G585" s="589" t="s">
        <v>51</v>
      </c>
      <c r="H585" s="589" t="s">
        <v>242</v>
      </c>
      <c r="I585" s="589" t="s">
        <v>2865</v>
      </c>
      <c r="J585" s="589" t="s">
        <v>35</v>
      </c>
      <c r="K585" s="591">
        <v>165</v>
      </c>
      <c r="L585" s="592">
        <f>IF(J585="TND",1,IF(J585="EUR",Vertical_Cash_flow!$C$16,IF(J585="USD",Vertical_Cash_flow!$F$16,0)))</f>
        <v>1</v>
      </c>
      <c r="M585" s="593">
        <f t="shared" si="36"/>
        <v>165</v>
      </c>
      <c r="N585" s="589" t="s">
        <v>251</v>
      </c>
      <c r="O585" s="594">
        <v>45399</v>
      </c>
      <c r="P585" s="593">
        <f t="shared" si="37"/>
        <v>-64</v>
      </c>
      <c r="Q585" s="594">
        <v>45463</v>
      </c>
      <c r="R585" s="593">
        <f t="shared" ca="1" si="38"/>
        <v>-22</v>
      </c>
      <c r="S585" s="589" t="str">
        <f>VLOOKUP(Q585,Mapping!L:M,2,0)</f>
        <v>W25_2024</v>
      </c>
      <c r="T585" s="589" t="str">
        <f t="shared" ca="1" si="39"/>
        <v>Not Due</v>
      </c>
      <c r="W585" s="591"/>
    </row>
    <row r="586" spans="1:23" s="589" customFormat="1" x14ac:dyDescent="0.2">
      <c r="A586" s="589" t="s">
        <v>56</v>
      </c>
      <c r="B586" s="589" t="s">
        <v>531</v>
      </c>
      <c r="C586" s="590" t="s">
        <v>949</v>
      </c>
      <c r="D586" s="589" t="s">
        <v>100</v>
      </c>
      <c r="E586" s="589" t="s">
        <v>104</v>
      </c>
      <c r="F586" s="589" t="s">
        <v>112</v>
      </c>
      <c r="G586" s="589" t="s">
        <v>51</v>
      </c>
      <c r="H586" s="589" t="s">
        <v>242</v>
      </c>
      <c r="I586" s="589" t="s">
        <v>957</v>
      </c>
      <c r="J586" s="589" t="s">
        <v>35</v>
      </c>
      <c r="K586" s="591">
        <v>60480</v>
      </c>
      <c r="L586" s="592">
        <f>IF(J586="TND",1,IF(J586="EUR",Vertical_Cash_flow!$C$16,IF(J586="USD",Vertical_Cash_flow!$F$16,0)))</f>
        <v>1</v>
      </c>
      <c r="M586" s="593">
        <f t="shared" si="36"/>
        <v>60480</v>
      </c>
      <c r="N586" s="589" t="s">
        <v>251</v>
      </c>
      <c r="O586" s="594">
        <v>45260</v>
      </c>
      <c r="P586" s="593">
        <f t="shared" si="37"/>
        <v>-203</v>
      </c>
      <c r="Q586" s="594">
        <v>45463</v>
      </c>
      <c r="R586" s="593">
        <f t="shared" ca="1" si="38"/>
        <v>-22</v>
      </c>
      <c r="S586" s="589" t="str">
        <f>VLOOKUP(Q586,Mapping!L:M,2,0)</f>
        <v>W25_2024</v>
      </c>
      <c r="T586" s="589" t="str">
        <f t="shared" ca="1" si="39"/>
        <v>Not Due</v>
      </c>
      <c r="W586" s="591"/>
    </row>
    <row r="587" spans="1:23" s="589" customFormat="1" x14ac:dyDescent="0.2">
      <c r="A587" s="589" t="s">
        <v>56</v>
      </c>
      <c r="B587" s="589" t="s">
        <v>716</v>
      </c>
      <c r="C587" s="590" t="s">
        <v>1692</v>
      </c>
      <c r="D587" s="589" t="s">
        <v>100</v>
      </c>
      <c r="E587" s="589" t="s">
        <v>104</v>
      </c>
      <c r="F587" s="589" t="s">
        <v>112</v>
      </c>
      <c r="G587" s="589" t="s">
        <v>51</v>
      </c>
      <c r="H587" s="589" t="s">
        <v>242</v>
      </c>
      <c r="I587" s="589" t="s">
        <v>2081</v>
      </c>
      <c r="J587" s="589" t="s">
        <v>35</v>
      </c>
      <c r="K587" s="591">
        <v>1700</v>
      </c>
      <c r="L587" s="592">
        <f>IF(J587="TND",1,IF(J587="EUR",Vertical_Cash_flow!$C$16,IF(J587="USD",Vertical_Cash_flow!$F$16,0)))</f>
        <v>1</v>
      </c>
      <c r="M587" s="593">
        <f t="shared" si="36"/>
        <v>1700</v>
      </c>
      <c r="N587" s="589" t="s">
        <v>251</v>
      </c>
      <c r="O587" s="594">
        <v>45373</v>
      </c>
      <c r="P587" s="593">
        <f t="shared" si="37"/>
        <v>-90</v>
      </c>
      <c r="Q587" s="594">
        <v>45463</v>
      </c>
      <c r="R587" s="593">
        <f t="shared" ca="1" si="38"/>
        <v>-22</v>
      </c>
      <c r="S587" s="589" t="str">
        <f>VLOOKUP(Q587,Mapping!L:M,2,0)</f>
        <v>W25_2024</v>
      </c>
      <c r="T587" s="589" t="str">
        <f t="shared" ca="1" si="39"/>
        <v>Not Due</v>
      </c>
      <c r="W587" s="591"/>
    </row>
    <row r="588" spans="1:23" s="589" customFormat="1" x14ac:dyDescent="0.2">
      <c r="A588" s="589" t="s">
        <v>56</v>
      </c>
      <c r="B588" s="589" t="s">
        <v>325</v>
      </c>
      <c r="C588" s="590" t="s">
        <v>1690</v>
      </c>
      <c r="D588" s="589" t="s">
        <v>100</v>
      </c>
      <c r="E588" s="589" t="s">
        <v>104</v>
      </c>
      <c r="F588" s="589" t="s">
        <v>112</v>
      </c>
      <c r="G588" s="589" t="s">
        <v>51</v>
      </c>
      <c r="H588" s="589" t="s">
        <v>242</v>
      </c>
      <c r="I588" s="589" t="s">
        <v>2079</v>
      </c>
      <c r="J588" s="589" t="s">
        <v>35</v>
      </c>
      <c r="K588" s="591">
        <v>722.33500000000004</v>
      </c>
      <c r="L588" s="592">
        <f>IF(J588="TND",1,IF(J588="EUR",Vertical_Cash_flow!$C$16,IF(J588="USD",Vertical_Cash_flow!$F$16,0)))</f>
        <v>1</v>
      </c>
      <c r="M588" s="593">
        <f t="shared" si="36"/>
        <v>722.33500000000004</v>
      </c>
      <c r="N588" s="589" t="s">
        <v>251</v>
      </c>
      <c r="O588" s="594">
        <v>45378</v>
      </c>
      <c r="P588" s="593">
        <f t="shared" si="37"/>
        <v>-85</v>
      </c>
      <c r="Q588" s="594">
        <v>45463</v>
      </c>
      <c r="R588" s="593">
        <f t="shared" ca="1" si="38"/>
        <v>-22</v>
      </c>
      <c r="S588" s="589" t="str">
        <f>VLOOKUP(Q588,Mapping!L:M,2,0)</f>
        <v>W25_2024</v>
      </c>
      <c r="T588" s="589" t="str">
        <f t="shared" ca="1" si="39"/>
        <v>Not Due</v>
      </c>
      <c r="W588" s="591"/>
    </row>
    <row r="589" spans="1:23" s="589" customFormat="1" x14ac:dyDescent="0.2">
      <c r="A589" s="589" t="s">
        <v>56</v>
      </c>
      <c r="B589" s="589" t="s">
        <v>799</v>
      </c>
      <c r="C589" s="590" t="s">
        <v>2544</v>
      </c>
      <c r="D589" s="589" t="s">
        <v>100</v>
      </c>
      <c r="E589" s="589" t="s">
        <v>104</v>
      </c>
      <c r="F589" s="589" t="s">
        <v>112</v>
      </c>
      <c r="G589" s="589" t="s">
        <v>51</v>
      </c>
      <c r="H589" s="589" t="s">
        <v>242</v>
      </c>
      <c r="I589" s="589" t="s">
        <v>2863</v>
      </c>
      <c r="J589" s="589" t="s">
        <v>35</v>
      </c>
      <c r="K589" s="591">
        <v>1523.095</v>
      </c>
      <c r="L589" s="592">
        <f>IF(J589="TND",1,IF(J589="EUR",Vertical_Cash_flow!$C$16,IF(J589="USD",Vertical_Cash_flow!$F$16,0)))</f>
        <v>1</v>
      </c>
      <c r="M589" s="593">
        <f t="shared" si="36"/>
        <v>1523.095</v>
      </c>
      <c r="N589" s="589" t="s">
        <v>251</v>
      </c>
      <c r="O589" s="594">
        <v>45408</v>
      </c>
      <c r="P589" s="593">
        <f t="shared" si="37"/>
        <v>-55</v>
      </c>
      <c r="Q589" s="594">
        <v>45463</v>
      </c>
      <c r="R589" s="593">
        <f t="shared" ca="1" si="38"/>
        <v>-22</v>
      </c>
      <c r="S589" s="589" t="str">
        <f>VLOOKUP(Q589,Mapping!L:M,2,0)</f>
        <v>W25_2024</v>
      </c>
      <c r="T589" s="589" t="str">
        <f t="shared" ca="1" si="39"/>
        <v>Not Due</v>
      </c>
      <c r="W589" s="591"/>
    </row>
    <row r="590" spans="1:23" s="589" customFormat="1" x14ac:dyDescent="0.2">
      <c r="A590" s="589" t="s">
        <v>56</v>
      </c>
      <c r="B590" s="589" t="s">
        <v>505</v>
      </c>
      <c r="C590" s="590" t="s">
        <v>2543</v>
      </c>
      <c r="D590" s="589" t="s">
        <v>100</v>
      </c>
      <c r="E590" s="589" t="s">
        <v>104</v>
      </c>
      <c r="F590" s="589" t="s">
        <v>112</v>
      </c>
      <c r="G590" s="589" t="s">
        <v>51</v>
      </c>
      <c r="H590" s="589" t="s">
        <v>242</v>
      </c>
      <c r="I590" s="589" t="s">
        <v>2862</v>
      </c>
      <c r="J590" s="589" t="s">
        <v>35</v>
      </c>
      <c r="K590" s="591">
        <v>1100</v>
      </c>
      <c r="L590" s="592">
        <f>IF(J590="TND",1,IF(J590="EUR",Vertical_Cash_flow!$C$16,IF(J590="USD",Vertical_Cash_flow!$F$16,0)))</f>
        <v>1</v>
      </c>
      <c r="M590" s="593">
        <f t="shared" si="36"/>
        <v>1100</v>
      </c>
      <c r="N590" s="589" t="s">
        <v>251</v>
      </c>
      <c r="O590" s="594">
        <v>45408</v>
      </c>
      <c r="P590" s="593">
        <f t="shared" si="37"/>
        <v>-55</v>
      </c>
      <c r="Q590" s="594">
        <v>45463</v>
      </c>
      <c r="R590" s="593">
        <f t="shared" ca="1" si="38"/>
        <v>-22</v>
      </c>
      <c r="S590" s="589" t="str">
        <f>VLOOKUP(Q590,Mapping!L:M,2,0)</f>
        <v>W25_2024</v>
      </c>
      <c r="T590" s="589" t="str">
        <f t="shared" ca="1" si="39"/>
        <v>Not Due</v>
      </c>
      <c r="W590" s="591"/>
    </row>
    <row r="591" spans="1:23" s="589" customFormat="1" x14ac:dyDescent="0.2">
      <c r="A591" s="589" t="s">
        <v>56</v>
      </c>
      <c r="B591" s="589" t="s">
        <v>722</v>
      </c>
      <c r="C591" s="590" t="s">
        <v>2545</v>
      </c>
      <c r="D591" s="589" t="s">
        <v>100</v>
      </c>
      <c r="E591" s="589" t="s">
        <v>104</v>
      </c>
      <c r="F591" s="589" t="s">
        <v>112</v>
      </c>
      <c r="G591" s="589" t="s">
        <v>51</v>
      </c>
      <c r="H591" s="589" t="s">
        <v>242</v>
      </c>
      <c r="I591" s="589" t="s">
        <v>2864</v>
      </c>
      <c r="J591" s="589" t="s">
        <v>35</v>
      </c>
      <c r="K591" s="591">
        <v>1280.23</v>
      </c>
      <c r="L591" s="592">
        <f>IF(J591="TND",1,IF(J591="EUR",Vertical_Cash_flow!$C$16,IF(J591="USD",Vertical_Cash_flow!$F$16,0)))</f>
        <v>1</v>
      </c>
      <c r="M591" s="593">
        <f t="shared" si="36"/>
        <v>1280.23</v>
      </c>
      <c r="N591" s="589" t="s">
        <v>251</v>
      </c>
      <c r="O591" s="594">
        <v>45399</v>
      </c>
      <c r="P591" s="593">
        <f t="shared" si="37"/>
        <v>-64</v>
      </c>
      <c r="Q591" s="594">
        <v>45463</v>
      </c>
      <c r="R591" s="593">
        <f t="shared" ca="1" si="38"/>
        <v>-22</v>
      </c>
      <c r="S591" s="589" t="str">
        <f>VLOOKUP(Q591,Mapping!L:M,2,0)</f>
        <v>W25_2024</v>
      </c>
      <c r="T591" s="589" t="str">
        <f t="shared" ca="1" si="39"/>
        <v>Not Due</v>
      </c>
      <c r="W591" s="591"/>
    </row>
    <row r="592" spans="1:23" s="589" customFormat="1" x14ac:dyDescent="0.2">
      <c r="A592" s="589" t="s">
        <v>56</v>
      </c>
      <c r="B592" s="589" t="s">
        <v>482</v>
      </c>
      <c r="C592" s="590" t="s">
        <v>1687</v>
      </c>
      <c r="D592" s="589" t="s">
        <v>100</v>
      </c>
      <c r="E592" s="589" t="s">
        <v>104</v>
      </c>
      <c r="F592" s="589" t="s">
        <v>112</v>
      </c>
      <c r="G592" s="589" t="s">
        <v>51</v>
      </c>
      <c r="H592" s="589" t="s">
        <v>242</v>
      </c>
      <c r="I592" s="589" t="s">
        <v>2076</v>
      </c>
      <c r="J592" s="589" t="s">
        <v>35</v>
      </c>
      <c r="K592" s="591">
        <v>1250</v>
      </c>
      <c r="L592" s="592">
        <f>IF(J592="TND",1,IF(J592="EUR",Vertical_Cash_flow!$C$16,IF(J592="USD",Vertical_Cash_flow!$F$16,0)))</f>
        <v>1</v>
      </c>
      <c r="M592" s="593">
        <f t="shared" si="36"/>
        <v>1250</v>
      </c>
      <c r="N592" s="589" t="s">
        <v>251</v>
      </c>
      <c r="O592" s="594">
        <v>45350</v>
      </c>
      <c r="P592" s="593">
        <f t="shared" si="37"/>
        <v>-113</v>
      </c>
      <c r="Q592" s="594">
        <v>45463</v>
      </c>
      <c r="R592" s="593">
        <f t="shared" ca="1" si="38"/>
        <v>-22</v>
      </c>
      <c r="S592" s="589" t="str">
        <f>VLOOKUP(Q592,Mapping!L:M,2,0)</f>
        <v>W25_2024</v>
      </c>
      <c r="T592" s="589" t="str">
        <f t="shared" ca="1" si="39"/>
        <v>Not Due</v>
      </c>
      <c r="W592" s="591"/>
    </row>
    <row r="593" spans="1:23" s="589" customFormat="1" x14ac:dyDescent="0.2">
      <c r="A593" s="589" t="s">
        <v>56</v>
      </c>
      <c r="B593" s="589" t="s">
        <v>482</v>
      </c>
      <c r="C593" s="590" t="s">
        <v>1688</v>
      </c>
      <c r="D593" s="589" t="s">
        <v>100</v>
      </c>
      <c r="E593" s="589" t="s">
        <v>104</v>
      </c>
      <c r="F593" s="589" t="s">
        <v>112</v>
      </c>
      <c r="G593" s="589" t="s">
        <v>51</v>
      </c>
      <c r="H593" s="589" t="s">
        <v>242</v>
      </c>
      <c r="I593" s="589" t="s">
        <v>2077</v>
      </c>
      <c r="J593" s="589" t="s">
        <v>35</v>
      </c>
      <c r="K593" s="591">
        <v>1250</v>
      </c>
      <c r="L593" s="592">
        <f>IF(J593="TND",1,IF(J593="EUR",Vertical_Cash_flow!$C$16,IF(J593="USD",Vertical_Cash_flow!$F$16,0)))</f>
        <v>1</v>
      </c>
      <c r="M593" s="593">
        <f t="shared" si="36"/>
        <v>1250</v>
      </c>
      <c r="N593" s="589" t="s">
        <v>251</v>
      </c>
      <c r="O593" s="594">
        <v>45350</v>
      </c>
      <c r="P593" s="593">
        <f t="shared" si="37"/>
        <v>-113</v>
      </c>
      <c r="Q593" s="594">
        <v>45463</v>
      </c>
      <c r="R593" s="593">
        <f t="shared" ca="1" si="38"/>
        <v>-22</v>
      </c>
      <c r="S593" s="589" t="str">
        <f>VLOOKUP(Q593,Mapping!L:M,2,0)</f>
        <v>W25_2024</v>
      </c>
      <c r="T593" s="589" t="str">
        <f t="shared" ca="1" si="39"/>
        <v>Not Due</v>
      </c>
      <c r="W593" s="591"/>
    </row>
    <row r="594" spans="1:23" s="589" customFormat="1" x14ac:dyDescent="0.2">
      <c r="A594" s="589" t="s">
        <v>56</v>
      </c>
      <c r="B594" s="589" t="s">
        <v>482</v>
      </c>
      <c r="C594" s="590" t="s">
        <v>1689</v>
      </c>
      <c r="D594" s="589" t="s">
        <v>100</v>
      </c>
      <c r="E594" s="589" t="s">
        <v>104</v>
      </c>
      <c r="F594" s="589" t="s">
        <v>112</v>
      </c>
      <c r="G594" s="589" t="s">
        <v>51</v>
      </c>
      <c r="H594" s="589" t="s">
        <v>242</v>
      </c>
      <c r="I594" s="589" t="s">
        <v>2078</v>
      </c>
      <c r="J594" s="589" t="s">
        <v>35</v>
      </c>
      <c r="K594" s="591">
        <v>1250</v>
      </c>
      <c r="L594" s="592">
        <f>IF(J594="TND",1,IF(J594="EUR",Vertical_Cash_flow!$C$16,IF(J594="USD",Vertical_Cash_flow!$F$16,0)))</f>
        <v>1</v>
      </c>
      <c r="M594" s="593">
        <f t="shared" si="36"/>
        <v>1250</v>
      </c>
      <c r="N594" s="589" t="s">
        <v>251</v>
      </c>
      <c r="O594" s="594">
        <v>45350</v>
      </c>
      <c r="P594" s="593">
        <f t="shared" si="37"/>
        <v>-113</v>
      </c>
      <c r="Q594" s="594">
        <v>45463</v>
      </c>
      <c r="R594" s="593">
        <f t="shared" ca="1" si="38"/>
        <v>-22</v>
      </c>
      <c r="S594" s="589" t="str">
        <f>VLOOKUP(Q594,Mapping!L:M,2,0)</f>
        <v>W25_2024</v>
      </c>
      <c r="T594" s="589" t="str">
        <f t="shared" ca="1" si="39"/>
        <v>Not Due</v>
      </c>
      <c r="W594" s="591"/>
    </row>
    <row r="595" spans="1:23" s="589" customFormat="1" x14ac:dyDescent="0.2">
      <c r="A595" s="589" t="s">
        <v>56</v>
      </c>
      <c r="B595" s="589" t="s">
        <v>587</v>
      </c>
      <c r="C595" s="590" t="s">
        <v>2541</v>
      </c>
      <c r="D595" s="589" t="s">
        <v>100</v>
      </c>
      <c r="E595" s="589" t="s">
        <v>104</v>
      </c>
      <c r="F595" s="589" t="s">
        <v>112</v>
      </c>
      <c r="G595" s="589" t="s">
        <v>51</v>
      </c>
      <c r="H595" s="589" t="s">
        <v>242</v>
      </c>
      <c r="I595" s="589" t="s">
        <v>2860</v>
      </c>
      <c r="J595" s="589" t="s">
        <v>35</v>
      </c>
      <c r="K595" s="591">
        <v>3675.0729999999999</v>
      </c>
      <c r="L595" s="592">
        <f>IF(J595="TND",1,IF(J595="EUR",Vertical_Cash_flow!$C$16,IF(J595="USD",Vertical_Cash_flow!$F$16,0)))</f>
        <v>1</v>
      </c>
      <c r="M595" s="593">
        <f t="shared" si="36"/>
        <v>3675.0729999999999</v>
      </c>
      <c r="N595" s="589" t="s">
        <v>251</v>
      </c>
      <c r="O595" s="594">
        <v>45408</v>
      </c>
      <c r="P595" s="593">
        <f t="shared" si="37"/>
        <v>-55</v>
      </c>
      <c r="Q595" s="594">
        <v>45463</v>
      </c>
      <c r="R595" s="593">
        <f t="shared" ca="1" si="38"/>
        <v>-22</v>
      </c>
      <c r="S595" s="589" t="str">
        <f>VLOOKUP(Q595,Mapping!L:M,2,0)</f>
        <v>W25_2024</v>
      </c>
      <c r="T595" s="589" t="str">
        <f t="shared" ca="1" si="39"/>
        <v>Not Due</v>
      </c>
      <c r="W595" s="591"/>
    </row>
    <row r="596" spans="1:23" s="589" customFormat="1" x14ac:dyDescent="0.2">
      <c r="A596" s="589" t="s">
        <v>56</v>
      </c>
      <c r="B596" s="589" t="s">
        <v>332</v>
      </c>
      <c r="C596" s="590" t="s">
        <v>2542</v>
      </c>
      <c r="D596" s="589" t="s">
        <v>100</v>
      </c>
      <c r="E596" s="589" t="s">
        <v>104</v>
      </c>
      <c r="F596" s="589" t="s">
        <v>112</v>
      </c>
      <c r="G596" s="589" t="s">
        <v>51</v>
      </c>
      <c r="H596" s="589" t="s">
        <v>242</v>
      </c>
      <c r="I596" s="589" t="s">
        <v>2861</v>
      </c>
      <c r="J596" s="589" t="s">
        <v>35</v>
      </c>
      <c r="K596" s="591">
        <v>593.947</v>
      </c>
      <c r="L596" s="592">
        <f>IF(J596="TND",1,IF(J596="EUR",Vertical_Cash_flow!$C$16,IF(J596="USD",Vertical_Cash_flow!$F$16,0)))</f>
        <v>1</v>
      </c>
      <c r="M596" s="593">
        <f t="shared" si="36"/>
        <v>593.947</v>
      </c>
      <c r="N596" s="589" t="s">
        <v>251</v>
      </c>
      <c r="O596" s="594">
        <v>45384</v>
      </c>
      <c r="P596" s="593">
        <f t="shared" si="37"/>
        <v>-79</v>
      </c>
      <c r="Q596" s="594">
        <v>45463</v>
      </c>
      <c r="R596" s="593">
        <f t="shared" ca="1" si="38"/>
        <v>-22</v>
      </c>
      <c r="S596" s="589" t="str">
        <f>VLOOKUP(Q596,Mapping!L:M,2,0)</f>
        <v>W25_2024</v>
      </c>
      <c r="T596" s="589" t="str">
        <f t="shared" ca="1" si="39"/>
        <v>Not Due</v>
      </c>
      <c r="W596" s="591"/>
    </row>
    <row r="597" spans="1:23" s="589" customFormat="1" x14ac:dyDescent="0.2">
      <c r="A597" s="589" t="s">
        <v>56</v>
      </c>
      <c r="B597" s="589" t="s">
        <v>334</v>
      </c>
      <c r="C597" s="590" t="s">
        <v>1686</v>
      </c>
      <c r="D597" s="589" t="s">
        <v>100</v>
      </c>
      <c r="E597" s="589" t="s">
        <v>104</v>
      </c>
      <c r="F597" s="589" t="s">
        <v>112</v>
      </c>
      <c r="G597" s="589" t="s">
        <v>51</v>
      </c>
      <c r="H597" s="589" t="s">
        <v>242</v>
      </c>
      <c r="I597" s="589" t="s">
        <v>2075</v>
      </c>
      <c r="J597" s="589" t="s">
        <v>35</v>
      </c>
      <c r="K597" s="591">
        <v>800</v>
      </c>
      <c r="L597" s="592">
        <f>IF(J597="TND",1,IF(J597="EUR",Vertical_Cash_flow!$C$16,IF(J597="USD",Vertical_Cash_flow!$F$16,0)))</f>
        <v>1</v>
      </c>
      <c r="M597" s="593">
        <f t="shared" ref="M597:M660" si="40">K597/L597</f>
        <v>800</v>
      </c>
      <c r="N597" s="589" t="s">
        <v>251</v>
      </c>
      <c r="O597" s="594">
        <v>45364</v>
      </c>
      <c r="P597" s="593">
        <f t="shared" ref="P597:P660" si="41">O597-Q597</f>
        <v>-99</v>
      </c>
      <c r="Q597" s="594">
        <v>45463</v>
      </c>
      <c r="R597" s="593">
        <f t="shared" ref="R597:R660" ca="1" si="42">$W$1-Q597</f>
        <v>-22</v>
      </c>
      <c r="S597" s="589" t="str">
        <f>VLOOKUP(Q597,Mapping!L:M,2,0)</f>
        <v>W25_2024</v>
      </c>
      <c r="T597" s="589" t="str">
        <f t="shared" ref="T597:T660" ca="1" si="43">IF(R597="","",IF(R597&lt;0,"Not Due",IF(AND(R597&gt;=0,R597&lt;=30),"up to 30 days",IF(AND(R597&gt;30,R597&lt;=60),"30-60 days",IF(AND(R597&gt;60,R597&lt;=90),"60-90 days",IF(AND(R597&gt;90,R597&lt;=120),"90-120 days",IF(AND(R597&gt;120,R597&lt;=180),"120-180 days",IF(AND(R597&gt;180,R597&lt;=360),"180-360 days",IF(R597&gt;360,"more than 360 days","ok")))))))))</f>
        <v>Not Due</v>
      </c>
      <c r="W597" s="591"/>
    </row>
    <row r="598" spans="1:23" s="589" customFormat="1" x14ac:dyDescent="0.2">
      <c r="A598" s="589" t="s">
        <v>56</v>
      </c>
      <c r="B598" s="589" t="s">
        <v>274</v>
      </c>
      <c r="C598" s="590" t="s">
        <v>1279</v>
      </c>
      <c r="D598" s="589" t="s">
        <v>100</v>
      </c>
      <c r="E598" s="589" t="s">
        <v>104</v>
      </c>
      <c r="F598" s="589" t="s">
        <v>112</v>
      </c>
      <c r="G598" s="589" t="s">
        <v>51</v>
      </c>
      <c r="H598" s="589" t="s">
        <v>242</v>
      </c>
      <c r="I598" s="589" t="s">
        <v>1388</v>
      </c>
      <c r="J598" s="589" t="s">
        <v>35</v>
      </c>
      <c r="K598" s="591">
        <v>795</v>
      </c>
      <c r="L598" s="592">
        <f>IF(J598="TND",1,IF(J598="EUR",Vertical_Cash_flow!$C$16,IF(J598="USD",Vertical_Cash_flow!$F$16,0)))</f>
        <v>1</v>
      </c>
      <c r="M598" s="593">
        <f t="shared" si="40"/>
        <v>795</v>
      </c>
      <c r="N598" s="589" t="s">
        <v>251</v>
      </c>
      <c r="O598" s="594">
        <v>45343</v>
      </c>
      <c r="P598" s="593">
        <f t="shared" si="41"/>
        <v>-121</v>
      </c>
      <c r="Q598" s="594">
        <v>45464</v>
      </c>
      <c r="R598" s="593">
        <f t="shared" ca="1" si="42"/>
        <v>-23</v>
      </c>
      <c r="S598" s="589" t="str">
        <f>VLOOKUP(Q598,Mapping!L:M,2,0)</f>
        <v>W25_2024</v>
      </c>
      <c r="T598" s="589" t="str">
        <f t="shared" ca="1" si="43"/>
        <v>Not Due</v>
      </c>
      <c r="W598" s="591"/>
    </row>
    <row r="599" spans="1:23" s="589" customFormat="1" x14ac:dyDescent="0.2">
      <c r="A599" s="589" t="s">
        <v>56</v>
      </c>
      <c r="B599" s="589" t="s">
        <v>1247</v>
      </c>
      <c r="C599" s="590" t="s">
        <v>1685</v>
      </c>
      <c r="D599" s="589" t="s">
        <v>100</v>
      </c>
      <c r="E599" s="589" t="s">
        <v>104</v>
      </c>
      <c r="F599" s="589" t="s">
        <v>112</v>
      </c>
      <c r="G599" s="589" t="s">
        <v>51</v>
      </c>
      <c r="H599" s="589" t="s">
        <v>242</v>
      </c>
      <c r="I599" s="589" t="s">
        <v>2074</v>
      </c>
      <c r="J599" s="589" t="s">
        <v>35</v>
      </c>
      <c r="K599" s="591">
        <v>2420.5</v>
      </c>
      <c r="L599" s="592">
        <f>IF(J599="TND",1,IF(J599="EUR",Vertical_Cash_flow!$C$16,IF(J599="USD",Vertical_Cash_flow!$F$16,0)))</f>
        <v>1</v>
      </c>
      <c r="M599" s="593">
        <f t="shared" si="40"/>
        <v>2420.5</v>
      </c>
      <c r="N599" s="589" t="s">
        <v>251</v>
      </c>
      <c r="O599" s="594">
        <v>45380</v>
      </c>
      <c r="P599" s="593">
        <f t="shared" si="41"/>
        <v>-84</v>
      </c>
      <c r="Q599" s="594">
        <v>45464</v>
      </c>
      <c r="R599" s="593">
        <f t="shared" ca="1" si="42"/>
        <v>-23</v>
      </c>
      <c r="S599" s="589" t="str">
        <f>VLOOKUP(Q599,Mapping!L:M,2,0)</f>
        <v>W25_2024</v>
      </c>
      <c r="T599" s="589" t="str">
        <f t="shared" ca="1" si="43"/>
        <v>Not Due</v>
      </c>
      <c r="W599" s="591"/>
    </row>
    <row r="600" spans="1:23" s="589" customFormat="1" x14ac:dyDescent="0.2">
      <c r="A600" s="589" t="s">
        <v>56</v>
      </c>
      <c r="B600" s="589" t="s">
        <v>481</v>
      </c>
      <c r="C600" s="590" t="s">
        <v>1684</v>
      </c>
      <c r="D600" s="589" t="s">
        <v>100</v>
      </c>
      <c r="E600" s="589" t="s">
        <v>104</v>
      </c>
      <c r="F600" s="589" t="s">
        <v>112</v>
      </c>
      <c r="G600" s="589" t="s">
        <v>51</v>
      </c>
      <c r="H600" s="589" t="s">
        <v>242</v>
      </c>
      <c r="I600" s="589" t="s">
        <v>2073</v>
      </c>
      <c r="J600" s="589" t="s">
        <v>35</v>
      </c>
      <c r="K600" s="591">
        <v>5590</v>
      </c>
      <c r="L600" s="592">
        <f>IF(J600="TND",1,IF(J600="EUR",Vertical_Cash_flow!$C$16,IF(J600="USD",Vertical_Cash_flow!$F$16,0)))</f>
        <v>1</v>
      </c>
      <c r="M600" s="593">
        <f t="shared" si="40"/>
        <v>5590</v>
      </c>
      <c r="N600" s="589" t="s">
        <v>251</v>
      </c>
      <c r="O600" s="594">
        <v>45356</v>
      </c>
      <c r="P600" s="593">
        <f t="shared" si="41"/>
        <v>-108</v>
      </c>
      <c r="Q600" s="594">
        <v>45464</v>
      </c>
      <c r="R600" s="593">
        <f t="shared" ca="1" si="42"/>
        <v>-23</v>
      </c>
      <c r="S600" s="589" t="str">
        <f>VLOOKUP(Q600,Mapping!L:M,2,0)</f>
        <v>W25_2024</v>
      </c>
      <c r="T600" s="589" t="str">
        <f t="shared" ca="1" si="43"/>
        <v>Not Due</v>
      </c>
      <c r="W600" s="591"/>
    </row>
    <row r="601" spans="1:23" s="589" customFormat="1" x14ac:dyDescent="0.2">
      <c r="A601" s="589" t="s">
        <v>56</v>
      </c>
      <c r="B601" s="589" t="s">
        <v>288</v>
      </c>
      <c r="C601" s="590" t="s">
        <v>1060</v>
      </c>
      <c r="D601" s="589" t="s">
        <v>100</v>
      </c>
      <c r="E601" s="589" t="s">
        <v>104</v>
      </c>
      <c r="F601" s="589" t="s">
        <v>112</v>
      </c>
      <c r="G601" s="589" t="s">
        <v>51</v>
      </c>
      <c r="H601" s="589" t="s">
        <v>242</v>
      </c>
      <c r="I601" s="589" t="s">
        <v>1135</v>
      </c>
      <c r="J601" s="589" t="s">
        <v>35</v>
      </c>
      <c r="K601" s="591">
        <v>1280</v>
      </c>
      <c r="L601" s="592">
        <f>IF(J601="TND",1,IF(J601="EUR",Vertical_Cash_flow!$C$16,IF(J601="USD",Vertical_Cash_flow!$F$16,0)))</f>
        <v>1</v>
      </c>
      <c r="M601" s="593">
        <f t="shared" si="40"/>
        <v>1280</v>
      </c>
      <c r="N601" s="589" t="s">
        <v>251</v>
      </c>
      <c r="O601" s="594">
        <v>45322</v>
      </c>
      <c r="P601" s="593">
        <f t="shared" si="41"/>
        <v>-142</v>
      </c>
      <c r="Q601" s="594">
        <v>45464</v>
      </c>
      <c r="R601" s="593">
        <f t="shared" ca="1" si="42"/>
        <v>-23</v>
      </c>
      <c r="S601" s="589" t="str">
        <f>VLOOKUP(Q601,Mapping!L:M,2,0)</f>
        <v>W25_2024</v>
      </c>
      <c r="T601" s="589" t="str">
        <f t="shared" ca="1" si="43"/>
        <v>Not Due</v>
      </c>
      <c r="W601" s="591"/>
    </row>
    <row r="602" spans="1:23" s="589" customFormat="1" x14ac:dyDescent="0.2">
      <c r="A602" s="589" t="s">
        <v>56</v>
      </c>
      <c r="B602" s="589" t="s">
        <v>377</v>
      </c>
      <c r="C602" s="590" t="s">
        <v>2540</v>
      </c>
      <c r="D602" s="589" t="s">
        <v>100</v>
      </c>
      <c r="E602" s="589" t="s">
        <v>104</v>
      </c>
      <c r="F602" s="589" t="s">
        <v>112</v>
      </c>
      <c r="G602" s="589" t="s">
        <v>51</v>
      </c>
      <c r="H602" s="589" t="s">
        <v>242</v>
      </c>
      <c r="I602" s="589" t="s">
        <v>2859</v>
      </c>
      <c r="J602" s="589" t="s">
        <v>35</v>
      </c>
      <c r="K602" s="591">
        <v>3700</v>
      </c>
      <c r="L602" s="592">
        <f>IF(J602="TND",1,IF(J602="EUR",Vertical_Cash_flow!$C$16,IF(J602="USD",Vertical_Cash_flow!$F$16,0)))</f>
        <v>1</v>
      </c>
      <c r="M602" s="593">
        <f t="shared" si="40"/>
        <v>3700</v>
      </c>
      <c r="N602" s="589" t="s">
        <v>251</v>
      </c>
      <c r="O602" s="594">
        <v>45399</v>
      </c>
      <c r="P602" s="593">
        <f t="shared" si="41"/>
        <v>-65</v>
      </c>
      <c r="Q602" s="594">
        <v>45464</v>
      </c>
      <c r="R602" s="593">
        <f t="shared" ca="1" si="42"/>
        <v>-23</v>
      </c>
      <c r="S602" s="589" t="str">
        <f>VLOOKUP(Q602,Mapping!L:M,2,0)</f>
        <v>W25_2024</v>
      </c>
      <c r="T602" s="589" t="str">
        <f t="shared" ca="1" si="43"/>
        <v>Not Due</v>
      </c>
      <c r="W602" s="591"/>
    </row>
    <row r="603" spans="1:23" s="589" customFormat="1" x14ac:dyDescent="0.2">
      <c r="A603" s="589" t="s">
        <v>56</v>
      </c>
      <c r="B603" s="589" t="s">
        <v>810</v>
      </c>
      <c r="C603" s="590" t="s">
        <v>1683</v>
      </c>
      <c r="D603" s="589" t="s">
        <v>100</v>
      </c>
      <c r="E603" s="589" t="s">
        <v>104</v>
      </c>
      <c r="F603" s="589" t="s">
        <v>112</v>
      </c>
      <c r="G603" s="589" t="s">
        <v>51</v>
      </c>
      <c r="H603" s="589" t="s">
        <v>242</v>
      </c>
      <c r="I603" s="589" t="s">
        <v>965</v>
      </c>
      <c r="J603" s="589" t="s">
        <v>35</v>
      </c>
      <c r="K603" s="591">
        <v>5269.3410000000003</v>
      </c>
      <c r="L603" s="592">
        <f>IF(J603="TND",1,IF(J603="EUR",Vertical_Cash_flow!$C$16,IF(J603="USD",Vertical_Cash_flow!$F$16,0)))</f>
        <v>1</v>
      </c>
      <c r="M603" s="593">
        <f t="shared" si="40"/>
        <v>5269.3410000000003</v>
      </c>
      <c r="N603" s="589" t="s">
        <v>251</v>
      </c>
      <c r="O603" s="594">
        <v>45362</v>
      </c>
      <c r="P603" s="593">
        <f t="shared" si="41"/>
        <v>-102</v>
      </c>
      <c r="Q603" s="594">
        <v>45464</v>
      </c>
      <c r="R603" s="593">
        <f t="shared" ca="1" si="42"/>
        <v>-23</v>
      </c>
      <c r="S603" s="589" t="str">
        <f>VLOOKUP(Q603,Mapping!L:M,2,0)</f>
        <v>W25_2024</v>
      </c>
      <c r="T603" s="589" t="str">
        <f t="shared" ca="1" si="43"/>
        <v>Not Due</v>
      </c>
      <c r="W603" s="591"/>
    </row>
    <row r="604" spans="1:23" s="589" customFormat="1" x14ac:dyDescent="0.2">
      <c r="A604" s="589" t="s">
        <v>56</v>
      </c>
      <c r="B604" s="589" t="s">
        <v>278</v>
      </c>
      <c r="C604" s="590" t="s">
        <v>983</v>
      </c>
      <c r="D604" s="589" t="s">
        <v>100</v>
      </c>
      <c r="E604" s="589" t="s">
        <v>104</v>
      </c>
      <c r="F604" s="589" t="s">
        <v>112</v>
      </c>
      <c r="G604" s="589" t="s">
        <v>51</v>
      </c>
      <c r="H604" s="589" t="s">
        <v>242</v>
      </c>
      <c r="I604" s="589" t="s">
        <v>995</v>
      </c>
      <c r="J604" s="589" t="s">
        <v>35</v>
      </c>
      <c r="K604" s="591">
        <v>2054.91</v>
      </c>
      <c r="L604" s="592">
        <f>IF(J604="TND",1,IF(J604="EUR",Vertical_Cash_flow!$C$16,IF(J604="USD",Vertical_Cash_flow!$F$16,0)))</f>
        <v>1</v>
      </c>
      <c r="M604" s="593">
        <f t="shared" si="40"/>
        <v>2054.91</v>
      </c>
      <c r="N604" s="589" t="s">
        <v>251</v>
      </c>
      <c r="O604" s="594">
        <v>45287</v>
      </c>
      <c r="P604" s="593">
        <f t="shared" si="41"/>
        <v>-178</v>
      </c>
      <c r="Q604" s="594">
        <v>45465</v>
      </c>
      <c r="R604" s="593">
        <f t="shared" ca="1" si="42"/>
        <v>-24</v>
      </c>
      <c r="S604" s="589" t="str">
        <f>VLOOKUP(Q604,Mapping!L:M,2,0)</f>
        <v>W26_2024</v>
      </c>
      <c r="T604" s="589" t="str">
        <f t="shared" ca="1" si="43"/>
        <v>Not Due</v>
      </c>
      <c r="W604" s="591"/>
    </row>
    <row r="605" spans="1:23" s="589" customFormat="1" x14ac:dyDescent="0.2">
      <c r="A605" s="589" t="s">
        <v>56</v>
      </c>
      <c r="B605" s="589" t="s">
        <v>1048</v>
      </c>
      <c r="C605" s="590" t="s">
        <v>1682</v>
      </c>
      <c r="D605" s="589" t="s">
        <v>100</v>
      </c>
      <c r="E605" s="589" t="s">
        <v>104</v>
      </c>
      <c r="F605" s="589" t="s">
        <v>112</v>
      </c>
      <c r="G605" s="589" t="s">
        <v>51</v>
      </c>
      <c r="H605" s="589" t="s">
        <v>242</v>
      </c>
      <c r="I605" s="589" t="s">
        <v>2015</v>
      </c>
      <c r="J605" s="589" t="s">
        <v>35</v>
      </c>
      <c r="K605" s="591">
        <v>700</v>
      </c>
      <c r="L605" s="592">
        <f>IF(J605="TND",1,IF(J605="EUR",Vertical_Cash_flow!$C$16,IF(J605="USD",Vertical_Cash_flow!$F$16,0)))</f>
        <v>1</v>
      </c>
      <c r="M605" s="593">
        <f t="shared" si="40"/>
        <v>700</v>
      </c>
      <c r="N605" s="589" t="s">
        <v>251</v>
      </c>
      <c r="O605" s="594">
        <v>45380</v>
      </c>
      <c r="P605" s="593">
        <f t="shared" si="41"/>
        <v>-85</v>
      </c>
      <c r="Q605" s="594">
        <v>45465</v>
      </c>
      <c r="R605" s="593">
        <f t="shared" ca="1" si="42"/>
        <v>-24</v>
      </c>
      <c r="S605" s="589" t="str">
        <f>VLOOKUP(Q605,Mapping!L:M,2,0)</f>
        <v>W26_2024</v>
      </c>
      <c r="T605" s="589" t="str">
        <f t="shared" ca="1" si="43"/>
        <v>Not Due</v>
      </c>
      <c r="W605" s="591"/>
    </row>
    <row r="606" spans="1:23" s="589" customFormat="1" x14ac:dyDescent="0.2">
      <c r="A606" s="589" t="s">
        <v>56</v>
      </c>
      <c r="B606" s="589" t="s">
        <v>278</v>
      </c>
      <c r="C606" s="590" t="s">
        <v>1059</v>
      </c>
      <c r="D606" s="589" t="s">
        <v>100</v>
      </c>
      <c r="E606" s="589" t="s">
        <v>104</v>
      </c>
      <c r="F606" s="589" t="s">
        <v>112</v>
      </c>
      <c r="G606" s="589" t="s">
        <v>51</v>
      </c>
      <c r="H606" s="589" t="s">
        <v>242</v>
      </c>
      <c r="I606" s="589" t="s">
        <v>1134</v>
      </c>
      <c r="J606" s="589" t="s">
        <v>35</v>
      </c>
      <c r="K606" s="591">
        <v>1543.327</v>
      </c>
      <c r="L606" s="592">
        <f>IF(J606="TND",1,IF(J606="EUR",Vertical_Cash_flow!$C$16,IF(J606="USD",Vertical_Cash_flow!$F$16,0)))</f>
        <v>1</v>
      </c>
      <c r="M606" s="593">
        <f t="shared" si="40"/>
        <v>1543.327</v>
      </c>
      <c r="N606" s="589" t="s">
        <v>251</v>
      </c>
      <c r="O606" s="594">
        <v>45320</v>
      </c>
      <c r="P606" s="593">
        <f t="shared" si="41"/>
        <v>-145</v>
      </c>
      <c r="Q606" s="594">
        <v>45465</v>
      </c>
      <c r="R606" s="593">
        <f t="shared" ca="1" si="42"/>
        <v>-24</v>
      </c>
      <c r="S606" s="589" t="str">
        <f>VLOOKUP(Q606,Mapping!L:M,2,0)</f>
        <v>W26_2024</v>
      </c>
      <c r="T606" s="589" t="str">
        <f t="shared" ca="1" si="43"/>
        <v>Not Due</v>
      </c>
      <c r="W606" s="591"/>
    </row>
    <row r="607" spans="1:23" s="589" customFormat="1" x14ac:dyDescent="0.2">
      <c r="A607" s="589" t="s">
        <v>56</v>
      </c>
      <c r="B607" s="589" t="s">
        <v>477</v>
      </c>
      <c r="C607" s="590" t="s">
        <v>1680</v>
      </c>
      <c r="D607" s="589" t="s">
        <v>100</v>
      </c>
      <c r="E607" s="589" t="s">
        <v>104</v>
      </c>
      <c r="F607" s="589" t="s">
        <v>112</v>
      </c>
      <c r="G607" s="589" t="s">
        <v>51</v>
      </c>
      <c r="H607" s="589" t="s">
        <v>242</v>
      </c>
      <c r="I607" s="589" t="s">
        <v>895</v>
      </c>
      <c r="J607" s="589" t="s">
        <v>35</v>
      </c>
      <c r="K607" s="591">
        <v>1900</v>
      </c>
      <c r="L607" s="592">
        <f>IF(J607="TND",1,IF(J607="EUR",Vertical_Cash_flow!$C$16,IF(J607="USD",Vertical_Cash_flow!$F$16,0)))</f>
        <v>1</v>
      </c>
      <c r="M607" s="593">
        <f t="shared" si="40"/>
        <v>1900</v>
      </c>
      <c r="N607" s="589" t="s">
        <v>251</v>
      </c>
      <c r="O607" s="594">
        <v>45357</v>
      </c>
      <c r="P607" s="593">
        <f t="shared" si="41"/>
        <v>-109</v>
      </c>
      <c r="Q607" s="594">
        <v>45466</v>
      </c>
      <c r="R607" s="593">
        <f t="shared" ca="1" si="42"/>
        <v>-25</v>
      </c>
      <c r="S607" s="589" t="str">
        <f>VLOOKUP(Q607,Mapping!L:M,2,0)</f>
        <v>W26_2024</v>
      </c>
      <c r="T607" s="589" t="str">
        <f t="shared" ca="1" si="43"/>
        <v>Not Due</v>
      </c>
      <c r="W607" s="591"/>
    </row>
    <row r="608" spans="1:23" s="589" customFormat="1" x14ac:dyDescent="0.2">
      <c r="A608" s="589" t="s">
        <v>56</v>
      </c>
      <c r="B608" s="589" t="s">
        <v>611</v>
      </c>
      <c r="C608" s="590" t="s">
        <v>1681</v>
      </c>
      <c r="D608" s="589" t="s">
        <v>100</v>
      </c>
      <c r="E608" s="589" t="s">
        <v>104</v>
      </c>
      <c r="F608" s="589" t="s">
        <v>112</v>
      </c>
      <c r="G608" s="589" t="s">
        <v>51</v>
      </c>
      <c r="H608" s="589" t="s">
        <v>242</v>
      </c>
      <c r="I608" s="589" t="s">
        <v>2072</v>
      </c>
      <c r="J608" s="589" t="s">
        <v>35</v>
      </c>
      <c r="K608" s="591">
        <v>971.41600000000005</v>
      </c>
      <c r="L608" s="592">
        <f>IF(J608="TND",1,IF(J608="EUR",Vertical_Cash_flow!$C$16,IF(J608="USD",Vertical_Cash_flow!$F$16,0)))</f>
        <v>1</v>
      </c>
      <c r="M608" s="593">
        <f t="shared" si="40"/>
        <v>971.41600000000005</v>
      </c>
      <c r="N608" s="589" t="s">
        <v>251</v>
      </c>
      <c r="O608" s="594">
        <v>45380</v>
      </c>
      <c r="P608" s="593">
        <f t="shared" si="41"/>
        <v>-86</v>
      </c>
      <c r="Q608" s="594">
        <v>45466</v>
      </c>
      <c r="R608" s="593">
        <f t="shared" ca="1" si="42"/>
        <v>-25</v>
      </c>
      <c r="S608" s="589" t="str">
        <f>VLOOKUP(Q608,Mapping!L:M,2,0)</f>
        <v>W26_2024</v>
      </c>
      <c r="T608" s="589" t="str">
        <f t="shared" ca="1" si="43"/>
        <v>Not Due</v>
      </c>
      <c r="W608" s="591"/>
    </row>
    <row r="609" spans="1:23" s="589" customFormat="1" x14ac:dyDescent="0.2">
      <c r="A609" s="589" t="s">
        <v>56</v>
      </c>
      <c r="B609" s="589" t="s">
        <v>564</v>
      </c>
      <c r="C609" s="590" t="s">
        <v>2539</v>
      </c>
      <c r="D609" s="589" t="s">
        <v>100</v>
      </c>
      <c r="E609" s="589" t="s">
        <v>104</v>
      </c>
      <c r="F609" s="589" t="s">
        <v>112</v>
      </c>
      <c r="G609" s="589" t="s">
        <v>51</v>
      </c>
      <c r="H609" s="589" t="s">
        <v>242</v>
      </c>
      <c r="I609" s="589" t="s">
        <v>2858</v>
      </c>
      <c r="J609" s="589" t="s">
        <v>35</v>
      </c>
      <c r="K609" s="591">
        <v>1095.0029999999999</v>
      </c>
      <c r="L609" s="592">
        <f>IF(J609="TND",1,IF(J609="EUR",Vertical_Cash_flow!$C$16,IF(J609="USD",Vertical_Cash_flow!$F$16,0)))</f>
        <v>1</v>
      </c>
      <c r="M609" s="593">
        <f t="shared" si="40"/>
        <v>1095.0029999999999</v>
      </c>
      <c r="N609" s="589" t="s">
        <v>251</v>
      </c>
      <c r="O609" s="594">
        <v>45384</v>
      </c>
      <c r="P609" s="593">
        <f t="shared" si="41"/>
        <v>-82</v>
      </c>
      <c r="Q609" s="594">
        <v>45466</v>
      </c>
      <c r="R609" s="593">
        <f t="shared" ca="1" si="42"/>
        <v>-25</v>
      </c>
      <c r="S609" s="589" t="str">
        <f>VLOOKUP(Q609,Mapping!L:M,2,0)</f>
        <v>W26_2024</v>
      </c>
      <c r="T609" s="589" t="str">
        <f t="shared" ca="1" si="43"/>
        <v>Not Due</v>
      </c>
      <c r="W609" s="591"/>
    </row>
    <row r="610" spans="1:23" s="589" customFormat="1" x14ac:dyDescent="0.2">
      <c r="A610" s="589" t="s">
        <v>56</v>
      </c>
      <c r="B610" s="589" t="s">
        <v>498</v>
      </c>
      <c r="C610" s="590" t="s">
        <v>1679</v>
      </c>
      <c r="D610" s="589" t="s">
        <v>100</v>
      </c>
      <c r="E610" s="589" t="s">
        <v>104</v>
      </c>
      <c r="F610" s="589" t="s">
        <v>112</v>
      </c>
      <c r="G610" s="589" t="s">
        <v>51</v>
      </c>
      <c r="H610" s="589" t="s">
        <v>242</v>
      </c>
      <c r="I610" s="589" t="s">
        <v>2071</v>
      </c>
      <c r="J610" s="589" t="s">
        <v>35</v>
      </c>
      <c r="K610" s="591">
        <v>6875</v>
      </c>
      <c r="L610" s="592">
        <f>IF(J610="TND",1,IF(J610="EUR",Vertical_Cash_flow!$C$16,IF(J610="USD",Vertical_Cash_flow!$F$16,0)))</f>
        <v>1</v>
      </c>
      <c r="M610" s="593">
        <f t="shared" si="40"/>
        <v>6875</v>
      </c>
      <c r="N610" s="589" t="s">
        <v>251</v>
      </c>
      <c r="O610" s="594">
        <v>45351</v>
      </c>
      <c r="P610" s="593">
        <f t="shared" si="41"/>
        <v>-115</v>
      </c>
      <c r="Q610" s="594">
        <v>45466</v>
      </c>
      <c r="R610" s="593">
        <f t="shared" ca="1" si="42"/>
        <v>-25</v>
      </c>
      <c r="S610" s="589" t="str">
        <f>VLOOKUP(Q610,Mapping!L:M,2,0)</f>
        <v>W26_2024</v>
      </c>
      <c r="T610" s="589" t="str">
        <f t="shared" ca="1" si="43"/>
        <v>Not Due</v>
      </c>
      <c r="W610" s="591"/>
    </row>
    <row r="611" spans="1:23" s="589" customFormat="1" x14ac:dyDescent="0.2">
      <c r="A611" s="589" t="s">
        <v>56</v>
      </c>
      <c r="B611" s="589" t="s">
        <v>940</v>
      </c>
      <c r="C611" s="590" t="s">
        <v>1677</v>
      </c>
      <c r="D611" s="589" t="s">
        <v>100</v>
      </c>
      <c r="E611" s="589" t="s">
        <v>104</v>
      </c>
      <c r="F611" s="589" t="s">
        <v>112</v>
      </c>
      <c r="G611" s="589" t="s">
        <v>51</v>
      </c>
      <c r="H611" s="589" t="s">
        <v>242</v>
      </c>
      <c r="I611" s="589" t="s">
        <v>2069</v>
      </c>
      <c r="J611" s="589" t="s">
        <v>35</v>
      </c>
      <c r="K611" s="591">
        <v>5287.5969999999998</v>
      </c>
      <c r="L611" s="592">
        <f>IF(J611="TND",1,IF(J611="EUR",Vertical_Cash_flow!$C$16,IF(J611="USD",Vertical_Cash_flow!$F$16,0)))</f>
        <v>1</v>
      </c>
      <c r="M611" s="593">
        <f t="shared" si="40"/>
        <v>5287.5969999999998</v>
      </c>
      <c r="N611" s="589" t="s">
        <v>251</v>
      </c>
      <c r="O611" s="594">
        <v>45365</v>
      </c>
      <c r="P611" s="593">
        <f t="shared" si="41"/>
        <v>-101</v>
      </c>
      <c r="Q611" s="594">
        <v>45466</v>
      </c>
      <c r="R611" s="593">
        <f t="shared" ca="1" si="42"/>
        <v>-25</v>
      </c>
      <c r="S611" s="589" t="str">
        <f>VLOOKUP(Q611,Mapping!L:M,2,0)</f>
        <v>W26_2024</v>
      </c>
      <c r="T611" s="589" t="str">
        <f t="shared" ca="1" si="43"/>
        <v>Not Due</v>
      </c>
      <c r="W611" s="591"/>
    </row>
    <row r="612" spans="1:23" s="589" customFormat="1" x14ac:dyDescent="0.2">
      <c r="A612" s="589" t="s">
        <v>56</v>
      </c>
      <c r="B612" s="589" t="s">
        <v>943</v>
      </c>
      <c r="C612" s="590" t="s">
        <v>1678</v>
      </c>
      <c r="D612" s="589" t="s">
        <v>100</v>
      </c>
      <c r="E612" s="589" t="s">
        <v>104</v>
      </c>
      <c r="F612" s="589" t="s">
        <v>112</v>
      </c>
      <c r="G612" s="589" t="s">
        <v>51</v>
      </c>
      <c r="H612" s="589" t="s">
        <v>242</v>
      </c>
      <c r="I612" s="589" t="s">
        <v>2070</v>
      </c>
      <c r="J612" s="589" t="s">
        <v>35</v>
      </c>
      <c r="K612" s="591">
        <v>3500</v>
      </c>
      <c r="L612" s="592">
        <f>IF(J612="TND",1,IF(J612="EUR",Vertical_Cash_flow!$C$16,IF(J612="USD",Vertical_Cash_flow!$F$16,0)))</f>
        <v>1</v>
      </c>
      <c r="M612" s="593">
        <f t="shared" si="40"/>
        <v>3500</v>
      </c>
      <c r="N612" s="589" t="s">
        <v>251</v>
      </c>
      <c r="O612" s="594">
        <v>45374</v>
      </c>
      <c r="P612" s="593">
        <f t="shared" si="41"/>
        <v>-92</v>
      </c>
      <c r="Q612" s="594">
        <v>45466</v>
      </c>
      <c r="R612" s="593">
        <f t="shared" ca="1" si="42"/>
        <v>-25</v>
      </c>
      <c r="S612" s="589" t="str">
        <f>VLOOKUP(Q612,Mapping!L:M,2,0)</f>
        <v>W26_2024</v>
      </c>
      <c r="T612" s="589" t="str">
        <f t="shared" ca="1" si="43"/>
        <v>Not Due</v>
      </c>
      <c r="W612" s="591"/>
    </row>
    <row r="613" spans="1:23" s="589" customFormat="1" x14ac:dyDescent="0.2">
      <c r="A613" s="589" t="s">
        <v>56</v>
      </c>
      <c r="B613" s="589" t="s">
        <v>285</v>
      </c>
      <c r="C613" s="590" t="s">
        <v>1676</v>
      </c>
      <c r="D613" s="589" t="s">
        <v>100</v>
      </c>
      <c r="E613" s="589" t="s">
        <v>104</v>
      </c>
      <c r="F613" s="589" t="s">
        <v>112</v>
      </c>
      <c r="G613" s="589" t="s">
        <v>51</v>
      </c>
      <c r="H613" s="589" t="s">
        <v>242</v>
      </c>
      <c r="I613" s="589" t="s">
        <v>2068</v>
      </c>
      <c r="J613" s="589" t="s">
        <v>35</v>
      </c>
      <c r="K613" s="591">
        <v>1237.2719999999999</v>
      </c>
      <c r="L613" s="592">
        <f>IF(J613="TND",1,IF(J613="EUR",Vertical_Cash_flow!$C$16,IF(J613="USD",Vertical_Cash_flow!$F$16,0)))</f>
        <v>1</v>
      </c>
      <c r="M613" s="593">
        <f t="shared" si="40"/>
        <v>1237.2719999999999</v>
      </c>
      <c r="N613" s="589" t="s">
        <v>251</v>
      </c>
      <c r="O613" s="594">
        <v>45351</v>
      </c>
      <c r="P613" s="593">
        <f t="shared" si="41"/>
        <v>-116</v>
      </c>
      <c r="Q613" s="594">
        <v>45467</v>
      </c>
      <c r="R613" s="593">
        <f t="shared" ca="1" si="42"/>
        <v>-26</v>
      </c>
      <c r="S613" s="589" t="str">
        <f>VLOOKUP(Q613,Mapping!L:M,2,0)</f>
        <v>W26_2024</v>
      </c>
      <c r="T613" s="589" t="str">
        <f t="shared" ca="1" si="43"/>
        <v>Not Due</v>
      </c>
      <c r="W613" s="591"/>
    </row>
    <row r="614" spans="1:23" s="589" customFormat="1" x14ac:dyDescent="0.2">
      <c r="A614" s="589" t="s">
        <v>56</v>
      </c>
      <c r="B614" s="589" t="s">
        <v>274</v>
      </c>
      <c r="C614" s="590" t="s">
        <v>1278</v>
      </c>
      <c r="D614" s="589" t="s">
        <v>100</v>
      </c>
      <c r="E614" s="589" t="s">
        <v>104</v>
      </c>
      <c r="F614" s="589" t="s">
        <v>112</v>
      </c>
      <c r="G614" s="589" t="s">
        <v>51</v>
      </c>
      <c r="H614" s="589" t="s">
        <v>242</v>
      </c>
      <c r="I614" s="589" t="s">
        <v>1387</v>
      </c>
      <c r="J614" s="589" t="s">
        <v>35</v>
      </c>
      <c r="K614" s="591">
        <v>785</v>
      </c>
      <c r="L614" s="592">
        <f>IF(J614="TND",1,IF(J614="EUR",Vertical_Cash_flow!$C$16,IF(J614="USD",Vertical_Cash_flow!$F$16,0)))</f>
        <v>1</v>
      </c>
      <c r="M614" s="593">
        <f t="shared" si="40"/>
        <v>785</v>
      </c>
      <c r="N614" s="589" t="s">
        <v>251</v>
      </c>
      <c r="O614" s="594">
        <v>45343</v>
      </c>
      <c r="P614" s="593">
        <f t="shared" si="41"/>
        <v>-124</v>
      </c>
      <c r="Q614" s="594">
        <v>45467</v>
      </c>
      <c r="R614" s="593">
        <f t="shared" ca="1" si="42"/>
        <v>-26</v>
      </c>
      <c r="S614" s="589" t="str">
        <f>VLOOKUP(Q614,Mapping!L:M,2,0)</f>
        <v>W26_2024</v>
      </c>
      <c r="T614" s="589" t="str">
        <f t="shared" ca="1" si="43"/>
        <v>Not Due</v>
      </c>
      <c r="W614" s="591"/>
    </row>
    <row r="615" spans="1:23" s="589" customFormat="1" x14ac:dyDescent="0.2">
      <c r="A615" s="589" t="s">
        <v>56</v>
      </c>
      <c r="B615" s="589" t="s">
        <v>348</v>
      </c>
      <c r="C615" s="590" t="s">
        <v>1675</v>
      </c>
      <c r="D615" s="589" t="s">
        <v>100</v>
      </c>
      <c r="E615" s="589" t="s">
        <v>104</v>
      </c>
      <c r="F615" s="589" t="s">
        <v>112</v>
      </c>
      <c r="G615" s="589" t="s">
        <v>51</v>
      </c>
      <c r="H615" s="589" t="s">
        <v>242</v>
      </c>
      <c r="I615" s="589" t="s">
        <v>2067</v>
      </c>
      <c r="J615" s="589" t="s">
        <v>35</v>
      </c>
      <c r="K615" s="591">
        <v>4000</v>
      </c>
      <c r="L615" s="592">
        <f>IF(J615="TND",1,IF(J615="EUR",Vertical_Cash_flow!$C$16,IF(J615="USD",Vertical_Cash_flow!$F$16,0)))</f>
        <v>1</v>
      </c>
      <c r="M615" s="593">
        <f t="shared" si="40"/>
        <v>4000</v>
      </c>
      <c r="N615" s="589" t="s">
        <v>251</v>
      </c>
      <c r="O615" s="594">
        <v>45380</v>
      </c>
      <c r="P615" s="593">
        <f t="shared" si="41"/>
        <v>-87</v>
      </c>
      <c r="Q615" s="594">
        <v>45467</v>
      </c>
      <c r="R615" s="593">
        <f t="shared" ca="1" si="42"/>
        <v>-26</v>
      </c>
      <c r="S615" s="589" t="str">
        <f>VLOOKUP(Q615,Mapping!L:M,2,0)</f>
        <v>W26_2024</v>
      </c>
      <c r="T615" s="589" t="str">
        <f t="shared" ca="1" si="43"/>
        <v>Not Due</v>
      </c>
      <c r="W615" s="591"/>
    </row>
    <row r="616" spans="1:23" s="589" customFormat="1" x14ac:dyDescent="0.2">
      <c r="A616" s="589" t="s">
        <v>56</v>
      </c>
      <c r="B616" s="589" t="s">
        <v>288</v>
      </c>
      <c r="C616" s="590" t="s">
        <v>1674</v>
      </c>
      <c r="D616" s="589" t="s">
        <v>100</v>
      </c>
      <c r="E616" s="589" t="s">
        <v>104</v>
      </c>
      <c r="F616" s="589" t="s">
        <v>112</v>
      </c>
      <c r="G616" s="589" t="s">
        <v>51</v>
      </c>
      <c r="H616" s="589" t="s">
        <v>242</v>
      </c>
      <c r="I616" s="589" t="s">
        <v>2066</v>
      </c>
      <c r="J616" s="589" t="s">
        <v>35</v>
      </c>
      <c r="K616" s="591">
        <v>706.54</v>
      </c>
      <c r="L616" s="592">
        <f>IF(J616="TND",1,IF(J616="EUR",Vertical_Cash_flow!$C$16,IF(J616="USD",Vertical_Cash_flow!$F$16,0)))</f>
        <v>1</v>
      </c>
      <c r="M616" s="593">
        <f t="shared" si="40"/>
        <v>706.54</v>
      </c>
      <c r="N616" s="589" t="s">
        <v>251</v>
      </c>
      <c r="O616" s="594">
        <v>45379</v>
      </c>
      <c r="P616" s="593">
        <f t="shared" si="41"/>
        <v>-88</v>
      </c>
      <c r="Q616" s="594">
        <v>45467</v>
      </c>
      <c r="R616" s="593">
        <f t="shared" ca="1" si="42"/>
        <v>-26</v>
      </c>
      <c r="S616" s="589" t="str">
        <f>VLOOKUP(Q616,Mapping!L:M,2,0)</f>
        <v>W26_2024</v>
      </c>
      <c r="T616" s="589" t="str">
        <f t="shared" ca="1" si="43"/>
        <v>Not Due</v>
      </c>
      <c r="W616" s="591"/>
    </row>
    <row r="617" spans="1:23" s="589" customFormat="1" x14ac:dyDescent="0.2">
      <c r="A617" s="589" t="s">
        <v>56</v>
      </c>
      <c r="B617" s="589" t="s">
        <v>289</v>
      </c>
      <c r="C617" s="590" t="s">
        <v>2538</v>
      </c>
      <c r="D617" s="589" t="s">
        <v>100</v>
      </c>
      <c r="E617" s="589" t="s">
        <v>104</v>
      </c>
      <c r="F617" s="589" t="s">
        <v>112</v>
      </c>
      <c r="G617" s="589" t="s">
        <v>51</v>
      </c>
      <c r="H617" s="589" t="s">
        <v>242</v>
      </c>
      <c r="I617" s="589" t="s">
        <v>2857</v>
      </c>
      <c r="J617" s="589" t="s">
        <v>35</v>
      </c>
      <c r="K617" s="591">
        <v>1673.424</v>
      </c>
      <c r="L617" s="592">
        <f>IF(J617="TND",1,IF(J617="EUR",Vertical_Cash_flow!$C$16,IF(J617="USD",Vertical_Cash_flow!$F$16,0)))</f>
        <v>1</v>
      </c>
      <c r="M617" s="593">
        <f t="shared" si="40"/>
        <v>1673.424</v>
      </c>
      <c r="N617" s="589" t="s">
        <v>251</v>
      </c>
      <c r="O617" s="594">
        <v>45388</v>
      </c>
      <c r="P617" s="593">
        <f t="shared" si="41"/>
        <v>-79</v>
      </c>
      <c r="Q617" s="594">
        <v>45467</v>
      </c>
      <c r="R617" s="593">
        <f t="shared" ca="1" si="42"/>
        <v>-26</v>
      </c>
      <c r="S617" s="589" t="str">
        <f>VLOOKUP(Q617,Mapping!L:M,2,0)</f>
        <v>W26_2024</v>
      </c>
      <c r="T617" s="589" t="str">
        <f t="shared" ca="1" si="43"/>
        <v>Not Due</v>
      </c>
      <c r="W617" s="591"/>
    </row>
    <row r="618" spans="1:23" s="589" customFormat="1" x14ac:dyDescent="0.2">
      <c r="A618" s="589" t="s">
        <v>56</v>
      </c>
      <c r="B618" s="589" t="s">
        <v>405</v>
      </c>
      <c r="C618" s="590" t="s">
        <v>2537</v>
      </c>
      <c r="D618" s="589" t="s">
        <v>100</v>
      </c>
      <c r="E618" s="589" t="s">
        <v>104</v>
      </c>
      <c r="F618" s="589" t="s">
        <v>112</v>
      </c>
      <c r="G618" s="589" t="s">
        <v>51</v>
      </c>
      <c r="H618" s="589" t="s">
        <v>242</v>
      </c>
      <c r="I618" s="589" t="s">
        <v>2856</v>
      </c>
      <c r="J618" s="589" t="s">
        <v>35</v>
      </c>
      <c r="K618" s="591">
        <v>839.726</v>
      </c>
      <c r="L618" s="592">
        <f>IF(J618="TND",1,IF(J618="EUR",Vertical_Cash_flow!$C$16,IF(J618="USD",Vertical_Cash_flow!$F$16,0)))</f>
        <v>1</v>
      </c>
      <c r="M618" s="593">
        <f t="shared" si="40"/>
        <v>839.726</v>
      </c>
      <c r="N618" s="589" t="s">
        <v>251</v>
      </c>
      <c r="O618" s="594">
        <v>45397</v>
      </c>
      <c r="P618" s="593">
        <f t="shared" si="41"/>
        <v>-70</v>
      </c>
      <c r="Q618" s="594">
        <v>45467</v>
      </c>
      <c r="R618" s="593">
        <f t="shared" ca="1" si="42"/>
        <v>-26</v>
      </c>
      <c r="S618" s="589" t="str">
        <f>VLOOKUP(Q618,Mapping!L:M,2,0)</f>
        <v>W26_2024</v>
      </c>
      <c r="T618" s="589" t="str">
        <f t="shared" ca="1" si="43"/>
        <v>Not Due</v>
      </c>
      <c r="W618" s="591"/>
    </row>
    <row r="619" spans="1:23" s="589" customFormat="1" x14ac:dyDescent="0.2">
      <c r="A619" s="589" t="s">
        <v>56</v>
      </c>
      <c r="B619" s="589" t="s">
        <v>509</v>
      </c>
      <c r="C619" s="590" t="s">
        <v>1277</v>
      </c>
      <c r="D619" s="589" t="s">
        <v>100</v>
      </c>
      <c r="E619" s="589" t="s">
        <v>104</v>
      </c>
      <c r="F619" s="589" t="s">
        <v>112</v>
      </c>
      <c r="G619" s="589" t="s">
        <v>51</v>
      </c>
      <c r="H619" s="589" t="s">
        <v>242</v>
      </c>
      <c r="I619" s="589" t="s">
        <v>1007</v>
      </c>
      <c r="J619" s="589" t="s">
        <v>35</v>
      </c>
      <c r="K619" s="591">
        <v>7000</v>
      </c>
      <c r="L619" s="592">
        <f>IF(J619="TND",1,IF(J619="EUR",Vertical_Cash_flow!$C$16,IF(J619="USD",Vertical_Cash_flow!$F$16,0)))</f>
        <v>1</v>
      </c>
      <c r="M619" s="593">
        <f t="shared" si="40"/>
        <v>7000</v>
      </c>
      <c r="N619" s="589" t="s">
        <v>251</v>
      </c>
      <c r="O619" s="594">
        <v>45343</v>
      </c>
      <c r="P619" s="593">
        <f t="shared" si="41"/>
        <v>-124</v>
      </c>
      <c r="Q619" s="594">
        <v>45467</v>
      </c>
      <c r="R619" s="593">
        <f t="shared" ca="1" si="42"/>
        <v>-26</v>
      </c>
      <c r="S619" s="589" t="str">
        <f>VLOOKUP(Q619,Mapping!L:M,2,0)</f>
        <v>W26_2024</v>
      </c>
      <c r="T619" s="589" t="str">
        <f t="shared" ca="1" si="43"/>
        <v>Not Due</v>
      </c>
      <c r="W619" s="591"/>
    </row>
    <row r="620" spans="1:23" s="589" customFormat="1" x14ac:dyDescent="0.2">
      <c r="A620" s="589" t="s">
        <v>56</v>
      </c>
      <c r="B620" s="589" t="s">
        <v>358</v>
      </c>
      <c r="C620" s="590" t="s">
        <v>1671</v>
      </c>
      <c r="D620" s="589" t="s">
        <v>100</v>
      </c>
      <c r="E620" s="589" t="s">
        <v>104</v>
      </c>
      <c r="F620" s="589" t="s">
        <v>112</v>
      </c>
      <c r="G620" s="589" t="s">
        <v>51</v>
      </c>
      <c r="H620" s="589" t="s">
        <v>242</v>
      </c>
      <c r="I620" s="589" t="s">
        <v>2063</v>
      </c>
      <c r="J620" s="589" t="s">
        <v>35</v>
      </c>
      <c r="K620" s="591">
        <v>2326.2469999999998</v>
      </c>
      <c r="L620" s="592">
        <f>IF(J620="TND",1,IF(J620="EUR",Vertical_Cash_flow!$C$16,IF(J620="USD",Vertical_Cash_flow!$F$16,0)))</f>
        <v>1</v>
      </c>
      <c r="M620" s="593">
        <f t="shared" si="40"/>
        <v>2326.2469999999998</v>
      </c>
      <c r="N620" s="589" t="s">
        <v>251</v>
      </c>
      <c r="O620" s="594">
        <v>45369</v>
      </c>
      <c r="P620" s="593">
        <f t="shared" si="41"/>
        <v>-99</v>
      </c>
      <c r="Q620" s="594">
        <v>45468</v>
      </c>
      <c r="R620" s="593">
        <f t="shared" ca="1" si="42"/>
        <v>-27</v>
      </c>
      <c r="S620" s="589" t="str">
        <f>VLOOKUP(Q620,Mapping!L:M,2,0)</f>
        <v>W26_2024</v>
      </c>
      <c r="T620" s="589" t="str">
        <f t="shared" ca="1" si="43"/>
        <v>Not Due</v>
      </c>
      <c r="W620" s="591"/>
    </row>
    <row r="621" spans="1:23" s="589" customFormat="1" x14ac:dyDescent="0.2">
      <c r="A621" s="589" t="s">
        <v>56</v>
      </c>
      <c r="B621" s="589" t="s">
        <v>295</v>
      </c>
      <c r="C621" s="590" t="s">
        <v>1669</v>
      </c>
      <c r="D621" s="589" t="s">
        <v>100</v>
      </c>
      <c r="E621" s="589" t="s">
        <v>104</v>
      </c>
      <c r="F621" s="589" t="s">
        <v>112</v>
      </c>
      <c r="G621" s="589" t="s">
        <v>51</v>
      </c>
      <c r="H621" s="589" t="s">
        <v>242</v>
      </c>
      <c r="I621" s="589" t="s">
        <v>2062</v>
      </c>
      <c r="J621" s="589" t="s">
        <v>35</v>
      </c>
      <c r="K621" s="591">
        <v>1500</v>
      </c>
      <c r="L621" s="592">
        <f>IF(J621="TND",1,IF(J621="EUR",Vertical_Cash_flow!$C$16,IF(J621="USD",Vertical_Cash_flow!$F$16,0)))</f>
        <v>1</v>
      </c>
      <c r="M621" s="593">
        <f t="shared" si="40"/>
        <v>1500</v>
      </c>
      <c r="N621" s="589" t="s">
        <v>251</v>
      </c>
      <c r="O621" s="594">
        <v>45373</v>
      </c>
      <c r="P621" s="593">
        <f t="shared" si="41"/>
        <v>-95</v>
      </c>
      <c r="Q621" s="594">
        <v>45468</v>
      </c>
      <c r="R621" s="593">
        <f t="shared" ca="1" si="42"/>
        <v>-27</v>
      </c>
      <c r="S621" s="589" t="str">
        <f>VLOOKUP(Q621,Mapping!L:M,2,0)</f>
        <v>W26_2024</v>
      </c>
      <c r="T621" s="589" t="str">
        <f t="shared" ca="1" si="43"/>
        <v>Not Due</v>
      </c>
      <c r="W621" s="591"/>
    </row>
    <row r="622" spans="1:23" s="589" customFormat="1" x14ac:dyDescent="0.2">
      <c r="A622" s="589" t="s">
        <v>56</v>
      </c>
      <c r="B622" s="589" t="s">
        <v>299</v>
      </c>
      <c r="C622" s="590" t="s">
        <v>1670</v>
      </c>
      <c r="D622" s="589" t="s">
        <v>100</v>
      </c>
      <c r="E622" s="589" t="s">
        <v>104</v>
      </c>
      <c r="F622" s="589" t="s">
        <v>112</v>
      </c>
      <c r="G622" s="589" t="s">
        <v>51</v>
      </c>
      <c r="H622" s="589" t="s">
        <v>242</v>
      </c>
      <c r="I622" s="589" t="s">
        <v>2035</v>
      </c>
      <c r="J622" s="589" t="s">
        <v>35</v>
      </c>
      <c r="K622" s="591">
        <v>1100</v>
      </c>
      <c r="L622" s="592">
        <f>IF(J622="TND",1,IF(J622="EUR",Vertical_Cash_flow!$C$16,IF(J622="USD",Vertical_Cash_flow!$F$16,0)))</f>
        <v>1</v>
      </c>
      <c r="M622" s="593">
        <f t="shared" si="40"/>
        <v>1100</v>
      </c>
      <c r="N622" s="589" t="s">
        <v>251</v>
      </c>
      <c r="O622" s="594">
        <v>45380</v>
      </c>
      <c r="P622" s="593">
        <f t="shared" si="41"/>
        <v>-88</v>
      </c>
      <c r="Q622" s="594">
        <v>45468</v>
      </c>
      <c r="R622" s="593">
        <f t="shared" ca="1" si="42"/>
        <v>-27</v>
      </c>
      <c r="S622" s="589" t="str">
        <f>VLOOKUP(Q622,Mapping!L:M,2,0)</f>
        <v>W26_2024</v>
      </c>
      <c r="T622" s="589" t="str">
        <f t="shared" ca="1" si="43"/>
        <v>Not Due</v>
      </c>
      <c r="W622" s="591"/>
    </row>
    <row r="623" spans="1:23" s="589" customFormat="1" x14ac:dyDescent="0.2">
      <c r="A623" s="589" t="s">
        <v>56</v>
      </c>
      <c r="B623" s="589" t="s">
        <v>544</v>
      </c>
      <c r="C623" s="590" t="s">
        <v>1672</v>
      </c>
      <c r="D623" s="589" t="s">
        <v>100</v>
      </c>
      <c r="E623" s="589" t="s">
        <v>104</v>
      </c>
      <c r="F623" s="589" t="s">
        <v>112</v>
      </c>
      <c r="G623" s="589" t="s">
        <v>51</v>
      </c>
      <c r="H623" s="589" t="s">
        <v>242</v>
      </c>
      <c r="I623" s="589" t="s">
        <v>2064</v>
      </c>
      <c r="J623" s="589" t="s">
        <v>35</v>
      </c>
      <c r="K623" s="591">
        <v>2198.8409999999999</v>
      </c>
      <c r="L623" s="592">
        <f>IF(J623="TND",1,IF(J623="EUR",Vertical_Cash_flow!$C$16,IF(J623="USD",Vertical_Cash_flow!$F$16,0)))</f>
        <v>1</v>
      </c>
      <c r="M623" s="593">
        <f t="shared" si="40"/>
        <v>2198.8409999999999</v>
      </c>
      <c r="N623" s="589" t="s">
        <v>251</v>
      </c>
      <c r="O623" s="594">
        <v>45381</v>
      </c>
      <c r="P623" s="593">
        <f t="shared" si="41"/>
        <v>-87</v>
      </c>
      <c r="Q623" s="594">
        <v>45468</v>
      </c>
      <c r="R623" s="593">
        <f t="shared" ca="1" si="42"/>
        <v>-27</v>
      </c>
      <c r="S623" s="589" t="str">
        <f>VLOOKUP(Q623,Mapping!L:M,2,0)</f>
        <v>W26_2024</v>
      </c>
      <c r="T623" s="589" t="str">
        <f t="shared" ca="1" si="43"/>
        <v>Not Due</v>
      </c>
      <c r="W623" s="591"/>
    </row>
    <row r="624" spans="1:23" s="589" customFormat="1" x14ac:dyDescent="0.2">
      <c r="A624" s="589" t="s">
        <v>56</v>
      </c>
      <c r="B624" s="589" t="s">
        <v>514</v>
      </c>
      <c r="C624" s="590" t="s">
        <v>3553</v>
      </c>
      <c r="D624" s="589" t="s">
        <v>100</v>
      </c>
      <c r="E624" s="589" t="s">
        <v>104</v>
      </c>
      <c r="F624" s="589" t="s">
        <v>112</v>
      </c>
      <c r="G624" s="589" t="s">
        <v>51</v>
      </c>
      <c r="H624" s="589" t="s">
        <v>242</v>
      </c>
      <c r="I624" s="589" t="s">
        <v>3700</v>
      </c>
      <c r="J624" s="589" t="s">
        <v>35</v>
      </c>
      <c r="K624" s="591">
        <v>1041.547</v>
      </c>
      <c r="L624" s="592">
        <f>IF(J624="TND",1,IF(J624="EUR",Vertical_Cash_flow!$C$16,IF(J624="USD",Vertical_Cash_flow!$F$16,0)))</f>
        <v>1</v>
      </c>
      <c r="M624" s="593">
        <f t="shared" si="40"/>
        <v>1041.547</v>
      </c>
      <c r="N624" s="589" t="s">
        <v>251</v>
      </c>
      <c r="O624" s="594">
        <v>45426</v>
      </c>
      <c r="P624" s="593">
        <f t="shared" si="41"/>
        <v>-42</v>
      </c>
      <c r="Q624" s="594">
        <v>45468</v>
      </c>
      <c r="R624" s="593">
        <f t="shared" ca="1" si="42"/>
        <v>-27</v>
      </c>
      <c r="S624" s="589" t="str">
        <f>VLOOKUP(Q624,Mapping!L:M,2,0)</f>
        <v>W26_2024</v>
      </c>
      <c r="T624" s="589" t="str">
        <f t="shared" ca="1" si="43"/>
        <v>Not Due</v>
      </c>
      <c r="W624" s="591"/>
    </row>
    <row r="625" spans="1:23" s="589" customFormat="1" x14ac:dyDescent="0.2">
      <c r="A625" s="589" t="s">
        <v>56</v>
      </c>
      <c r="B625" s="589" t="s">
        <v>294</v>
      </c>
      <c r="C625" s="590" t="s">
        <v>1673</v>
      </c>
      <c r="D625" s="589" t="s">
        <v>100</v>
      </c>
      <c r="E625" s="589" t="s">
        <v>104</v>
      </c>
      <c r="F625" s="589" t="s">
        <v>112</v>
      </c>
      <c r="G625" s="589" t="s">
        <v>51</v>
      </c>
      <c r="H625" s="589" t="s">
        <v>242</v>
      </c>
      <c r="I625" s="589" t="s">
        <v>2065</v>
      </c>
      <c r="J625" s="589" t="s">
        <v>35</v>
      </c>
      <c r="K625" s="591">
        <v>613.85599999999999</v>
      </c>
      <c r="L625" s="592">
        <f>IF(J625="TND",1,IF(J625="EUR",Vertical_Cash_flow!$C$16,IF(J625="USD",Vertical_Cash_flow!$F$16,0)))</f>
        <v>1</v>
      </c>
      <c r="M625" s="593">
        <f t="shared" si="40"/>
        <v>613.85599999999999</v>
      </c>
      <c r="N625" s="589" t="s">
        <v>251</v>
      </c>
      <c r="O625" s="594">
        <v>45363</v>
      </c>
      <c r="P625" s="593">
        <f t="shared" si="41"/>
        <v>-105</v>
      </c>
      <c r="Q625" s="594">
        <v>45468</v>
      </c>
      <c r="R625" s="593">
        <f t="shared" ca="1" si="42"/>
        <v>-27</v>
      </c>
      <c r="S625" s="589" t="str">
        <f>VLOOKUP(Q625,Mapping!L:M,2,0)</f>
        <v>W26_2024</v>
      </c>
      <c r="T625" s="589" t="str">
        <f t="shared" ca="1" si="43"/>
        <v>Not Due</v>
      </c>
      <c r="W625" s="591"/>
    </row>
    <row r="626" spans="1:23" s="589" customFormat="1" x14ac:dyDescent="0.2">
      <c r="A626" s="589" t="s">
        <v>56</v>
      </c>
      <c r="B626" s="589" t="s">
        <v>369</v>
      </c>
      <c r="C626" s="590" t="s">
        <v>3187</v>
      </c>
      <c r="D626" s="589" t="s">
        <v>100</v>
      </c>
      <c r="E626" s="589" t="s">
        <v>104</v>
      </c>
      <c r="F626" s="589" t="s">
        <v>112</v>
      </c>
      <c r="G626" s="589" t="s">
        <v>51</v>
      </c>
      <c r="H626" s="589" t="s">
        <v>242</v>
      </c>
      <c r="I626" s="589" t="s">
        <v>3364</v>
      </c>
      <c r="J626" s="589" t="s">
        <v>35</v>
      </c>
      <c r="K626" s="591">
        <v>7675.857</v>
      </c>
      <c r="L626" s="592">
        <f>IF(J626="TND",1,IF(J626="EUR",Vertical_Cash_flow!$C$16,IF(J626="USD",Vertical_Cash_flow!$F$16,0)))</f>
        <v>1</v>
      </c>
      <c r="M626" s="593">
        <f t="shared" si="40"/>
        <v>7675.857</v>
      </c>
      <c r="N626" s="589" t="s">
        <v>251</v>
      </c>
      <c r="O626" s="594">
        <v>45412</v>
      </c>
      <c r="P626" s="593">
        <f t="shared" si="41"/>
        <v>-56</v>
      </c>
      <c r="Q626" s="594">
        <v>45468</v>
      </c>
      <c r="R626" s="593">
        <f t="shared" ca="1" si="42"/>
        <v>-27</v>
      </c>
      <c r="S626" s="589" t="str">
        <f>VLOOKUP(Q626,Mapping!L:M,2,0)</f>
        <v>W26_2024</v>
      </c>
      <c r="T626" s="589" t="str">
        <f t="shared" ca="1" si="43"/>
        <v>Not Due</v>
      </c>
      <c r="W626" s="591"/>
    </row>
    <row r="627" spans="1:23" s="589" customFormat="1" x14ac:dyDescent="0.2">
      <c r="A627" s="589" t="s">
        <v>56</v>
      </c>
      <c r="B627" s="589" t="s">
        <v>3413</v>
      </c>
      <c r="C627" s="590" t="s">
        <v>3552</v>
      </c>
      <c r="D627" s="589" t="s">
        <v>100</v>
      </c>
      <c r="E627" s="589" t="s">
        <v>104</v>
      </c>
      <c r="F627" s="589" t="s">
        <v>112</v>
      </c>
      <c r="G627" s="589" t="s">
        <v>51</v>
      </c>
      <c r="H627" s="589" t="s">
        <v>242</v>
      </c>
      <c r="I627" s="589" t="s">
        <v>3699</v>
      </c>
      <c r="J627" s="589" t="s">
        <v>35</v>
      </c>
      <c r="K627" s="591">
        <v>2966.8560000000002</v>
      </c>
      <c r="L627" s="592">
        <f>IF(J627="TND",1,IF(J627="EUR",Vertical_Cash_flow!$C$16,IF(J627="USD",Vertical_Cash_flow!$F$16,0)))</f>
        <v>1</v>
      </c>
      <c r="M627" s="593">
        <f t="shared" si="40"/>
        <v>2966.8560000000002</v>
      </c>
      <c r="N627" s="589" t="s">
        <v>251</v>
      </c>
      <c r="O627" s="594">
        <v>45429</v>
      </c>
      <c r="P627" s="593">
        <f t="shared" si="41"/>
        <v>-39</v>
      </c>
      <c r="Q627" s="594">
        <v>45468</v>
      </c>
      <c r="R627" s="593">
        <f t="shared" ca="1" si="42"/>
        <v>-27</v>
      </c>
      <c r="S627" s="589" t="str">
        <f>VLOOKUP(Q627,Mapping!L:M,2,0)</f>
        <v>W26_2024</v>
      </c>
      <c r="T627" s="589" t="str">
        <f t="shared" ca="1" si="43"/>
        <v>Not Due</v>
      </c>
      <c r="W627" s="591"/>
    </row>
    <row r="628" spans="1:23" s="589" customFormat="1" x14ac:dyDescent="0.2">
      <c r="A628" s="589" t="s">
        <v>56</v>
      </c>
      <c r="B628" s="589" t="s">
        <v>2327</v>
      </c>
      <c r="C628" s="590" t="s">
        <v>3551</v>
      </c>
      <c r="D628" s="589" t="s">
        <v>100</v>
      </c>
      <c r="E628" s="589" t="s">
        <v>104</v>
      </c>
      <c r="F628" s="589" t="s">
        <v>112</v>
      </c>
      <c r="G628" s="589" t="s">
        <v>51</v>
      </c>
      <c r="H628" s="589" t="s">
        <v>242</v>
      </c>
      <c r="I628" s="589" t="s">
        <v>3698</v>
      </c>
      <c r="J628" s="589" t="s">
        <v>35</v>
      </c>
      <c r="K628" s="591">
        <v>2360.92</v>
      </c>
      <c r="L628" s="592">
        <f>IF(J628="TND",1,IF(J628="EUR",Vertical_Cash_flow!$C$16,IF(J628="USD",Vertical_Cash_flow!$F$16,0)))</f>
        <v>1</v>
      </c>
      <c r="M628" s="593">
        <f t="shared" si="40"/>
        <v>2360.92</v>
      </c>
      <c r="N628" s="589" t="s">
        <v>251</v>
      </c>
      <c r="O628" s="594">
        <v>45429</v>
      </c>
      <c r="P628" s="593">
        <f t="shared" si="41"/>
        <v>-39</v>
      </c>
      <c r="Q628" s="594">
        <v>45468</v>
      </c>
      <c r="R628" s="593">
        <f t="shared" ca="1" si="42"/>
        <v>-27</v>
      </c>
      <c r="S628" s="589" t="str">
        <f>VLOOKUP(Q628,Mapping!L:M,2,0)</f>
        <v>W26_2024</v>
      </c>
      <c r="T628" s="589" t="str">
        <f t="shared" ca="1" si="43"/>
        <v>Not Due</v>
      </c>
      <c r="W628" s="591"/>
    </row>
    <row r="629" spans="1:23" s="589" customFormat="1" x14ac:dyDescent="0.2">
      <c r="A629" s="589" t="s">
        <v>56</v>
      </c>
      <c r="B629" s="589" t="s">
        <v>848</v>
      </c>
      <c r="C629" s="590" t="s">
        <v>3550</v>
      </c>
      <c r="D629" s="589" t="s">
        <v>100</v>
      </c>
      <c r="E629" s="589" t="s">
        <v>104</v>
      </c>
      <c r="F629" s="589" t="s">
        <v>112</v>
      </c>
      <c r="G629" s="589" t="s">
        <v>51</v>
      </c>
      <c r="H629" s="589" t="s">
        <v>242</v>
      </c>
      <c r="I629" s="589" t="s">
        <v>3682</v>
      </c>
      <c r="J629" s="589" t="s">
        <v>35</v>
      </c>
      <c r="K629" s="591">
        <v>2000</v>
      </c>
      <c r="L629" s="592">
        <f>IF(J629="TND",1,IF(J629="EUR",Vertical_Cash_flow!$C$16,IF(J629="USD",Vertical_Cash_flow!$F$16,0)))</f>
        <v>1</v>
      </c>
      <c r="M629" s="593">
        <f t="shared" si="40"/>
        <v>2000</v>
      </c>
      <c r="N629" s="589" t="s">
        <v>251</v>
      </c>
      <c r="O629" s="594">
        <v>45423</v>
      </c>
      <c r="P629" s="593">
        <f t="shared" si="41"/>
        <v>-45</v>
      </c>
      <c r="Q629" s="594">
        <v>45468</v>
      </c>
      <c r="R629" s="593">
        <f t="shared" ca="1" si="42"/>
        <v>-27</v>
      </c>
      <c r="S629" s="589" t="str">
        <f>VLOOKUP(Q629,Mapping!L:M,2,0)</f>
        <v>W26_2024</v>
      </c>
      <c r="T629" s="589" t="str">
        <f t="shared" ca="1" si="43"/>
        <v>Not Due</v>
      </c>
      <c r="W629" s="591"/>
    </row>
    <row r="630" spans="1:23" s="589" customFormat="1" x14ac:dyDescent="0.2">
      <c r="A630" s="589" t="s">
        <v>56</v>
      </c>
      <c r="B630" s="589" t="s">
        <v>398</v>
      </c>
      <c r="C630" s="590" t="s">
        <v>1668</v>
      </c>
      <c r="D630" s="589" t="s">
        <v>100</v>
      </c>
      <c r="E630" s="589" t="s">
        <v>104</v>
      </c>
      <c r="F630" s="589" t="s">
        <v>112</v>
      </c>
      <c r="G630" s="589" t="s">
        <v>51</v>
      </c>
      <c r="H630" s="589" t="s">
        <v>242</v>
      </c>
      <c r="I630" s="589" t="s">
        <v>2061</v>
      </c>
      <c r="J630" s="589" t="s">
        <v>35</v>
      </c>
      <c r="K630" s="591">
        <v>3000</v>
      </c>
      <c r="L630" s="592">
        <f>IF(J630="TND",1,IF(J630="EUR",Vertical_Cash_flow!$C$16,IF(J630="USD",Vertical_Cash_flow!$F$16,0)))</f>
        <v>1</v>
      </c>
      <c r="M630" s="593">
        <f t="shared" si="40"/>
        <v>3000</v>
      </c>
      <c r="N630" s="589" t="s">
        <v>251</v>
      </c>
      <c r="O630" s="594">
        <v>45364</v>
      </c>
      <c r="P630" s="593">
        <f t="shared" si="41"/>
        <v>-104</v>
      </c>
      <c r="Q630" s="594">
        <v>45468</v>
      </c>
      <c r="R630" s="593">
        <f t="shared" ca="1" si="42"/>
        <v>-27</v>
      </c>
      <c r="S630" s="589" t="str">
        <f>VLOOKUP(Q630,Mapping!L:M,2,0)</f>
        <v>W26_2024</v>
      </c>
      <c r="T630" s="589" t="str">
        <f t="shared" ca="1" si="43"/>
        <v>Not Due</v>
      </c>
      <c r="W630" s="591"/>
    </row>
    <row r="631" spans="1:23" s="589" customFormat="1" x14ac:dyDescent="0.2">
      <c r="A631" s="589" t="s">
        <v>56</v>
      </c>
      <c r="B631" s="589" t="s">
        <v>387</v>
      </c>
      <c r="C631" s="590" t="s">
        <v>1667</v>
      </c>
      <c r="D631" s="589" t="s">
        <v>100</v>
      </c>
      <c r="E631" s="589" t="s">
        <v>104</v>
      </c>
      <c r="F631" s="589" t="s">
        <v>112</v>
      </c>
      <c r="G631" s="589" t="s">
        <v>51</v>
      </c>
      <c r="H631" s="589" t="s">
        <v>242</v>
      </c>
      <c r="I631" s="589" t="s">
        <v>999</v>
      </c>
      <c r="J631" s="589" t="s">
        <v>35</v>
      </c>
      <c r="K631" s="591">
        <v>1780.884</v>
      </c>
      <c r="L631" s="592">
        <f>IF(J631="TND",1,IF(J631="EUR",Vertical_Cash_flow!$C$16,IF(J631="USD",Vertical_Cash_flow!$F$16,0)))</f>
        <v>1</v>
      </c>
      <c r="M631" s="593">
        <f t="shared" si="40"/>
        <v>1780.884</v>
      </c>
      <c r="N631" s="589" t="s">
        <v>251</v>
      </c>
      <c r="O631" s="594">
        <v>45349</v>
      </c>
      <c r="P631" s="593">
        <f t="shared" si="41"/>
        <v>-119</v>
      </c>
      <c r="Q631" s="594">
        <v>45468</v>
      </c>
      <c r="R631" s="593">
        <f t="shared" ca="1" si="42"/>
        <v>-27</v>
      </c>
      <c r="S631" s="589" t="str">
        <f>VLOOKUP(Q631,Mapping!L:M,2,0)</f>
        <v>W26_2024</v>
      </c>
      <c r="T631" s="589" t="str">
        <f t="shared" ca="1" si="43"/>
        <v>Not Due</v>
      </c>
      <c r="W631" s="591"/>
    </row>
    <row r="632" spans="1:23" s="589" customFormat="1" x14ac:dyDescent="0.2">
      <c r="A632" s="589" t="s">
        <v>56</v>
      </c>
      <c r="B632" s="589" t="s">
        <v>386</v>
      </c>
      <c r="C632" s="590" t="s">
        <v>1276</v>
      </c>
      <c r="D632" s="589" t="s">
        <v>100</v>
      </c>
      <c r="E632" s="589" t="s">
        <v>104</v>
      </c>
      <c r="F632" s="589" t="s">
        <v>112</v>
      </c>
      <c r="G632" s="589" t="s">
        <v>51</v>
      </c>
      <c r="H632" s="589" t="s">
        <v>242</v>
      </c>
      <c r="I632" s="589" t="s">
        <v>1386</v>
      </c>
      <c r="J632" s="589" t="s">
        <v>35</v>
      </c>
      <c r="K632" s="591">
        <v>2854.018</v>
      </c>
      <c r="L632" s="592">
        <f>IF(J632="TND",1,IF(J632="EUR",Vertical_Cash_flow!$C$16,IF(J632="USD",Vertical_Cash_flow!$F$16,0)))</f>
        <v>1</v>
      </c>
      <c r="M632" s="593">
        <f t="shared" si="40"/>
        <v>2854.018</v>
      </c>
      <c r="N632" s="589" t="s">
        <v>251</v>
      </c>
      <c r="O632" s="594">
        <v>45337</v>
      </c>
      <c r="P632" s="593">
        <f t="shared" si="41"/>
        <v>-131</v>
      </c>
      <c r="Q632" s="594">
        <v>45468</v>
      </c>
      <c r="R632" s="593">
        <f t="shared" ca="1" si="42"/>
        <v>-27</v>
      </c>
      <c r="S632" s="589" t="str">
        <f>VLOOKUP(Q632,Mapping!L:M,2,0)</f>
        <v>W26_2024</v>
      </c>
      <c r="T632" s="589" t="str">
        <f t="shared" ca="1" si="43"/>
        <v>Not Due</v>
      </c>
      <c r="W632" s="591"/>
    </row>
    <row r="633" spans="1:23" s="589" customFormat="1" x14ac:dyDescent="0.2">
      <c r="A633" s="589" t="s">
        <v>56</v>
      </c>
      <c r="B633" s="589" t="s">
        <v>345</v>
      </c>
      <c r="C633" s="590" t="s">
        <v>1058</v>
      </c>
      <c r="D633" s="589" t="s">
        <v>100</v>
      </c>
      <c r="E633" s="589" t="s">
        <v>104</v>
      </c>
      <c r="F633" s="589" t="s">
        <v>112</v>
      </c>
      <c r="G633" s="589" t="s">
        <v>51</v>
      </c>
      <c r="H633" s="589" t="s">
        <v>242</v>
      </c>
      <c r="I633" s="589" t="s">
        <v>1133</v>
      </c>
      <c r="J633" s="589" t="s">
        <v>35</v>
      </c>
      <c r="K633" s="591">
        <v>5000</v>
      </c>
      <c r="L633" s="592">
        <f>IF(J633="TND",1,IF(J633="EUR",Vertical_Cash_flow!$C$16,IF(J633="USD",Vertical_Cash_flow!$F$16,0)))</f>
        <v>1</v>
      </c>
      <c r="M633" s="593">
        <f t="shared" si="40"/>
        <v>5000</v>
      </c>
      <c r="N633" s="589" t="s">
        <v>251</v>
      </c>
      <c r="O633" s="594">
        <v>45321</v>
      </c>
      <c r="P633" s="593">
        <f t="shared" si="41"/>
        <v>-147</v>
      </c>
      <c r="Q633" s="594">
        <v>45468</v>
      </c>
      <c r="R633" s="593">
        <f t="shared" ca="1" si="42"/>
        <v>-27</v>
      </c>
      <c r="S633" s="589" t="str">
        <f>VLOOKUP(Q633,Mapping!L:M,2,0)</f>
        <v>W26_2024</v>
      </c>
      <c r="T633" s="589" t="str">
        <f t="shared" ca="1" si="43"/>
        <v>Not Due</v>
      </c>
      <c r="W633" s="591"/>
    </row>
    <row r="634" spans="1:23" s="589" customFormat="1" x14ac:dyDescent="0.2">
      <c r="A634" s="589" t="s">
        <v>56</v>
      </c>
      <c r="B634" s="589" t="s">
        <v>273</v>
      </c>
      <c r="C634" s="590" t="s">
        <v>3549</v>
      </c>
      <c r="D634" s="589" t="s">
        <v>100</v>
      </c>
      <c r="E634" s="589" t="s">
        <v>104</v>
      </c>
      <c r="F634" s="589" t="s">
        <v>112</v>
      </c>
      <c r="G634" s="589" t="s">
        <v>51</v>
      </c>
      <c r="H634" s="589" t="s">
        <v>242</v>
      </c>
      <c r="I634" s="589" t="s">
        <v>3697</v>
      </c>
      <c r="J634" s="589" t="s">
        <v>35</v>
      </c>
      <c r="K634" s="591">
        <v>1000</v>
      </c>
      <c r="L634" s="592">
        <f>IF(J634="TND",1,IF(J634="EUR",Vertical_Cash_flow!$C$16,IF(J634="USD",Vertical_Cash_flow!$F$16,0)))</f>
        <v>1</v>
      </c>
      <c r="M634" s="593">
        <f t="shared" si="40"/>
        <v>1000</v>
      </c>
      <c r="N634" s="589" t="s">
        <v>251</v>
      </c>
      <c r="O634" s="594">
        <v>45427</v>
      </c>
      <c r="P634" s="593">
        <f t="shared" si="41"/>
        <v>-41</v>
      </c>
      <c r="Q634" s="594">
        <v>45468</v>
      </c>
      <c r="R634" s="593">
        <f t="shared" ca="1" si="42"/>
        <v>-27</v>
      </c>
      <c r="S634" s="589" t="str">
        <f>VLOOKUP(Q634,Mapping!L:M,2,0)</f>
        <v>W26_2024</v>
      </c>
      <c r="T634" s="589" t="str">
        <f t="shared" ca="1" si="43"/>
        <v>Not Due</v>
      </c>
      <c r="W634" s="591"/>
    </row>
    <row r="635" spans="1:23" s="589" customFormat="1" x14ac:dyDescent="0.2">
      <c r="A635" s="589" t="s">
        <v>56</v>
      </c>
      <c r="B635" s="589" t="s">
        <v>273</v>
      </c>
      <c r="C635" s="590" t="s">
        <v>3548</v>
      </c>
      <c r="D635" s="589" t="s">
        <v>100</v>
      </c>
      <c r="E635" s="589" t="s">
        <v>104</v>
      </c>
      <c r="F635" s="589" t="s">
        <v>112</v>
      </c>
      <c r="G635" s="589" t="s">
        <v>51</v>
      </c>
      <c r="H635" s="589" t="s">
        <v>242</v>
      </c>
      <c r="I635" s="589" t="s">
        <v>3696</v>
      </c>
      <c r="J635" s="589" t="s">
        <v>35</v>
      </c>
      <c r="K635" s="591">
        <v>1200</v>
      </c>
      <c r="L635" s="592">
        <f>IF(J635="TND",1,IF(J635="EUR",Vertical_Cash_flow!$C$16,IF(J635="USD",Vertical_Cash_flow!$F$16,0)))</f>
        <v>1</v>
      </c>
      <c r="M635" s="593">
        <f t="shared" si="40"/>
        <v>1200</v>
      </c>
      <c r="N635" s="589" t="s">
        <v>251</v>
      </c>
      <c r="O635" s="594">
        <v>45427</v>
      </c>
      <c r="P635" s="593">
        <f t="shared" si="41"/>
        <v>-41</v>
      </c>
      <c r="Q635" s="594">
        <v>45468</v>
      </c>
      <c r="R635" s="593">
        <f t="shared" ca="1" si="42"/>
        <v>-27</v>
      </c>
      <c r="S635" s="589" t="str">
        <f>VLOOKUP(Q635,Mapping!L:M,2,0)</f>
        <v>W26_2024</v>
      </c>
      <c r="T635" s="589" t="str">
        <f t="shared" ca="1" si="43"/>
        <v>Not Due</v>
      </c>
      <c r="W635" s="591"/>
    </row>
    <row r="636" spans="1:23" s="589" customFormat="1" x14ac:dyDescent="0.2">
      <c r="A636" s="589" t="s">
        <v>56</v>
      </c>
      <c r="B636" s="589" t="s">
        <v>1243</v>
      </c>
      <c r="C636" s="590" t="s">
        <v>1664</v>
      </c>
      <c r="D636" s="589" t="s">
        <v>100</v>
      </c>
      <c r="E636" s="589" t="s">
        <v>104</v>
      </c>
      <c r="F636" s="589" t="s">
        <v>112</v>
      </c>
      <c r="G636" s="589" t="s">
        <v>51</v>
      </c>
      <c r="H636" s="589" t="s">
        <v>242</v>
      </c>
      <c r="I636" s="589" t="s">
        <v>2059</v>
      </c>
      <c r="J636" s="589" t="s">
        <v>35</v>
      </c>
      <c r="K636" s="591">
        <v>2760.3409999999999</v>
      </c>
      <c r="L636" s="592">
        <f>IF(J636="TND",1,IF(J636="EUR",Vertical_Cash_flow!$C$16,IF(J636="USD",Vertical_Cash_flow!$F$16,0)))</f>
        <v>1</v>
      </c>
      <c r="M636" s="593">
        <f t="shared" si="40"/>
        <v>2760.3409999999999</v>
      </c>
      <c r="N636" s="589" t="s">
        <v>251</v>
      </c>
      <c r="O636" s="594">
        <v>45372</v>
      </c>
      <c r="P636" s="593">
        <f t="shared" si="41"/>
        <v>-96</v>
      </c>
      <c r="Q636" s="594">
        <v>45468</v>
      </c>
      <c r="R636" s="593">
        <f t="shared" ca="1" si="42"/>
        <v>-27</v>
      </c>
      <c r="S636" s="589" t="str">
        <f>VLOOKUP(Q636,Mapping!L:M,2,0)</f>
        <v>W26_2024</v>
      </c>
      <c r="T636" s="589" t="str">
        <f t="shared" ca="1" si="43"/>
        <v>Not Due</v>
      </c>
      <c r="W636" s="591"/>
    </row>
    <row r="637" spans="1:23" s="589" customFormat="1" x14ac:dyDescent="0.2">
      <c r="A637" s="589" t="s">
        <v>56</v>
      </c>
      <c r="B637" s="589" t="s">
        <v>500</v>
      </c>
      <c r="C637" s="590" t="s">
        <v>1666</v>
      </c>
      <c r="D637" s="589" t="s">
        <v>100</v>
      </c>
      <c r="E637" s="589" t="s">
        <v>104</v>
      </c>
      <c r="F637" s="589" t="s">
        <v>112</v>
      </c>
      <c r="G637" s="589" t="s">
        <v>51</v>
      </c>
      <c r="H637" s="589" t="s">
        <v>242</v>
      </c>
      <c r="I637" s="589" t="s">
        <v>1005</v>
      </c>
      <c r="J637" s="589" t="s">
        <v>35</v>
      </c>
      <c r="K637" s="591">
        <v>2000</v>
      </c>
      <c r="L637" s="592">
        <f>IF(J637="TND",1,IF(J637="EUR",Vertical_Cash_flow!$C$16,IF(J637="USD",Vertical_Cash_flow!$F$16,0)))</f>
        <v>1</v>
      </c>
      <c r="M637" s="593">
        <f t="shared" si="40"/>
        <v>2000</v>
      </c>
      <c r="N637" s="589" t="s">
        <v>251</v>
      </c>
      <c r="O637" s="594">
        <v>45359</v>
      </c>
      <c r="P637" s="593">
        <f t="shared" si="41"/>
        <v>-109</v>
      </c>
      <c r="Q637" s="594">
        <v>45468</v>
      </c>
      <c r="R637" s="593">
        <f t="shared" ca="1" si="42"/>
        <v>-27</v>
      </c>
      <c r="S637" s="589" t="str">
        <f>VLOOKUP(Q637,Mapping!L:M,2,0)</f>
        <v>W26_2024</v>
      </c>
      <c r="T637" s="589" t="str">
        <f t="shared" ca="1" si="43"/>
        <v>Not Due</v>
      </c>
      <c r="W637" s="591"/>
    </row>
    <row r="638" spans="1:23" s="589" customFormat="1" x14ac:dyDescent="0.2">
      <c r="A638" s="589" t="s">
        <v>56</v>
      </c>
      <c r="B638" s="589" t="s">
        <v>482</v>
      </c>
      <c r="C638" s="590" t="s">
        <v>1663</v>
      </c>
      <c r="D638" s="589" t="s">
        <v>100</v>
      </c>
      <c r="E638" s="589" t="s">
        <v>104</v>
      </c>
      <c r="F638" s="589" t="s">
        <v>112</v>
      </c>
      <c r="G638" s="589" t="s">
        <v>51</v>
      </c>
      <c r="H638" s="589" t="s">
        <v>242</v>
      </c>
      <c r="I638" s="589" t="s">
        <v>2058</v>
      </c>
      <c r="J638" s="589" t="s">
        <v>35</v>
      </c>
      <c r="K638" s="591">
        <v>1250</v>
      </c>
      <c r="L638" s="592">
        <f>IF(J638="TND",1,IF(J638="EUR",Vertical_Cash_flow!$C$16,IF(J638="USD",Vertical_Cash_flow!$F$16,0)))</f>
        <v>1</v>
      </c>
      <c r="M638" s="593">
        <f t="shared" si="40"/>
        <v>1250</v>
      </c>
      <c r="N638" s="589" t="s">
        <v>251</v>
      </c>
      <c r="O638" s="594">
        <v>45350</v>
      </c>
      <c r="P638" s="593">
        <f t="shared" si="41"/>
        <v>-118</v>
      </c>
      <c r="Q638" s="594">
        <v>45468</v>
      </c>
      <c r="R638" s="593">
        <f t="shared" ca="1" si="42"/>
        <v>-27</v>
      </c>
      <c r="S638" s="589" t="str">
        <f>VLOOKUP(Q638,Mapping!L:M,2,0)</f>
        <v>W26_2024</v>
      </c>
      <c r="T638" s="589" t="str">
        <f t="shared" ca="1" si="43"/>
        <v>Not Due</v>
      </c>
      <c r="W638" s="591"/>
    </row>
    <row r="639" spans="1:23" s="589" customFormat="1" x14ac:dyDescent="0.2">
      <c r="A639" s="589" t="s">
        <v>56</v>
      </c>
      <c r="B639" s="589" t="s">
        <v>482</v>
      </c>
      <c r="C639" s="590" t="s">
        <v>1665</v>
      </c>
      <c r="D639" s="589" t="s">
        <v>100</v>
      </c>
      <c r="E639" s="589" t="s">
        <v>104</v>
      </c>
      <c r="F639" s="589" t="s">
        <v>112</v>
      </c>
      <c r="G639" s="589" t="s">
        <v>51</v>
      </c>
      <c r="H639" s="589" t="s">
        <v>242</v>
      </c>
      <c r="I639" s="589" t="s">
        <v>2060</v>
      </c>
      <c r="J639" s="589" t="s">
        <v>35</v>
      </c>
      <c r="K639" s="591">
        <v>1250</v>
      </c>
      <c r="L639" s="592">
        <f>IF(J639="TND",1,IF(J639="EUR",Vertical_Cash_flow!$C$16,IF(J639="USD",Vertical_Cash_flow!$F$16,0)))</f>
        <v>1</v>
      </c>
      <c r="M639" s="593">
        <f t="shared" si="40"/>
        <v>1250</v>
      </c>
      <c r="N639" s="589" t="s">
        <v>251</v>
      </c>
      <c r="O639" s="594">
        <v>45350</v>
      </c>
      <c r="P639" s="593">
        <f t="shared" si="41"/>
        <v>-118</v>
      </c>
      <c r="Q639" s="594">
        <v>45468</v>
      </c>
      <c r="R639" s="593">
        <f t="shared" ca="1" si="42"/>
        <v>-27</v>
      </c>
      <c r="S639" s="589" t="str">
        <f>VLOOKUP(Q639,Mapping!L:M,2,0)</f>
        <v>W26_2024</v>
      </c>
      <c r="T639" s="589" t="str">
        <f t="shared" ca="1" si="43"/>
        <v>Not Due</v>
      </c>
      <c r="W639" s="591"/>
    </row>
    <row r="640" spans="1:23" s="589" customFormat="1" x14ac:dyDescent="0.2">
      <c r="A640" s="589" t="s">
        <v>56</v>
      </c>
      <c r="B640" s="589" t="s">
        <v>328</v>
      </c>
      <c r="C640" s="590" t="s">
        <v>1662</v>
      </c>
      <c r="D640" s="589" t="s">
        <v>100</v>
      </c>
      <c r="E640" s="589" t="s">
        <v>104</v>
      </c>
      <c r="F640" s="589" t="s">
        <v>112</v>
      </c>
      <c r="G640" s="589" t="s">
        <v>51</v>
      </c>
      <c r="H640" s="589" t="s">
        <v>242</v>
      </c>
      <c r="I640" s="589" t="s">
        <v>2057</v>
      </c>
      <c r="J640" s="589" t="s">
        <v>35</v>
      </c>
      <c r="K640" s="591">
        <v>2000</v>
      </c>
      <c r="L640" s="592">
        <f>IF(J640="TND",1,IF(J640="EUR",Vertical_Cash_flow!$C$16,IF(J640="USD",Vertical_Cash_flow!$F$16,0)))</f>
        <v>1</v>
      </c>
      <c r="M640" s="593">
        <f t="shared" si="40"/>
        <v>2000</v>
      </c>
      <c r="N640" s="589" t="s">
        <v>251</v>
      </c>
      <c r="O640" s="594">
        <v>45366</v>
      </c>
      <c r="P640" s="593">
        <f t="shared" si="41"/>
        <v>-102</v>
      </c>
      <c r="Q640" s="594">
        <v>45468</v>
      </c>
      <c r="R640" s="593">
        <f t="shared" ca="1" si="42"/>
        <v>-27</v>
      </c>
      <c r="S640" s="589" t="str">
        <f>VLOOKUP(Q640,Mapping!L:M,2,0)</f>
        <v>W26_2024</v>
      </c>
      <c r="T640" s="589" t="str">
        <f t="shared" ca="1" si="43"/>
        <v>Not Due</v>
      </c>
      <c r="W640" s="591"/>
    </row>
    <row r="641" spans="1:23" s="589" customFormat="1" x14ac:dyDescent="0.2">
      <c r="A641" s="589" t="s">
        <v>56</v>
      </c>
      <c r="B641" s="589" t="s">
        <v>564</v>
      </c>
      <c r="C641" s="590" t="s">
        <v>3186</v>
      </c>
      <c r="D641" s="589" t="s">
        <v>100</v>
      </c>
      <c r="E641" s="589" t="s">
        <v>104</v>
      </c>
      <c r="F641" s="589" t="s">
        <v>112</v>
      </c>
      <c r="G641" s="589" t="s">
        <v>51</v>
      </c>
      <c r="H641" s="589" t="s">
        <v>242</v>
      </c>
      <c r="I641" s="589" t="s">
        <v>2858</v>
      </c>
      <c r="J641" s="589" t="s">
        <v>35</v>
      </c>
      <c r="K641" s="591">
        <v>1379.838</v>
      </c>
      <c r="L641" s="592">
        <f>IF(J641="TND",1,IF(J641="EUR",Vertical_Cash_flow!$C$16,IF(J641="USD",Vertical_Cash_flow!$F$16,0)))</f>
        <v>1</v>
      </c>
      <c r="M641" s="593">
        <f t="shared" si="40"/>
        <v>1379.838</v>
      </c>
      <c r="N641" s="589" t="s">
        <v>251</v>
      </c>
      <c r="O641" s="594">
        <v>45412</v>
      </c>
      <c r="P641" s="593">
        <f t="shared" si="41"/>
        <v>-57</v>
      </c>
      <c r="Q641" s="594">
        <v>45469</v>
      </c>
      <c r="R641" s="593">
        <f t="shared" ca="1" si="42"/>
        <v>-28</v>
      </c>
      <c r="S641" s="589" t="str">
        <f>VLOOKUP(Q641,Mapping!L:M,2,0)</f>
        <v>W26_2024</v>
      </c>
      <c r="T641" s="589" t="str">
        <f t="shared" ca="1" si="43"/>
        <v>Not Due</v>
      </c>
      <c r="W641" s="591"/>
    </row>
    <row r="642" spans="1:23" s="589" customFormat="1" x14ac:dyDescent="0.2">
      <c r="A642" s="589" t="s">
        <v>56</v>
      </c>
      <c r="B642" s="589" t="s">
        <v>581</v>
      </c>
      <c r="C642" s="590" t="s">
        <v>2536</v>
      </c>
      <c r="D642" s="589" t="s">
        <v>100</v>
      </c>
      <c r="E642" s="589" t="s">
        <v>104</v>
      </c>
      <c r="F642" s="589" t="s">
        <v>112</v>
      </c>
      <c r="G642" s="589" t="s">
        <v>51</v>
      </c>
      <c r="H642" s="589" t="s">
        <v>242</v>
      </c>
      <c r="I642" s="589" t="s">
        <v>2855</v>
      </c>
      <c r="J642" s="589" t="s">
        <v>35</v>
      </c>
      <c r="K642" s="591">
        <v>829.47799999999995</v>
      </c>
      <c r="L642" s="592">
        <f>IF(J642="TND",1,IF(J642="EUR",Vertical_Cash_flow!$C$16,IF(J642="USD",Vertical_Cash_flow!$F$16,0)))</f>
        <v>1</v>
      </c>
      <c r="M642" s="593">
        <f t="shared" si="40"/>
        <v>829.47799999999995</v>
      </c>
      <c r="N642" s="589" t="s">
        <v>251</v>
      </c>
      <c r="O642" s="594">
        <v>45408</v>
      </c>
      <c r="P642" s="593">
        <f t="shared" si="41"/>
        <v>-61</v>
      </c>
      <c r="Q642" s="594">
        <v>45469</v>
      </c>
      <c r="R642" s="593">
        <f t="shared" ca="1" si="42"/>
        <v>-28</v>
      </c>
      <c r="S642" s="589" t="str">
        <f>VLOOKUP(Q642,Mapping!L:M,2,0)</f>
        <v>W26_2024</v>
      </c>
      <c r="T642" s="589" t="str">
        <f t="shared" ca="1" si="43"/>
        <v>Not Due</v>
      </c>
      <c r="W642" s="591"/>
    </row>
    <row r="643" spans="1:23" s="589" customFormat="1" x14ac:dyDescent="0.2">
      <c r="A643" s="589" t="s">
        <v>56</v>
      </c>
      <c r="B643" s="589" t="s">
        <v>388</v>
      </c>
      <c r="C643" s="590" t="s">
        <v>1661</v>
      </c>
      <c r="D643" s="589" t="s">
        <v>100</v>
      </c>
      <c r="E643" s="589" t="s">
        <v>104</v>
      </c>
      <c r="F643" s="589" t="s">
        <v>112</v>
      </c>
      <c r="G643" s="589" t="s">
        <v>51</v>
      </c>
      <c r="H643" s="589" t="s">
        <v>242</v>
      </c>
      <c r="I643" s="589" t="s">
        <v>2056</v>
      </c>
      <c r="J643" s="589" t="s">
        <v>35</v>
      </c>
      <c r="K643" s="591">
        <v>3616.049</v>
      </c>
      <c r="L643" s="592">
        <f>IF(J643="TND",1,IF(J643="EUR",Vertical_Cash_flow!$C$16,IF(J643="USD",Vertical_Cash_flow!$F$16,0)))</f>
        <v>1</v>
      </c>
      <c r="M643" s="593">
        <f t="shared" si="40"/>
        <v>3616.049</v>
      </c>
      <c r="N643" s="589" t="s">
        <v>251</v>
      </c>
      <c r="O643" s="594">
        <v>45378</v>
      </c>
      <c r="P643" s="593">
        <f t="shared" si="41"/>
        <v>-91</v>
      </c>
      <c r="Q643" s="594">
        <v>45469</v>
      </c>
      <c r="R643" s="593">
        <f t="shared" ca="1" si="42"/>
        <v>-28</v>
      </c>
      <c r="S643" s="589" t="str">
        <f>VLOOKUP(Q643,Mapping!L:M,2,0)</f>
        <v>W26_2024</v>
      </c>
      <c r="T643" s="589" t="str">
        <f t="shared" ca="1" si="43"/>
        <v>Not Due</v>
      </c>
      <c r="W643" s="591"/>
    </row>
    <row r="644" spans="1:23" s="589" customFormat="1" x14ac:dyDescent="0.2">
      <c r="A644" s="589" t="s">
        <v>56</v>
      </c>
      <c r="B644" s="589" t="s">
        <v>283</v>
      </c>
      <c r="C644" s="590" t="s">
        <v>2535</v>
      </c>
      <c r="D644" s="589" t="s">
        <v>100</v>
      </c>
      <c r="E644" s="589" t="s">
        <v>104</v>
      </c>
      <c r="F644" s="589" t="s">
        <v>112</v>
      </c>
      <c r="G644" s="589" t="s">
        <v>51</v>
      </c>
      <c r="H644" s="589" t="s">
        <v>242</v>
      </c>
      <c r="I644" s="589" t="s">
        <v>2854</v>
      </c>
      <c r="J644" s="589" t="s">
        <v>35</v>
      </c>
      <c r="K644" s="591">
        <v>1650</v>
      </c>
      <c r="L644" s="592">
        <f>IF(J644="TND",1,IF(J644="EUR",Vertical_Cash_flow!$C$16,IF(J644="USD",Vertical_Cash_flow!$F$16,0)))</f>
        <v>1</v>
      </c>
      <c r="M644" s="593">
        <f t="shared" si="40"/>
        <v>1650</v>
      </c>
      <c r="N644" s="589" t="s">
        <v>251</v>
      </c>
      <c r="O644" s="594">
        <v>45407</v>
      </c>
      <c r="P644" s="593">
        <f t="shared" si="41"/>
        <v>-62</v>
      </c>
      <c r="Q644" s="594">
        <v>45469</v>
      </c>
      <c r="R644" s="593">
        <f t="shared" ca="1" si="42"/>
        <v>-28</v>
      </c>
      <c r="S644" s="589" t="str">
        <f>VLOOKUP(Q644,Mapping!L:M,2,0)</f>
        <v>W26_2024</v>
      </c>
      <c r="T644" s="589" t="str">
        <f t="shared" ca="1" si="43"/>
        <v>Not Due</v>
      </c>
      <c r="W644" s="591"/>
    </row>
    <row r="645" spans="1:23" s="589" customFormat="1" x14ac:dyDescent="0.2">
      <c r="A645" s="589" t="s">
        <v>56</v>
      </c>
      <c r="B645" s="589" t="s">
        <v>2331</v>
      </c>
      <c r="C645" s="590" t="s">
        <v>2534</v>
      </c>
      <c r="D645" s="589" t="s">
        <v>100</v>
      </c>
      <c r="E645" s="589" t="s">
        <v>104</v>
      </c>
      <c r="F645" s="589" t="s">
        <v>112</v>
      </c>
      <c r="G645" s="589" t="s">
        <v>51</v>
      </c>
      <c r="H645" s="589" t="s">
        <v>242</v>
      </c>
      <c r="I645" s="589" t="s">
        <v>2853</v>
      </c>
      <c r="J645" s="589" t="s">
        <v>35</v>
      </c>
      <c r="K645" s="591">
        <v>207.38200000000001</v>
      </c>
      <c r="L645" s="592">
        <f>IF(J645="TND",1,IF(J645="EUR",Vertical_Cash_flow!$C$16,IF(J645="USD",Vertical_Cash_flow!$F$16,0)))</f>
        <v>1</v>
      </c>
      <c r="M645" s="593">
        <f t="shared" si="40"/>
        <v>207.38200000000001</v>
      </c>
      <c r="N645" s="589" t="s">
        <v>251</v>
      </c>
      <c r="O645" s="594">
        <v>45408</v>
      </c>
      <c r="P645" s="593">
        <f t="shared" si="41"/>
        <v>-62</v>
      </c>
      <c r="Q645" s="594">
        <v>45470</v>
      </c>
      <c r="R645" s="593">
        <f t="shared" ca="1" si="42"/>
        <v>-29</v>
      </c>
      <c r="S645" s="589" t="str">
        <f>VLOOKUP(Q645,Mapping!L:M,2,0)</f>
        <v>W26_2024</v>
      </c>
      <c r="T645" s="589" t="str">
        <f t="shared" ca="1" si="43"/>
        <v>Not Due</v>
      </c>
      <c r="W645" s="591"/>
    </row>
    <row r="646" spans="1:23" s="589" customFormat="1" x14ac:dyDescent="0.2">
      <c r="A646" s="589" t="s">
        <v>56</v>
      </c>
      <c r="B646" s="589" t="s">
        <v>481</v>
      </c>
      <c r="C646" s="590" t="s">
        <v>1659</v>
      </c>
      <c r="D646" s="589" t="s">
        <v>100</v>
      </c>
      <c r="E646" s="589" t="s">
        <v>104</v>
      </c>
      <c r="F646" s="589" t="s">
        <v>112</v>
      </c>
      <c r="G646" s="589" t="s">
        <v>51</v>
      </c>
      <c r="H646" s="589" t="s">
        <v>242</v>
      </c>
      <c r="I646" s="589" t="s">
        <v>2054</v>
      </c>
      <c r="J646" s="589" t="s">
        <v>35</v>
      </c>
      <c r="K646" s="591">
        <v>5590</v>
      </c>
      <c r="L646" s="592">
        <f>IF(J646="TND",1,IF(J646="EUR",Vertical_Cash_flow!$C$16,IF(J646="USD",Vertical_Cash_flow!$F$16,0)))</f>
        <v>1</v>
      </c>
      <c r="M646" s="593">
        <f t="shared" si="40"/>
        <v>5590</v>
      </c>
      <c r="N646" s="589" t="s">
        <v>251</v>
      </c>
      <c r="O646" s="594">
        <v>45356</v>
      </c>
      <c r="P646" s="593">
        <f t="shared" si="41"/>
        <v>-114</v>
      </c>
      <c r="Q646" s="594">
        <v>45470</v>
      </c>
      <c r="R646" s="593">
        <f t="shared" ca="1" si="42"/>
        <v>-29</v>
      </c>
      <c r="S646" s="589" t="str">
        <f>VLOOKUP(Q646,Mapping!L:M,2,0)</f>
        <v>W26_2024</v>
      </c>
      <c r="T646" s="589" t="str">
        <f t="shared" ca="1" si="43"/>
        <v>Not Due</v>
      </c>
      <c r="W646" s="591"/>
    </row>
    <row r="647" spans="1:23" s="589" customFormat="1" x14ac:dyDescent="0.2">
      <c r="A647" s="589" t="s">
        <v>56</v>
      </c>
      <c r="B647" s="589" t="s">
        <v>351</v>
      </c>
      <c r="C647" s="590" t="s">
        <v>2533</v>
      </c>
      <c r="D647" s="589" t="s">
        <v>100</v>
      </c>
      <c r="E647" s="589" t="s">
        <v>104</v>
      </c>
      <c r="F647" s="589" t="s">
        <v>112</v>
      </c>
      <c r="G647" s="589" t="s">
        <v>51</v>
      </c>
      <c r="H647" s="589" t="s">
        <v>242</v>
      </c>
      <c r="I647" s="589" t="s">
        <v>2852</v>
      </c>
      <c r="J647" s="589" t="s">
        <v>35</v>
      </c>
      <c r="K647" s="591">
        <v>2100</v>
      </c>
      <c r="L647" s="592">
        <f>IF(J647="TND",1,IF(J647="EUR",Vertical_Cash_flow!$C$16,IF(J647="USD",Vertical_Cash_flow!$F$16,0)))</f>
        <v>1</v>
      </c>
      <c r="M647" s="593">
        <f t="shared" si="40"/>
        <v>2100</v>
      </c>
      <c r="N647" s="589" t="s">
        <v>251</v>
      </c>
      <c r="O647" s="594">
        <v>45401</v>
      </c>
      <c r="P647" s="593">
        <f t="shared" si="41"/>
        <v>-69</v>
      </c>
      <c r="Q647" s="594">
        <v>45470</v>
      </c>
      <c r="R647" s="593">
        <f t="shared" ca="1" si="42"/>
        <v>-29</v>
      </c>
      <c r="S647" s="589" t="str">
        <f>VLOOKUP(Q647,Mapping!L:M,2,0)</f>
        <v>W26_2024</v>
      </c>
      <c r="T647" s="589" t="str">
        <f t="shared" ca="1" si="43"/>
        <v>Not Due</v>
      </c>
      <c r="W647" s="591"/>
    </row>
    <row r="648" spans="1:23" s="589" customFormat="1" x14ac:dyDescent="0.2">
      <c r="A648" s="589" t="s">
        <v>56</v>
      </c>
      <c r="B648" s="589" t="s">
        <v>526</v>
      </c>
      <c r="C648" s="590" t="s">
        <v>1660</v>
      </c>
      <c r="D648" s="589" t="s">
        <v>100</v>
      </c>
      <c r="E648" s="589" t="s">
        <v>104</v>
      </c>
      <c r="F648" s="589" t="s">
        <v>112</v>
      </c>
      <c r="G648" s="589" t="s">
        <v>51</v>
      </c>
      <c r="H648" s="589" t="s">
        <v>242</v>
      </c>
      <c r="I648" s="589" t="s">
        <v>2055</v>
      </c>
      <c r="J648" s="589" t="s">
        <v>35</v>
      </c>
      <c r="K648" s="591">
        <v>1106.519</v>
      </c>
      <c r="L648" s="592">
        <f>IF(J648="TND",1,IF(J648="EUR",Vertical_Cash_flow!$C$16,IF(J648="USD",Vertical_Cash_flow!$F$16,0)))</f>
        <v>1</v>
      </c>
      <c r="M648" s="593">
        <f t="shared" si="40"/>
        <v>1106.519</v>
      </c>
      <c r="N648" s="589" t="s">
        <v>251</v>
      </c>
      <c r="O648" s="594">
        <v>45369</v>
      </c>
      <c r="P648" s="593">
        <f t="shared" si="41"/>
        <v>-101</v>
      </c>
      <c r="Q648" s="594">
        <v>45470</v>
      </c>
      <c r="R648" s="593">
        <f t="shared" ca="1" si="42"/>
        <v>-29</v>
      </c>
      <c r="S648" s="589" t="str">
        <f>VLOOKUP(Q648,Mapping!L:M,2,0)</f>
        <v>W26_2024</v>
      </c>
      <c r="T648" s="589" t="str">
        <f t="shared" ca="1" si="43"/>
        <v>Not Due</v>
      </c>
      <c r="W648" s="591"/>
    </row>
    <row r="649" spans="1:23" s="589" customFormat="1" x14ac:dyDescent="0.2">
      <c r="A649" s="589" t="s">
        <v>56</v>
      </c>
      <c r="B649" s="589" t="s">
        <v>277</v>
      </c>
      <c r="C649" s="590" t="s">
        <v>1275</v>
      </c>
      <c r="D649" s="589" t="s">
        <v>100</v>
      </c>
      <c r="E649" s="589" t="s">
        <v>104</v>
      </c>
      <c r="F649" s="589" t="s">
        <v>112</v>
      </c>
      <c r="G649" s="589" t="s">
        <v>51</v>
      </c>
      <c r="H649" s="589" t="s">
        <v>242</v>
      </c>
      <c r="I649" s="589" t="s">
        <v>1385</v>
      </c>
      <c r="J649" s="589" t="s">
        <v>35</v>
      </c>
      <c r="K649" s="591">
        <v>10252.828</v>
      </c>
      <c r="L649" s="592">
        <f>IF(J649="TND",1,IF(J649="EUR",Vertical_Cash_flow!$C$16,IF(J649="USD",Vertical_Cash_flow!$F$16,0)))</f>
        <v>1</v>
      </c>
      <c r="M649" s="593">
        <f t="shared" si="40"/>
        <v>10252.828</v>
      </c>
      <c r="N649" s="589" t="s">
        <v>251</v>
      </c>
      <c r="O649" s="594">
        <v>45328</v>
      </c>
      <c r="P649" s="593">
        <f t="shared" si="41"/>
        <v>-142</v>
      </c>
      <c r="Q649" s="594">
        <v>45470</v>
      </c>
      <c r="R649" s="593">
        <f t="shared" ca="1" si="42"/>
        <v>-29</v>
      </c>
      <c r="S649" s="589" t="str">
        <f>VLOOKUP(Q649,Mapping!L:M,2,0)</f>
        <v>W26_2024</v>
      </c>
      <c r="T649" s="589" t="str">
        <f t="shared" ca="1" si="43"/>
        <v>Not Due</v>
      </c>
      <c r="W649" s="591"/>
    </row>
    <row r="650" spans="1:23" s="589" customFormat="1" x14ac:dyDescent="0.2">
      <c r="A650" s="589" t="s">
        <v>56</v>
      </c>
      <c r="B650" s="589" t="s">
        <v>589</v>
      </c>
      <c r="C650" s="590" t="s">
        <v>1057</v>
      </c>
      <c r="D650" s="589" t="s">
        <v>100</v>
      </c>
      <c r="E650" s="589" t="s">
        <v>104</v>
      </c>
      <c r="F650" s="589" t="s">
        <v>112</v>
      </c>
      <c r="G650" s="589" t="s">
        <v>51</v>
      </c>
      <c r="H650" s="589" t="s">
        <v>242</v>
      </c>
      <c r="I650" s="589" t="s">
        <v>1132</v>
      </c>
      <c r="J650" s="589" t="s">
        <v>35</v>
      </c>
      <c r="K650" s="591">
        <v>2600</v>
      </c>
      <c r="L650" s="592">
        <f>IF(J650="TND",1,IF(J650="EUR",Vertical_Cash_flow!$C$16,IF(J650="USD",Vertical_Cash_flow!$F$16,0)))</f>
        <v>1</v>
      </c>
      <c r="M650" s="593">
        <f t="shared" si="40"/>
        <v>2600</v>
      </c>
      <c r="N650" s="589" t="s">
        <v>251</v>
      </c>
      <c r="O650" s="594">
        <v>45322</v>
      </c>
      <c r="P650" s="593">
        <f t="shared" si="41"/>
        <v>-148</v>
      </c>
      <c r="Q650" s="594">
        <v>45470</v>
      </c>
      <c r="R650" s="593">
        <f t="shared" ca="1" si="42"/>
        <v>-29</v>
      </c>
      <c r="S650" s="589" t="str">
        <f>VLOOKUP(Q650,Mapping!L:M,2,0)</f>
        <v>W26_2024</v>
      </c>
      <c r="T650" s="589" t="str">
        <f t="shared" ca="1" si="43"/>
        <v>Not Due</v>
      </c>
      <c r="W650" s="591"/>
    </row>
    <row r="651" spans="1:23" s="589" customFormat="1" x14ac:dyDescent="0.2">
      <c r="A651" s="589" t="s">
        <v>56</v>
      </c>
      <c r="B651" s="589" t="s">
        <v>505</v>
      </c>
      <c r="C651" s="590" t="s">
        <v>2532</v>
      </c>
      <c r="D651" s="589" t="s">
        <v>100</v>
      </c>
      <c r="E651" s="589" t="s">
        <v>104</v>
      </c>
      <c r="F651" s="589" t="s">
        <v>112</v>
      </c>
      <c r="G651" s="589" t="s">
        <v>51</v>
      </c>
      <c r="H651" s="589" t="s">
        <v>242</v>
      </c>
      <c r="I651" s="589" t="s">
        <v>2851</v>
      </c>
      <c r="J651" s="589" t="s">
        <v>35</v>
      </c>
      <c r="K651" s="591">
        <v>1283.366</v>
      </c>
      <c r="L651" s="592">
        <f>IF(J651="TND",1,IF(J651="EUR",Vertical_Cash_flow!$C$16,IF(J651="USD",Vertical_Cash_flow!$F$16,0)))</f>
        <v>1</v>
      </c>
      <c r="M651" s="593">
        <f t="shared" si="40"/>
        <v>1283.366</v>
      </c>
      <c r="N651" s="589" t="s">
        <v>251</v>
      </c>
      <c r="O651" s="594">
        <v>45408</v>
      </c>
      <c r="P651" s="593">
        <f t="shared" si="41"/>
        <v>-62</v>
      </c>
      <c r="Q651" s="594">
        <v>45470</v>
      </c>
      <c r="R651" s="593">
        <f t="shared" ca="1" si="42"/>
        <v>-29</v>
      </c>
      <c r="S651" s="589" t="str">
        <f>VLOOKUP(Q651,Mapping!L:M,2,0)</f>
        <v>W26_2024</v>
      </c>
      <c r="T651" s="589" t="str">
        <f t="shared" ca="1" si="43"/>
        <v>Not Due</v>
      </c>
      <c r="W651" s="591"/>
    </row>
    <row r="652" spans="1:23" s="589" customFormat="1" x14ac:dyDescent="0.2">
      <c r="A652" s="589" t="s">
        <v>56</v>
      </c>
      <c r="B652" s="589" t="s">
        <v>943</v>
      </c>
      <c r="C652" s="590" t="s">
        <v>1658</v>
      </c>
      <c r="D652" s="589" t="s">
        <v>100</v>
      </c>
      <c r="E652" s="589" t="s">
        <v>104</v>
      </c>
      <c r="F652" s="589" t="s">
        <v>112</v>
      </c>
      <c r="G652" s="589" t="s">
        <v>51</v>
      </c>
      <c r="H652" s="589" t="s">
        <v>242</v>
      </c>
      <c r="I652" s="589" t="s">
        <v>2053</v>
      </c>
      <c r="J652" s="589" t="s">
        <v>35</v>
      </c>
      <c r="K652" s="591">
        <v>3562.8270000000002</v>
      </c>
      <c r="L652" s="592">
        <f>IF(J652="TND",1,IF(J652="EUR",Vertical_Cash_flow!$C$16,IF(J652="USD",Vertical_Cash_flow!$F$16,0)))</f>
        <v>1</v>
      </c>
      <c r="M652" s="593">
        <f t="shared" si="40"/>
        <v>3562.8270000000002</v>
      </c>
      <c r="N652" s="589" t="s">
        <v>251</v>
      </c>
      <c r="O652" s="594">
        <v>45374</v>
      </c>
      <c r="P652" s="593">
        <f t="shared" si="41"/>
        <v>-96</v>
      </c>
      <c r="Q652" s="594">
        <v>45470</v>
      </c>
      <c r="R652" s="593">
        <f t="shared" ca="1" si="42"/>
        <v>-29</v>
      </c>
      <c r="S652" s="589" t="str">
        <f>VLOOKUP(Q652,Mapping!L:M,2,0)</f>
        <v>W26_2024</v>
      </c>
      <c r="T652" s="589" t="str">
        <f t="shared" ca="1" si="43"/>
        <v>Not Due</v>
      </c>
      <c r="W652" s="591"/>
    </row>
    <row r="653" spans="1:23" s="589" customFormat="1" x14ac:dyDescent="0.2">
      <c r="A653" s="589" t="s">
        <v>56</v>
      </c>
      <c r="B653" s="589" t="s">
        <v>570</v>
      </c>
      <c r="C653" s="590" t="s">
        <v>1656</v>
      </c>
      <c r="D653" s="589" t="s">
        <v>100</v>
      </c>
      <c r="E653" s="589" t="s">
        <v>104</v>
      </c>
      <c r="F653" s="589" t="s">
        <v>112</v>
      </c>
      <c r="G653" s="589" t="s">
        <v>51</v>
      </c>
      <c r="H653" s="589" t="s">
        <v>242</v>
      </c>
      <c r="I653" s="589" t="s">
        <v>2051</v>
      </c>
      <c r="J653" s="589" t="s">
        <v>35</v>
      </c>
      <c r="K653" s="591">
        <v>28632.269</v>
      </c>
      <c r="L653" s="592">
        <f>IF(J653="TND",1,IF(J653="EUR",Vertical_Cash_flow!$C$16,IF(J653="USD",Vertical_Cash_flow!$F$16,0)))</f>
        <v>1</v>
      </c>
      <c r="M653" s="593">
        <f t="shared" si="40"/>
        <v>28632.269</v>
      </c>
      <c r="N653" s="589" t="s">
        <v>251</v>
      </c>
      <c r="O653" s="594">
        <v>45370</v>
      </c>
      <c r="P653" s="593">
        <f t="shared" si="41"/>
        <v>-101</v>
      </c>
      <c r="Q653" s="594">
        <v>45471</v>
      </c>
      <c r="R653" s="593">
        <f t="shared" ca="1" si="42"/>
        <v>-30</v>
      </c>
      <c r="S653" s="589" t="str">
        <f>VLOOKUP(Q653,Mapping!L:M,2,0)</f>
        <v>W26_2024</v>
      </c>
      <c r="T653" s="589" t="str">
        <f t="shared" ca="1" si="43"/>
        <v>Not Due</v>
      </c>
      <c r="W653" s="591"/>
    </row>
    <row r="654" spans="1:23" s="589" customFormat="1" x14ac:dyDescent="0.2">
      <c r="A654" s="589" t="s">
        <v>56</v>
      </c>
      <c r="B654" s="589" t="s">
        <v>285</v>
      </c>
      <c r="C654" s="590" t="s">
        <v>1657</v>
      </c>
      <c r="D654" s="589" t="s">
        <v>100</v>
      </c>
      <c r="E654" s="589" t="s">
        <v>104</v>
      </c>
      <c r="F654" s="589" t="s">
        <v>112</v>
      </c>
      <c r="G654" s="589" t="s">
        <v>51</v>
      </c>
      <c r="H654" s="589" t="s">
        <v>242</v>
      </c>
      <c r="I654" s="589" t="s">
        <v>2052</v>
      </c>
      <c r="J654" s="589" t="s">
        <v>35</v>
      </c>
      <c r="K654" s="591">
        <v>1237.2719999999999</v>
      </c>
      <c r="L654" s="592">
        <f>IF(J654="TND",1,IF(J654="EUR",Vertical_Cash_flow!$C$16,IF(J654="USD",Vertical_Cash_flow!$F$16,0)))</f>
        <v>1</v>
      </c>
      <c r="M654" s="593">
        <f t="shared" si="40"/>
        <v>1237.2719999999999</v>
      </c>
      <c r="N654" s="589" t="s">
        <v>251</v>
      </c>
      <c r="O654" s="594">
        <v>45351</v>
      </c>
      <c r="P654" s="593">
        <f t="shared" si="41"/>
        <v>-120</v>
      </c>
      <c r="Q654" s="594">
        <v>45471</v>
      </c>
      <c r="R654" s="593">
        <f t="shared" ca="1" si="42"/>
        <v>-30</v>
      </c>
      <c r="S654" s="589" t="str">
        <f>VLOOKUP(Q654,Mapping!L:M,2,0)</f>
        <v>W26_2024</v>
      </c>
      <c r="T654" s="589" t="str">
        <f t="shared" ca="1" si="43"/>
        <v>Not Due</v>
      </c>
      <c r="W654" s="591"/>
    </row>
    <row r="655" spans="1:23" s="589" customFormat="1" x14ac:dyDescent="0.2">
      <c r="A655" s="589" t="s">
        <v>56</v>
      </c>
      <c r="B655" s="589" t="s">
        <v>481</v>
      </c>
      <c r="C655" s="590" t="s">
        <v>1655</v>
      </c>
      <c r="D655" s="589" t="s">
        <v>100</v>
      </c>
      <c r="E655" s="589" t="s">
        <v>104</v>
      </c>
      <c r="F655" s="589" t="s">
        <v>112</v>
      </c>
      <c r="G655" s="589" t="s">
        <v>51</v>
      </c>
      <c r="H655" s="589" t="s">
        <v>242</v>
      </c>
      <c r="I655" s="589" t="s">
        <v>2050</v>
      </c>
      <c r="J655" s="589" t="s">
        <v>35</v>
      </c>
      <c r="K655" s="591">
        <v>5590</v>
      </c>
      <c r="L655" s="592">
        <f>IF(J655="TND",1,IF(J655="EUR",Vertical_Cash_flow!$C$16,IF(J655="USD",Vertical_Cash_flow!$F$16,0)))</f>
        <v>1</v>
      </c>
      <c r="M655" s="593">
        <f t="shared" si="40"/>
        <v>5590</v>
      </c>
      <c r="N655" s="589" t="s">
        <v>251</v>
      </c>
      <c r="O655" s="594">
        <v>45356</v>
      </c>
      <c r="P655" s="593">
        <f t="shared" si="41"/>
        <v>-115</v>
      </c>
      <c r="Q655" s="594">
        <v>45471</v>
      </c>
      <c r="R655" s="593">
        <f t="shared" ca="1" si="42"/>
        <v>-30</v>
      </c>
      <c r="S655" s="589" t="str">
        <f>VLOOKUP(Q655,Mapping!L:M,2,0)</f>
        <v>W26_2024</v>
      </c>
      <c r="T655" s="589" t="str">
        <f t="shared" ca="1" si="43"/>
        <v>Not Due</v>
      </c>
      <c r="W655" s="591"/>
    </row>
    <row r="656" spans="1:23" s="589" customFormat="1" x14ac:dyDescent="0.2">
      <c r="A656" s="589" t="s">
        <v>56</v>
      </c>
      <c r="B656" s="589" t="s">
        <v>3412</v>
      </c>
      <c r="C656" s="590" t="s">
        <v>3547</v>
      </c>
      <c r="D656" s="589" t="s">
        <v>100</v>
      </c>
      <c r="E656" s="589" t="s">
        <v>104</v>
      </c>
      <c r="F656" s="589" t="s">
        <v>112</v>
      </c>
      <c r="G656" s="589" t="s">
        <v>51</v>
      </c>
      <c r="H656" s="589" t="s">
        <v>242</v>
      </c>
      <c r="I656" s="589" t="s">
        <v>3695</v>
      </c>
      <c r="J656" s="589" t="s">
        <v>35</v>
      </c>
      <c r="K656" s="591">
        <v>616.55700000000002</v>
      </c>
      <c r="L656" s="592">
        <f>IF(J656="TND",1,IF(J656="EUR",Vertical_Cash_flow!$C$16,IF(J656="USD",Vertical_Cash_flow!$F$16,0)))</f>
        <v>1</v>
      </c>
      <c r="M656" s="593">
        <f t="shared" si="40"/>
        <v>616.55700000000002</v>
      </c>
      <c r="N656" s="589" t="s">
        <v>251</v>
      </c>
      <c r="O656" s="594">
        <v>45427</v>
      </c>
      <c r="P656" s="593">
        <f t="shared" si="41"/>
        <v>-44</v>
      </c>
      <c r="Q656" s="594">
        <v>45471</v>
      </c>
      <c r="R656" s="593">
        <f t="shared" ca="1" si="42"/>
        <v>-30</v>
      </c>
      <c r="S656" s="589" t="str">
        <f>VLOOKUP(Q656,Mapping!L:M,2,0)</f>
        <v>W26_2024</v>
      </c>
      <c r="T656" s="589" t="str">
        <f t="shared" ca="1" si="43"/>
        <v>Not Due</v>
      </c>
      <c r="W656" s="591"/>
    </row>
    <row r="657" spans="1:23" s="589" customFormat="1" x14ac:dyDescent="0.2">
      <c r="A657" s="589" t="s">
        <v>56</v>
      </c>
      <c r="B657" s="589" t="s">
        <v>617</v>
      </c>
      <c r="C657" s="590" t="s">
        <v>3546</v>
      </c>
      <c r="D657" s="589" t="s">
        <v>100</v>
      </c>
      <c r="E657" s="589" t="s">
        <v>104</v>
      </c>
      <c r="F657" s="589" t="s">
        <v>112</v>
      </c>
      <c r="G657" s="589" t="s">
        <v>51</v>
      </c>
      <c r="H657" s="589" t="s">
        <v>242</v>
      </c>
      <c r="I657" s="589" t="s">
        <v>3694</v>
      </c>
      <c r="J657" s="589" t="s">
        <v>35</v>
      </c>
      <c r="K657" s="591">
        <v>1885.7149999999999</v>
      </c>
      <c r="L657" s="592">
        <f>IF(J657="TND",1,IF(J657="EUR",Vertical_Cash_flow!$C$16,IF(J657="USD",Vertical_Cash_flow!$F$16,0)))</f>
        <v>1</v>
      </c>
      <c r="M657" s="593">
        <f t="shared" si="40"/>
        <v>1885.7149999999999</v>
      </c>
      <c r="N657" s="589" t="s">
        <v>251</v>
      </c>
      <c r="O657" s="594">
        <v>45421</v>
      </c>
      <c r="P657" s="593">
        <f t="shared" si="41"/>
        <v>-50</v>
      </c>
      <c r="Q657" s="594">
        <v>45471</v>
      </c>
      <c r="R657" s="593">
        <f t="shared" ca="1" si="42"/>
        <v>-30</v>
      </c>
      <c r="S657" s="589" t="str">
        <f>VLOOKUP(Q657,Mapping!L:M,2,0)</f>
        <v>W26_2024</v>
      </c>
      <c r="T657" s="589" t="str">
        <f t="shared" ca="1" si="43"/>
        <v>Not Due</v>
      </c>
      <c r="W657" s="591"/>
    </row>
    <row r="658" spans="1:23" s="589" customFormat="1" x14ac:dyDescent="0.2">
      <c r="A658" s="589" t="s">
        <v>56</v>
      </c>
      <c r="B658" s="589" t="s">
        <v>3409</v>
      </c>
      <c r="C658" s="590" t="s">
        <v>3545</v>
      </c>
      <c r="D658" s="589" t="s">
        <v>100</v>
      </c>
      <c r="E658" s="589" t="s">
        <v>104</v>
      </c>
      <c r="F658" s="589" t="s">
        <v>112</v>
      </c>
      <c r="G658" s="589" t="s">
        <v>51</v>
      </c>
      <c r="H658" s="589" t="s">
        <v>242</v>
      </c>
      <c r="I658" s="589" t="s">
        <v>3680</v>
      </c>
      <c r="J658" s="589" t="s">
        <v>35</v>
      </c>
      <c r="K658" s="591">
        <v>2056.9499999999998</v>
      </c>
      <c r="L658" s="592">
        <f>IF(J658="TND",1,IF(J658="EUR",Vertical_Cash_flow!$C$16,IF(J658="USD",Vertical_Cash_flow!$F$16,0)))</f>
        <v>1</v>
      </c>
      <c r="M658" s="593">
        <f t="shared" si="40"/>
        <v>2056.9499999999998</v>
      </c>
      <c r="N658" s="589" t="s">
        <v>251</v>
      </c>
      <c r="O658" s="594">
        <v>45423</v>
      </c>
      <c r="P658" s="593">
        <f t="shared" si="41"/>
        <v>-48</v>
      </c>
      <c r="Q658" s="594">
        <v>45471</v>
      </c>
      <c r="R658" s="593">
        <f t="shared" ca="1" si="42"/>
        <v>-30</v>
      </c>
      <c r="S658" s="589" t="str">
        <f>VLOOKUP(Q658,Mapping!L:M,2,0)</f>
        <v>W26_2024</v>
      </c>
      <c r="T658" s="589" t="str">
        <f t="shared" ca="1" si="43"/>
        <v>Not Due</v>
      </c>
      <c r="W658" s="591"/>
    </row>
    <row r="659" spans="1:23" s="589" customFormat="1" x14ac:dyDescent="0.2">
      <c r="A659" s="589" t="s">
        <v>56</v>
      </c>
      <c r="B659" s="589" t="s">
        <v>633</v>
      </c>
      <c r="C659" s="590" t="s">
        <v>1654</v>
      </c>
      <c r="D659" s="589" t="s">
        <v>100</v>
      </c>
      <c r="E659" s="589" t="s">
        <v>104</v>
      </c>
      <c r="F659" s="589" t="s">
        <v>112</v>
      </c>
      <c r="G659" s="589" t="s">
        <v>51</v>
      </c>
      <c r="H659" s="589" t="s">
        <v>242</v>
      </c>
      <c r="I659" s="589" t="s">
        <v>2049</v>
      </c>
      <c r="J659" s="589" t="s">
        <v>35</v>
      </c>
      <c r="K659" s="591">
        <v>3376.14</v>
      </c>
      <c r="L659" s="592">
        <f>IF(J659="TND",1,IF(J659="EUR",Vertical_Cash_flow!$C$16,IF(J659="USD",Vertical_Cash_flow!$F$16,0)))</f>
        <v>1</v>
      </c>
      <c r="M659" s="593">
        <f t="shared" si="40"/>
        <v>3376.14</v>
      </c>
      <c r="N659" s="589" t="s">
        <v>251</v>
      </c>
      <c r="O659" s="594">
        <v>45369</v>
      </c>
      <c r="P659" s="593">
        <f t="shared" si="41"/>
        <v>-103</v>
      </c>
      <c r="Q659" s="594">
        <v>45472</v>
      </c>
      <c r="R659" s="593">
        <f t="shared" ca="1" si="42"/>
        <v>-31</v>
      </c>
      <c r="S659" s="589" t="str">
        <f>VLOOKUP(Q659,Mapping!L:M,2,0)</f>
        <v>W27_2024</v>
      </c>
      <c r="T659" s="589" t="str">
        <f t="shared" ca="1" si="43"/>
        <v>Not Due</v>
      </c>
      <c r="W659" s="591"/>
    </row>
    <row r="660" spans="1:23" s="589" customFormat="1" x14ac:dyDescent="0.2">
      <c r="A660" s="589" t="s">
        <v>56</v>
      </c>
      <c r="B660" s="589" t="s">
        <v>296</v>
      </c>
      <c r="C660" s="590" t="s">
        <v>2529</v>
      </c>
      <c r="D660" s="589" t="s">
        <v>100</v>
      </c>
      <c r="E660" s="589" t="s">
        <v>104</v>
      </c>
      <c r="F660" s="589" t="s">
        <v>112</v>
      </c>
      <c r="G660" s="589" t="s">
        <v>51</v>
      </c>
      <c r="H660" s="589" t="s">
        <v>242</v>
      </c>
      <c r="I660" s="589" t="s">
        <v>2848</v>
      </c>
      <c r="J660" s="589" t="s">
        <v>35</v>
      </c>
      <c r="K660" s="591">
        <v>2653.1759999999999</v>
      </c>
      <c r="L660" s="592">
        <f>IF(J660="TND",1,IF(J660="EUR",Vertical_Cash_flow!$C$16,IF(J660="USD",Vertical_Cash_flow!$F$16,0)))</f>
        <v>1</v>
      </c>
      <c r="M660" s="593">
        <f t="shared" si="40"/>
        <v>2653.1759999999999</v>
      </c>
      <c r="N660" s="589" t="s">
        <v>251</v>
      </c>
      <c r="O660" s="594">
        <v>45408</v>
      </c>
      <c r="P660" s="593">
        <f t="shared" si="41"/>
        <v>-64</v>
      </c>
      <c r="Q660" s="594">
        <v>45472</v>
      </c>
      <c r="R660" s="593">
        <f t="shared" ca="1" si="42"/>
        <v>-31</v>
      </c>
      <c r="S660" s="589" t="str">
        <f>VLOOKUP(Q660,Mapping!L:M,2,0)</f>
        <v>W27_2024</v>
      </c>
      <c r="T660" s="589" t="str">
        <f t="shared" ca="1" si="43"/>
        <v>Not Due</v>
      </c>
      <c r="W660" s="591"/>
    </row>
    <row r="661" spans="1:23" s="589" customFormat="1" x14ac:dyDescent="0.2">
      <c r="A661" s="589" t="s">
        <v>56</v>
      </c>
      <c r="B661" s="589" t="s">
        <v>554</v>
      </c>
      <c r="C661" s="590" t="s">
        <v>2530</v>
      </c>
      <c r="D661" s="589" t="s">
        <v>100</v>
      </c>
      <c r="E661" s="589" t="s">
        <v>104</v>
      </c>
      <c r="F661" s="589" t="s">
        <v>112</v>
      </c>
      <c r="G661" s="589" t="s">
        <v>51</v>
      </c>
      <c r="H661" s="589" t="s">
        <v>242</v>
      </c>
      <c r="I661" s="589" t="s">
        <v>2849</v>
      </c>
      <c r="J661" s="589" t="s">
        <v>35</v>
      </c>
      <c r="K661" s="591">
        <v>2808.127</v>
      </c>
      <c r="L661" s="592">
        <f>IF(J661="TND",1,IF(J661="EUR",Vertical_Cash_flow!$C$16,IF(J661="USD",Vertical_Cash_flow!$F$16,0)))</f>
        <v>1</v>
      </c>
      <c r="M661" s="593">
        <f t="shared" ref="M661:M724" si="44">K661/L661</f>
        <v>2808.127</v>
      </c>
      <c r="N661" s="589" t="s">
        <v>251</v>
      </c>
      <c r="O661" s="594">
        <v>45386</v>
      </c>
      <c r="P661" s="593">
        <f t="shared" ref="P661:P724" si="45">O661-Q661</f>
        <v>-86</v>
      </c>
      <c r="Q661" s="594">
        <v>45472</v>
      </c>
      <c r="R661" s="593">
        <f t="shared" ref="R661:R724" ca="1" si="46">$W$1-Q661</f>
        <v>-31</v>
      </c>
      <c r="S661" s="589" t="str">
        <f>VLOOKUP(Q661,Mapping!L:M,2,0)</f>
        <v>W27_2024</v>
      </c>
      <c r="T661" s="589" t="str">
        <f t="shared" ref="T661:T724" ca="1" si="47">IF(R661="","",IF(R661&lt;0,"Not Due",IF(AND(R661&gt;=0,R661&lt;=30),"up to 30 days",IF(AND(R661&gt;30,R661&lt;=60),"30-60 days",IF(AND(R661&gt;60,R661&lt;=90),"60-90 days",IF(AND(R661&gt;90,R661&lt;=120),"90-120 days",IF(AND(R661&gt;120,R661&lt;=180),"120-180 days",IF(AND(R661&gt;180,R661&lt;=360),"180-360 days",IF(R661&gt;360,"more than 360 days","ok")))))))))</f>
        <v>Not Due</v>
      </c>
      <c r="W661" s="591"/>
    </row>
    <row r="662" spans="1:23" s="589" customFormat="1" x14ac:dyDescent="0.2">
      <c r="A662" s="589" t="s">
        <v>56</v>
      </c>
      <c r="B662" s="589" t="s">
        <v>611</v>
      </c>
      <c r="C662" s="590" t="s">
        <v>1653</v>
      </c>
      <c r="D662" s="589" t="s">
        <v>100</v>
      </c>
      <c r="E662" s="589" t="s">
        <v>104</v>
      </c>
      <c r="F662" s="589" t="s">
        <v>112</v>
      </c>
      <c r="G662" s="589" t="s">
        <v>51</v>
      </c>
      <c r="H662" s="589" t="s">
        <v>242</v>
      </c>
      <c r="I662" s="589" t="s">
        <v>2048</v>
      </c>
      <c r="J662" s="589" t="s">
        <v>35</v>
      </c>
      <c r="K662" s="591">
        <v>500</v>
      </c>
      <c r="L662" s="592">
        <f>IF(J662="TND",1,IF(J662="EUR",Vertical_Cash_flow!$C$16,IF(J662="USD",Vertical_Cash_flow!$F$16,0)))</f>
        <v>1</v>
      </c>
      <c r="M662" s="593">
        <f t="shared" si="44"/>
        <v>500</v>
      </c>
      <c r="N662" s="589" t="s">
        <v>251</v>
      </c>
      <c r="O662" s="594">
        <v>45380</v>
      </c>
      <c r="P662" s="593">
        <f t="shared" si="45"/>
        <v>-92</v>
      </c>
      <c r="Q662" s="594">
        <v>45472</v>
      </c>
      <c r="R662" s="593">
        <f t="shared" ca="1" si="46"/>
        <v>-31</v>
      </c>
      <c r="S662" s="589" t="str">
        <f>VLOOKUP(Q662,Mapping!L:M,2,0)</f>
        <v>W27_2024</v>
      </c>
      <c r="T662" s="589" t="str">
        <f t="shared" ca="1" si="47"/>
        <v>Not Due</v>
      </c>
      <c r="W662" s="591"/>
    </row>
    <row r="663" spans="1:23" s="589" customFormat="1" x14ac:dyDescent="0.2">
      <c r="A663" s="589" t="s">
        <v>56</v>
      </c>
      <c r="B663" s="589" t="s">
        <v>1034</v>
      </c>
      <c r="C663" s="590" t="s">
        <v>2531</v>
      </c>
      <c r="D663" s="589" t="s">
        <v>100</v>
      </c>
      <c r="E663" s="589" t="s">
        <v>104</v>
      </c>
      <c r="F663" s="589" t="s">
        <v>112</v>
      </c>
      <c r="G663" s="589" t="s">
        <v>51</v>
      </c>
      <c r="H663" s="589" t="s">
        <v>242</v>
      </c>
      <c r="I663" s="589" t="s">
        <v>2850</v>
      </c>
      <c r="J663" s="589" t="s">
        <v>35</v>
      </c>
      <c r="K663" s="591">
        <v>1424.0160000000001</v>
      </c>
      <c r="L663" s="592">
        <f>IF(J663="TND",1,IF(J663="EUR",Vertical_Cash_flow!$C$16,IF(J663="USD",Vertical_Cash_flow!$F$16,0)))</f>
        <v>1</v>
      </c>
      <c r="M663" s="593">
        <f t="shared" si="44"/>
        <v>1424.0160000000001</v>
      </c>
      <c r="N663" s="589" t="s">
        <v>251</v>
      </c>
      <c r="O663" s="594">
        <v>45385</v>
      </c>
      <c r="P663" s="593">
        <f t="shared" si="45"/>
        <v>-87</v>
      </c>
      <c r="Q663" s="594">
        <v>45472</v>
      </c>
      <c r="R663" s="593">
        <f t="shared" ca="1" si="46"/>
        <v>-31</v>
      </c>
      <c r="S663" s="589" t="str">
        <f>VLOOKUP(Q663,Mapping!L:M,2,0)</f>
        <v>W27_2024</v>
      </c>
      <c r="T663" s="589" t="str">
        <f t="shared" ca="1" si="47"/>
        <v>Not Due</v>
      </c>
      <c r="W663" s="591"/>
    </row>
    <row r="664" spans="1:23" s="589" customFormat="1" x14ac:dyDescent="0.2">
      <c r="A664" s="589" t="s">
        <v>56</v>
      </c>
      <c r="B664" s="589" t="s">
        <v>903</v>
      </c>
      <c r="C664" s="590" t="s">
        <v>3544</v>
      </c>
      <c r="D664" s="589" t="s">
        <v>100</v>
      </c>
      <c r="E664" s="589" t="s">
        <v>104</v>
      </c>
      <c r="F664" s="589" t="s">
        <v>112</v>
      </c>
      <c r="G664" s="589" t="s">
        <v>51</v>
      </c>
      <c r="H664" s="589" t="s">
        <v>242</v>
      </c>
      <c r="I664" s="589" t="s">
        <v>3693</v>
      </c>
      <c r="J664" s="589" t="s">
        <v>35</v>
      </c>
      <c r="K664" s="591">
        <v>1409.038</v>
      </c>
      <c r="L664" s="592">
        <f>IF(J664="TND",1,IF(J664="EUR",Vertical_Cash_flow!$C$16,IF(J664="USD",Vertical_Cash_flow!$F$16,0)))</f>
        <v>1</v>
      </c>
      <c r="M664" s="593">
        <f t="shared" si="44"/>
        <v>1409.038</v>
      </c>
      <c r="N664" s="589" t="s">
        <v>251</v>
      </c>
      <c r="O664" s="594">
        <v>45429</v>
      </c>
      <c r="P664" s="593">
        <f t="shared" si="45"/>
        <v>-43</v>
      </c>
      <c r="Q664" s="594">
        <v>45472</v>
      </c>
      <c r="R664" s="593">
        <f t="shared" ca="1" si="46"/>
        <v>-31</v>
      </c>
      <c r="S664" s="589" t="str">
        <f>VLOOKUP(Q664,Mapping!L:M,2,0)</f>
        <v>W27_2024</v>
      </c>
      <c r="T664" s="589" t="str">
        <f t="shared" ca="1" si="47"/>
        <v>Not Due</v>
      </c>
      <c r="W664" s="591"/>
    </row>
    <row r="665" spans="1:23" s="589" customFormat="1" x14ac:dyDescent="0.2">
      <c r="A665" s="589" t="s">
        <v>56</v>
      </c>
      <c r="B665" s="589" t="s">
        <v>498</v>
      </c>
      <c r="C665" s="590" t="s">
        <v>1652</v>
      </c>
      <c r="D665" s="589" t="s">
        <v>100</v>
      </c>
      <c r="E665" s="589" t="s">
        <v>104</v>
      </c>
      <c r="F665" s="589" t="s">
        <v>112</v>
      </c>
      <c r="G665" s="589" t="s">
        <v>51</v>
      </c>
      <c r="H665" s="589" t="s">
        <v>242</v>
      </c>
      <c r="I665" s="589" t="s">
        <v>2047</v>
      </c>
      <c r="J665" s="589" t="s">
        <v>35</v>
      </c>
      <c r="K665" s="591">
        <v>6875</v>
      </c>
      <c r="L665" s="592">
        <f>IF(J665="TND",1,IF(J665="EUR",Vertical_Cash_flow!$C$16,IF(J665="USD",Vertical_Cash_flow!$F$16,0)))</f>
        <v>1</v>
      </c>
      <c r="M665" s="593">
        <f t="shared" si="44"/>
        <v>6875</v>
      </c>
      <c r="N665" s="589" t="s">
        <v>251</v>
      </c>
      <c r="O665" s="594">
        <v>45351</v>
      </c>
      <c r="P665" s="593">
        <f t="shared" si="45"/>
        <v>-121</v>
      </c>
      <c r="Q665" s="594">
        <v>45472</v>
      </c>
      <c r="R665" s="593">
        <f t="shared" ca="1" si="46"/>
        <v>-31</v>
      </c>
      <c r="S665" s="589" t="str">
        <f>VLOOKUP(Q665,Mapping!L:M,2,0)</f>
        <v>W27_2024</v>
      </c>
      <c r="T665" s="589" t="str">
        <f t="shared" ca="1" si="47"/>
        <v>Not Due</v>
      </c>
      <c r="W665" s="591"/>
    </row>
    <row r="666" spans="1:23" s="589" customFormat="1" x14ac:dyDescent="0.2">
      <c r="A666" s="589" t="s">
        <v>56</v>
      </c>
      <c r="B666" s="589" t="s">
        <v>622</v>
      </c>
      <c r="C666" s="590" t="s">
        <v>1651</v>
      </c>
      <c r="D666" s="589" t="s">
        <v>100</v>
      </c>
      <c r="E666" s="589" t="s">
        <v>104</v>
      </c>
      <c r="F666" s="589" t="s">
        <v>112</v>
      </c>
      <c r="G666" s="589" t="s">
        <v>51</v>
      </c>
      <c r="H666" s="589" t="s">
        <v>242</v>
      </c>
      <c r="I666" s="589" t="s">
        <v>2046</v>
      </c>
      <c r="J666" s="589" t="s">
        <v>35</v>
      </c>
      <c r="K666" s="591">
        <v>1163.1279999999999</v>
      </c>
      <c r="L666" s="592">
        <f>IF(J666="TND",1,IF(J666="EUR",Vertical_Cash_flow!$C$16,IF(J666="USD",Vertical_Cash_flow!$F$16,0)))</f>
        <v>1</v>
      </c>
      <c r="M666" s="593">
        <f t="shared" si="44"/>
        <v>1163.1279999999999</v>
      </c>
      <c r="N666" s="589" t="s">
        <v>251</v>
      </c>
      <c r="O666" s="594">
        <v>45359</v>
      </c>
      <c r="P666" s="593">
        <f t="shared" si="45"/>
        <v>-113</v>
      </c>
      <c r="Q666" s="594">
        <v>45472</v>
      </c>
      <c r="R666" s="593">
        <f t="shared" ca="1" si="46"/>
        <v>-31</v>
      </c>
      <c r="S666" s="589" t="str">
        <f>VLOOKUP(Q666,Mapping!L:M,2,0)</f>
        <v>W27_2024</v>
      </c>
      <c r="T666" s="589" t="str">
        <f t="shared" ca="1" si="47"/>
        <v>Not Due</v>
      </c>
      <c r="W666" s="591"/>
    </row>
    <row r="667" spans="1:23" s="589" customFormat="1" x14ac:dyDescent="0.2">
      <c r="A667" s="589" t="s">
        <v>56</v>
      </c>
      <c r="B667" s="589" t="s">
        <v>3411</v>
      </c>
      <c r="C667" s="590" t="s">
        <v>3543</v>
      </c>
      <c r="D667" s="589" t="s">
        <v>100</v>
      </c>
      <c r="E667" s="589" t="s">
        <v>104</v>
      </c>
      <c r="F667" s="589" t="s">
        <v>112</v>
      </c>
      <c r="G667" s="589" t="s">
        <v>51</v>
      </c>
      <c r="H667" s="589" t="s">
        <v>242</v>
      </c>
      <c r="I667" s="589" t="s">
        <v>3692</v>
      </c>
      <c r="J667" s="589" t="s">
        <v>35</v>
      </c>
      <c r="K667" s="591">
        <v>2459.5909999999999</v>
      </c>
      <c r="L667" s="592">
        <f>IF(J667="TND",1,IF(J667="EUR",Vertical_Cash_flow!$C$16,IF(J667="USD",Vertical_Cash_flow!$F$16,0)))</f>
        <v>1</v>
      </c>
      <c r="M667" s="593">
        <f t="shared" si="44"/>
        <v>2459.5909999999999</v>
      </c>
      <c r="N667" s="589" t="s">
        <v>251</v>
      </c>
      <c r="O667" s="594">
        <v>45432</v>
      </c>
      <c r="P667" s="593">
        <f t="shared" si="45"/>
        <v>-40</v>
      </c>
      <c r="Q667" s="594">
        <v>45472</v>
      </c>
      <c r="R667" s="593">
        <f t="shared" ca="1" si="46"/>
        <v>-31</v>
      </c>
      <c r="S667" s="589" t="str">
        <f>VLOOKUP(Q667,Mapping!L:M,2,0)</f>
        <v>W27_2024</v>
      </c>
      <c r="T667" s="589" t="str">
        <f t="shared" ca="1" si="47"/>
        <v>Not Due</v>
      </c>
      <c r="W667" s="591"/>
    </row>
    <row r="668" spans="1:23" s="589" customFormat="1" x14ac:dyDescent="0.2">
      <c r="A668" s="589" t="s">
        <v>56</v>
      </c>
      <c r="B668" s="589" t="s">
        <v>358</v>
      </c>
      <c r="C668" s="590" t="s">
        <v>1631</v>
      </c>
      <c r="D668" s="589" t="s">
        <v>100</v>
      </c>
      <c r="E668" s="589" t="s">
        <v>104</v>
      </c>
      <c r="F668" s="589" t="s">
        <v>112</v>
      </c>
      <c r="G668" s="589" t="s">
        <v>51</v>
      </c>
      <c r="H668" s="589" t="s">
        <v>242</v>
      </c>
      <c r="I668" s="589" t="s">
        <v>2031</v>
      </c>
      <c r="J668" s="589" t="s">
        <v>35</v>
      </c>
      <c r="K668" s="591">
        <v>2326.2469999999998</v>
      </c>
      <c r="L668" s="592">
        <f>IF(J668="TND",1,IF(J668="EUR",Vertical_Cash_flow!$C$16,IF(J668="USD",Vertical_Cash_flow!$F$16,0)))</f>
        <v>1</v>
      </c>
      <c r="M668" s="593">
        <f t="shared" si="44"/>
        <v>2326.2469999999998</v>
      </c>
      <c r="N668" s="589" t="s">
        <v>251</v>
      </c>
      <c r="O668" s="594">
        <v>45369</v>
      </c>
      <c r="P668" s="593">
        <f t="shared" si="45"/>
        <v>-104</v>
      </c>
      <c r="Q668" s="594">
        <v>45473</v>
      </c>
      <c r="R668" s="593">
        <f t="shared" ca="1" si="46"/>
        <v>-32</v>
      </c>
      <c r="S668" s="589" t="str">
        <f>VLOOKUP(Q668,Mapping!L:M,2,0)</f>
        <v>W27_2024</v>
      </c>
      <c r="T668" s="589" t="str">
        <f t="shared" ca="1" si="47"/>
        <v>Not Due</v>
      </c>
      <c r="W668" s="591"/>
    </row>
    <row r="669" spans="1:23" s="589" customFormat="1" x14ac:dyDescent="0.2">
      <c r="A669" s="589" t="s">
        <v>56</v>
      </c>
      <c r="B669" s="589" t="s">
        <v>561</v>
      </c>
      <c r="C669" s="590" t="s">
        <v>1635</v>
      </c>
      <c r="D669" s="589" t="s">
        <v>100</v>
      </c>
      <c r="E669" s="589" t="s">
        <v>104</v>
      </c>
      <c r="F669" s="589" t="s">
        <v>112</v>
      </c>
      <c r="G669" s="589" t="s">
        <v>51</v>
      </c>
      <c r="H669" s="589" t="s">
        <v>242</v>
      </c>
      <c r="I669" s="589" t="s">
        <v>1458</v>
      </c>
      <c r="J669" s="589" t="s">
        <v>35</v>
      </c>
      <c r="K669" s="591">
        <v>1371.1669999999999</v>
      </c>
      <c r="L669" s="592">
        <f>IF(J669="TND",1,IF(J669="EUR",Vertical_Cash_flow!$C$16,IF(J669="USD",Vertical_Cash_flow!$F$16,0)))</f>
        <v>1</v>
      </c>
      <c r="M669" s="593">
        <f t="shared" si="44"/>
        <v>1371.1669999999999</v>
      </c>
      <c r="N669" s="589" t="s">
        <v>251</v>
      </c>
      <c r="O669" s="594">
        <v>45369</v>
      </c>
      <c r="P669" s="593">
        <f t="shared" si="45"/>
        <v>-104</v>
      </c>
      <c r="Q669" s="594">
        <v>45473</v>
      </c>
      <c r="R669" s="593">
        <f t="shared" ca="1" si="46"/>
        <v>-32</v>
      </c>
      <c r="S669" s="589" t="str">
        <f>VLOOKUP(Q669,Mapping!L:M,2,0)</f>
        <v>W27_2024</v>
      </c>
      <c r="T669" s="589" t="str">
        <f t="shared" ca="1" si="47"/>
        <v>Not Due</v>
      </c>
      <c r="W669" s="591"/>
    </row>
    <row r="670" spans="1:23" s="589" customFormat="1" x14ac:dyDescent="0.2">
      <c r="A670" s="589" t="s">
        <v>56</v>
      </c>
      <c r="B670" s="589" t="s">
        <v>570</v>
      </c>
      <c r="C670" s="590" t="s">
        <v>1636</v>
      </c>
      <c r="D670" s="589" t="s">
        <v>100</v>
      </c>
      <c r="E670" s="589" t="s">
        <v>104</v>
      </c>
      <c r="F670" s="589" t="s">
        <v>112</v>
      </c>
      <c r="G670" s="589" t="s">
        <v>51</v>
      </c>
      <c r="H670" s="589" t="s">
        <v>242</v>
      </c>
      <c r="I670" s="589" t="s">
        <v>2034</v>
      </c>
      <c r="J670" s="589" t="s">
        <v>35</v>
      </c>
      <c r="K670" s="591">
        <v>28632.269</v>
      </c>
      <c r="L670" s="592">
        <f>IF(J670="TND",1,IF(J670="EUR",Vertical_Cash_flow!$C$16,IF(J670="USD",Vertical_Cash_flow!$F$16,0)))</f>
        <v>1</v>
      </c>
      <c r="M670" s="593">
        <f t="shared" si="44"/>
        <v>28632.269</v>
      </c>
      <c r="N670" s="589" t="s">
        <v>251</v>
      </c>
      <c r="O670" s="594">
        <v>45370</v>
      </c>
      <c r="P670" s="593">
        <f t="shared" si="45"/>
        <v>-103</v>
      </c>
      <c r="Q670" s="594">
        <v>45473</v>
      </c>
      <c r="R670" s="593">
        <f t="shared" ca="1" si="46"/>
        <v>-32</v>
      </c>
      <c r="S670" s="589" t="str">
        <f>VLOOKUP(Q670,Mapping!L:M,2,0)</f>
        <v>W27_2024</v>
      </c>
      <c r="T670" s="589" t="str">
        <f t="shared" ca="1" si="47"/>
        <v>Not Due</v>
      </c>
      <c r="W670" s="591"/>
    </row>
    <row r="671" spans="1:23" s="589" customFormat="1" x14ac:dyDescent="0.2">
      <c r="A671" s="589" t="s">
        <v>56</v>
      </c>
      <c r="B671" s="589" t="s">
        <v>809</v>
      </c>
      <c r="C671" s="590" t="s">
        <v>1637</v>
      </c>
      <c r="D671" s="589" t="s">
        <v>100</v>
      </c>
      <c r="E671" s="589" t="s">
        <v>104</v>
      </c>
      <c r="F671" s="589" t="s">
        <v>112</v>
      </c>
      <c r="G671" s="589" t="s">
        <v>51</v>
      </c>
      <c r="H671" s="589" t="s">
        <v>242</v>
      </c>
      <c r="I671" s="589" t="s">
        <v>811</v>
      </c>
      <c r="J671" s="589" t="s">
        <v>35</v>
      </c>
      <c r="K671" s="591">
        <v>3500</v>
      </c>
      <c r="L671" s="592">
        <f>IF(J671="TND",1,IF(J671="EUR",Vertical_Cash_flow!$C$16,IF(J671="USD",Vertical_Cash_flow!$F$16,0)))</f>
        <v>1</v>
      </c>
      <c r="M671" s="593">
        <f t="shared" si="44"/>
        <v>3500</v>
      </c>
      <c r="N671" s="589" t="s">
        <v>251</v>
      </c>
      <c r="O671" s="594">
        <v>45370</v>
      </c>
      <c r="P671" s="593">
        <f t="shared" si="45"/>
        <v>-103</v>
      </c>
      <c r="Q671" s="594">
        <v>45473</v>
      </c>
      <c r="R671" s="593">
        <f t="shared" ca="1" si="46"/>
        <v>-32</v>
      </c>
      <c r="S671" s="589" t="str">
        <f>VLOOKUP(Q671,Mapping!L:M,2,0)</f>
        <v>W27_2024</v>
      </c>
      <c r="T671" s="589" t="str">
        <f t="shared" ca="1" si="47"/>
        <v>Not Due</v>
      </c>
      <c r="W671" s="591"/>
    </row>
    <row r="672" spans="1:23" s="589" customFormat="1" x14ac:dyDescent="0.2">
      <c r="A672" s="589" t="s">
        <v>56</v>
      </c>
      <c r="B672" s="589" t="s">
        <v>872</v>
      </c>
      <c r="C672" s="590" t="s">
        <v>2525</v>
      </c>
      <c r="D672" s="589" t="s">
        <v>100</v>
      </c>
      <c r="E672" s="589" t="s">
        <v>104</v>
      </c>
      <c r="F672" s="589" t="s">
        <v>112</v>
      </c>
      <c r="G672" s="589" t="s">
        <v>51</v>
      </c>
      <c r="H672" s="589" t="s">
        <v>242</v>
      </c>
      <c r="I672" s="589" t="s">
        <v>2794</v>
      </c>
      <c r="J672" s="589" t="s">
        <v>35</v>
      </c>
      <c r="K672" s="591">
        <v>1400</v>
      </c>
      <c r="L672" s="592">
        <f>IF(J672="TND",1,IF(J672="EUR",Vertical_Cash_flow!$C$16,IF(J672="USD",Vertical_Cash_flow!$F$16,0)))</f>
        <v>1</v>
      </c>
      <c r="M672" s="593">
        <f t="shared" si="44"/>
        <v>1400</v>
      </c>
      <c r="N672" s="589" t="s">
        <v>251</v>
      </c>
      <c r="O672" s="594">
        <v>45387</v>
      </c>
      <c r="P672" s="593">
        <f t="shared" si="45"/>
        <v>-86</v>
      </c>
      <c r="Q672" s="594">
        <v>45473</v>
      </c>
      <c r="R672" s="593">
        <f t="shared" ca="1" si="46"/>
        <v>-32</v>
      </c>
      <c r="S672" s="589" t="str">
        <f>VLOOKUP(Q672,Mapping!L:M,2,0)</f>
        <v>W27_2024</v>
      </c>
      <c r="T672" s="589" t="str">
        <f t="shared" ca="1" si="47"/>
        <v>Not Due</v>
      </c>
      <c r="W672" s="591"/>
    </row>
    <row r="673" spans="1:23" s="589" customFormat="1" x14ac:dyDescent="0.2">
      <c r="A673" s="589" t="s">
        <v>56</v>
      </c>
      <c r="B673" s="589" t="s">
        <v>293</v>
      </c>
      <c r="C673" s="590" t="s">
        <v>2524</v>
      </c>
      <c r="D673" s="589" t="s">
        <v>100</v>
      </c>
      <c r="E673" s="589" t="s">
        <v>104</v>
      </c>
      <c r="F673" s="589" t="s">
        <v>112</v>
      </c>
      <c r="G673" s="589" t="s">
        <v>51</v>
      </c>
      <c r="H673" s="589" t="s">
        <v>242</v>
      </c>
      <c r="I673" s="589" t="s">
        <v>2845</v>
      </c>
      <c r="J673" s="589" t="s">
        <v>35</v>
      </c>
      <c r="K673" s="591">
        <v>50000</v>
      </c>
      <c r="L673" s="592">
        <f>IF(J673="TND",1,IF(J673="EUR",Vertical_Cash_flow!$C$16,IF(J673="USD",Vertical_Cash_flow!$F$16,0)))</f>
        <v>1</v>
      </c>
      <c r="M673" s="593">
        <f t="shared" si="44"/>
        <v>50000</v>
      </c>
      <c r="N673" s="589" t="s">
        <v>251</v>
      </c>
      <c r="O673" s="594">
        <v>45398</v>
      </c>
      <c r="P673" s="593">
        <f t="shared" si="45"/>
        <v>-75</v>
      </c>
      <c r="Q673" s="594">
        <v>45473</v>
      </c>
      <c r="R673" s="593">
        <f t="shared" ca="1" si="46"/>
        <v>-32</v>
      </c>
      <c r="S673" s="589" t="str">
        <f>VLOOKUP(Q673,Mapping!L:M,2,0)</f>
        <v>W27_2024</v>
      </c>
      <c r="T673" s="589" t="str">
        <f t="shared" ca="1" si="47"/>
        <v>Not Due</v>
      </c>
      <c r="W673" s="591"/>
    </row>
    <row r="674" spans="1:23" s="589" customFormat="1" x14ac:dyDescent="0.2">
      <c r="A674" s="589" t="s">
        <v>56</v>
      </c>
      <c r="B674" s="589" t="s">
        <v>360</v>
      </c>
      <c r="C674" s="590" t="s">
        <v>2526</v>
      </c>
      <c r="D674" s="589" t="s">
        <v>100</v>
      </c>
      <c r="E674" s="589" t="s">
        <v>104</v>
      </c>
      <c r="F674" s="589" t="s">
        <v>112</v>
      </c>
      <c r="G674" s="589" t="s">
        <v>51</v>
      </c>
      <c r="H674" s="589" t="s">
        <v>242</v>
      </c>
      <c r="I674" s="589" t="s">
        <v>2846</v>
      </c>
      <c r="J674" s="589" t="s">
        <v>35</v>
      </c>
      <c r="K674" s="591">
        <v>3200.0259999999998</v>
      </c>
      <c r="L674" s="592">
        <f>IF(J674="TND",1,IF(J674="EUR",Vertical_Cash_flow!$C$16,IF(J674="USD",Vertical_Cash_flow!$F$16,0)))</f>
        <v>1</v>
      </c>
      <c r="M674" s="593">
        <f t="shared" si="44"/>
        <v>3200.0259999999998</v>
      </c>
      <c r="N674" s="589" t="s">
        <v>251</v>
      </c>
      <c r="O674" s="594">
        <v>45387</v>
      </c>
      <c r="P674" s="593">
        <f t="shared" si="45"/>
        <v>-86</v>
      </c>
      <c r="Q674" s="594">
        <v>45473</v>
      </c>
      <c r="R674" s="593">
        <f t="shared" ca="1" si="46"/>
        <v>-32</v>
      </c>
      <c r="S674" s="589" t="str">
        <f>VLOOKUP(Q674,Mapping!L:M,2,0)</f>
        <v>W27_2024</v>
      </c>
      <c r="T674" s="589" t="str">
        <f t="shared" ca="1" si="47"/>
        <v>Not Due</v>
      </c>
      <c r="W674" s="591"/>
    </row>
    <row r="675" spans="1:23" s="589" customFormat="1" x14ac:dyDescent="0.2">
      <c r="A675" s="589" t="s">
        <v>56</v>
      </c>
      <c r="B675" s="589" t="s">
        <v>299</v>
      </c>
      <c r="C675" s="590" t="s">
        <v>1638</v>
      </c>
      <c r="D675" s="589" t="s">
        <v>100</v>
      </c>
      <c r="E675" s="589" t="s">
        <v>104</v>
      </c>
      <c r="F675" s="589" t="s">
        <v>112</v>
      </c>
      <c r="G675" s="589" t="s">
        <v>51</v>
      </c>
      <c r="H675" s="589" t="s">
        <v>242</v>
      </c>
      <c r="I675" s="589" t="s">
        <v>2035</v>
      </c>
      <c r="J675" s="589" t="s">
        <v>35</v>
      </c>
      <c r="K675" s="591">
        <v>1023.926</v>
      </c>
      <c r="L675" s="592">
        <f>IF(J675="TND",1,IF(J675="EUR",Vertical_Cash_flow!$C$16,IF(J675="USD",Vertical_Cash_flow!$F$16,0)))</f>
        <v>1</v>
      </c>
      <c r="M675" s="593">
        <f t="shared" si="44"/>
        <v>1023.926</v>
      </c>
      <c r="N675" s="589" t="s">
        <v>251</v>
      </c>
      <c r="O675" s="594">
        <v>45380</v>
      </c>
      <c r="P675" s="593">
        <f t="shared" si="45"/>
        <v>-93</v>
      </c>
      <c r="Q675" s="594">
        <v>45473</v>
      </c>
      <c r="R675" s="593">
        <f t="shared" ca="1" si="46"/>
        <v>-32</v>
      </c>
      <c r="S675" s="589" t="str">
        <f>VLOOKUP(Q675,Mapping!L:M,2,0)</f>
        <v>W27_2024</v>
      </c>
      <c r="T675" s="589" t="str">
        <f t="shared" ca="1" si="47"/>
        <v>Not Due</v>
      </c>
      <c r="W675" s="591"/>
    </row>
    <row r="676" spans="1:23" s="589" customFormat="1" x14ac:dyDescent="0.2">
      <c r="A676" s="589" t="s">
        <v>56</v>
      </c>
      <c r="B676" s="589" t="s">
        <v>760</v>
      </c>
      <c r="C676" s="590" t="s">
        <v>1640</v>
      </c>
      <c r="D676" s="589" t="s">
        <v>100</v>
      </c>
      <c r="E676" s="589" t="s">
        <v>104</v>
      </c>
      <c r="F676" s="589" t="s">
        <v>112</v>
      </c>
      <c r="G676" s="589" t="s">
        <v>51</v>
      </c>
      <c r="H676" s="589" t="s">
        <v>242</v>
      </c>
      <c r="I676" s="589" t="s">
        <v>1004</v>
      </c>
      <c r="J676" s="589" t="s">
        <v>35</v>
      </c>
      <c r="K676" s="591">
        <v>3500</v>
      </c>
      <c r="L676" s="592">
        <f>IF(J676="TND",1,IF(J676="EUR",Vertical_Cash_flow!$C$16,IF(J676="USD",Vertical_Cash_flow!$F$16,0)))</f>
        <v>1</v>
      </c>
      <c r="M676" s="593">
        <f t="shared" si="44"/>
        <v>3500</v>
      </c>
      <c r="N676" s="589" t="s">
        <v>251</v>
      </c>
      <c r="O676" s="594">
        <v>45365</v>
      </c>
      <c r="P676" s="593">
        <f t="shared" si="45"/>
        <v>-108</v>
      </c>
      <c r="Q676" s="594">
        <v>45473</v>
      </c>
      <c r="R676" s="593">
        <f t="shared" ca="1" si="46"/>
        <v>-32</v>
      </c>
      <c r="S676" s="589" t="str">
        <f>VLOOKUP(Q676,Mapping!L:M,2,0)</f>
        <v>W27_2024</v>
      </c>
      <c r="T676" s="589" t="str">
        <f t="shared" ca="1" si="47"/>
        <v>Not Due</v>
      </c>
      <c r="W676" s="591"/>
    </row>
    <row r="677" spans="1:23" s="589" customFormat="1" x14ac:dyDescent="0.2">
      <c r="A677" s="589" t="s">
        <v>56</v>
      </c>
      <c r="B677" s="589" t="s">
        <v>1479</v>
      </c>
      <c r="C677" s="590" t="s">
        <v>3181</v>
      </c>
      <c r="D677" s="589" t="s">
        <v>100</v>
      </c>
      <c r="E677" s="589" t="s">
        <v>104</v>
      </c>
      <c r="F677" s="589" t="s">
        <v>112</v>
      </c>
      <c r="G677" s="589" t="s">
        <v>51</v>
      </c>
      <c r="H677" s="589" t="s">
        <v>242</v>
      </c>
      <c r="I677" s="589" t="s">
        <v>2222</v>
      </c>
      <c r="J677" s="589" t="s">
        <v>35</v>
      </c>
      <c r="K677" s="591">
        <v>3000</v>
      </c>
      <c r="L677" s="592">
        <f>IF(J677="TND",1,IF(J677="EUR",Vertical_Cash_flow!$C$16,IF(J677="USD",Vertical_Cash_flow!$F$16,0)))</f>
        <v>1</v>
      </c>
      <c r="M677" s="593">
        <f t="shared" si="44"/>
        <v>3000</v>
      </c>
      <c r="N677" s="589" t="s">
        <v>251</v>
      </c>
      <c r="O677" s="594">
        <v>45412</v>
      </c>
      <c r="P677" s="593">
        <f t="shared" si="45"/>
        <v>-61</v>
      </c>
      <c r="Q677" s="594">
        <v>45473</v>
      </c>
      <c r="R677" s="593">
        <f t="shared" ca="1" si="46"/>
        <v>-32</v>
      </c>
      <c r="S677" s="589" t="str">
        <f>VLOOKUP(Q677,Mapping!L:M,2,0)</f>
        <v>W27_2024</v>
      </c>
      <c r="T677" s="589" t="str">
        <f t="shared" ca="1" si="47"/>
        <v>Not Due</v>
      </c>
      <c r="W677" s="591"/>
    </row>
    <row r="678" spans="1:23" s="589" customFormat="1" x14ac:dyDescent="0.2">
      <c r="A678" s="589" t="s">
        <v>56</v>
      </c>
      <c r="B678" s="589" t="s">
        <v>3010</v>
      </c>
      <c r="C678" s="590" t="s">
        <v>3180</v>
      </c>
      <c r="D678" s="589" t="s">
        <v>100</v>
      </c>
      <c r="E678" s="589" t="s">
        <v>104</v>
      </c>
      <c r="F678" s="589" t="s">
        <v>112</v>
      </c>
      <c r="G678" s="589" t="s">
        <v>51</v>
      </c>
      <c r="H678" s="589" t="s">
        <v>242</v>
      </c>
      <c r="I678" s="589" t="s">
        <v>3362</v>
      </c>
      <c r="J678" s="589" t="s">
        <v>35</v>
      </c>
      <c r="K678" s="591">
        <v>450.87400000000002</v>
      </c>
      <c r="L678" s="592">
        <f>IF(J678="TND",1,IF(J678="EUR",Vertical_Cash_flow!$C$16,IF(J678="USD",Vertical_Cash_flow!$F$16,0)))</f>
        <v>1</v>
      </c>
      <c r="M678" s="593">
        <f t="shared" si="44"/>
        <v>450.87400000000002</v>
      </c>
      <c r="N678" s="589" t="s">
        <v>251</v>
      </c>
      <c r="O678" s="594">
        <v>45420</v>
      </c>
      <c r="P678" s="593">
        <f t="shared" si="45"/>
        <v>-53</v>
      </c>
      <c r="Q678" s="594">
        <v>45473</v>
      </c>
      <c r="R678" s="593">
        <f t="shared" ca="1" si="46"/>
        <v>-32</v>
      </c>
      <c r="S678" s="589" t="str">
        <f>VLOOKUP(Q678,Mapping!L:M,2,0)</f>
        <v>W27_2024</v>
      </c>
      <c r="T678" s="589" t="str">
        <f t="shared" ca="1" si="47"/>
        <v>Not Due</v>
      </c>
      <c r="W678" s="591"/>
    </row>
    <row r="679" spans="1:23" s="589" customFormat="1" x14ac:dyDescent="0.2">
      <c r="A679" s="589" t="s">
        <v>56</v>
      </c>
      <c r="B679" s="589" t="s">
        <v>306</v>
      </c>
      <c r="C679" s="590" t="s">
        <v>3179</v>
      </c>
      <c r="D679" s="589" t="s">
        <v>100</v>
      </c>
      <c r="E679" s="589" t="s">
        <v>104</v>
      </c>
      <c r="F679" s="589" t="s">
        <v>112</v>
      </c>
      <c r="G679" s="589" t="s">
        <v>51</v>
      </c>
      <c r="H679" s="589" t="s">
        <v>242</v>
      </c>
      <c r="I679" s="589" t="s">
        <v>3361</v>
      </c>
      <c r="J679" s="589" t="s">
        <v>35</v>
      </c>
      <c r="K679" s="591">
        <v>925.01700000000005</v>
      </c>
      <c r="L679" s="592">
        <f>IF(J679="TND",1,IF(J679="EUR",Vertical_Cash_flow!$C$16,IF(J679="USD",Vertical_Cash_flow!$F$16,0)))</f>
        <v>1</v>
      </c>
      <c r="M679" s="593">
        <f t="shared" si="44"/>
        <v>925.01700000000005</v>
      </c>
      <c r="N679" s="589" t="s">
        <v>251</v>
      </c>
      <c r="O679" s="594">
        <v>45420</v>
      </c>
      <c r="P679" s="593">
        <f t="shared" si="45"/>
        <v>-53</v>
      </c>
      <c r="Q679" s="594">
        <v>45473</v>
      </c>
      <c r="R679" s="593">
        <f t="shared" ca="1" si="46"/>
        <v>-32</v>
      </c>
      <c r="S679" s="589" t="str">
        <f>VLOOKUP(Q679,Mapping!L:M,2,0)</f>
        <v>W27_2024</v>
      </c>
      <c r="T679" s="589" t="str">
        <f t="shared" ca="1" si="47"/>
        <v>Not Due</v>
      </c>
      <c r="W679" s="591"/>
    </row>
    <row r="680" spans="1:23" s="589" customFormat="1" x14ac:dyDescent="0.2">
      <c r="A680" s="589" t="s">
        <v>56</v>
      </c>
      <c r="B680" s="589" t="s">
        <v>295</v>
      </c>
      <c r="C680" s="590" t="s">
        <v>1625</v>
      </c>
      <c r="D680" s="589" t="s">
        <v>100</v>
      </c>
      <c r="E680" s="589" t="s">
        <v>104</v>
      </c>
      <c r="F680" s="589" t="s">
        <v>112</v>
      </c>
      <c r="G680" s="589" t="s">
        <v>51</v>
      </c>
      <c r="H680" s="589" t="s">
        <v>242</v>
      </c>
      <c r="I680" s="589" t="s">
        <v>2027</v>
      </c>
      <c r="J680" s="589" t="s">
        <v>35</v>
      </c>
      <c r="K680" s="591">
        <v>1500</v>
      </c>
      <c r="L680" s="592">
        <f>IF(J680="TND",1,IF(J680="EUR",Vertical_Cash_flow!$C$16,IF(J680="USD",Vertical_Cash_flow!$F$16,0)))</f>
        <v>1</v>
      </c>
      <c r="M680" s="593">
        <f t="shared" si="44"/>
        <v>1500</v>
      </c>
      <c r="N680" s="589" t="s">
        <v>251</v>
      </c>
      <c r="O680" s="594">
        <v>45373</v>
      </c>
      <c r="P680" s="593">
        <f t="shared" si="45"/>
        <v>-100</v>
      </c>
      <c r="Q680" s="594">
        <v>45473</v>
      </c>
      <c r="R680" s="593">
        <f t="shared" ca="1" si="46"/>
        <v>-32</v>
      </c>
      <c r="S680" s="589" t="str">
        <f>VLOOKUP(Q680,Mapping!L:M,2,0)</f>
        <v>W27_2024</v>
      </c>
      <c r="T680" s="589" t="str">
        <f t="shared" ca="1" si="47"/>
        <v>Not Due</v>
      </c>
      <c r="W680" s="591"/>
    </row>
    <row r="681" spans="1:23" s="589" customFormat="1" x14ac:dyDescent="0.2">
      <c r="A681" s="589" t="s">
        <v>56</v>
      </c>
      <c r="B681" s="589" t="s">
        <v>595</v>
      </c>
      <c r="C681" s="590" t="s">
        <v>2521</v>
      </c>
      <c r="D681" s="589" t="s">
        <v>100</v>
      </c>
      <c r="E681" s="589" t="s">
        <v>104</v>
      </c>
      <c r="F681" s="589" t="s">
        <v>112</v>
      </c>
      <c r="G681" s="589" t="s">
        <v>51</v>
      </c>
      <c r="H681" s="589" t="s">
        <v>242</v>
      </c>
      <c r="I681" s="589" t="s">
        <v>2843</v>
      </c>
      <c r="J681" s="589" t="s">
        <v>35</v>
      </c>
      <c r="K681" s="591">
        <v>7271.451</v>
      </c>
      <c r="L681" s="592">
        <f>IF(J681="TND",1,IF(J681="EUR",Vertical_Cash_flow!$C$16,IF(J681="USD",Vertical_Cash_flow!$F$16,0)))</f>
        <v>1</v>
      </c>
      <c r="M681" s="593">
        <f t="shared" si="44"/>
        <v>7271.451</v>
      </c>
      <c r="N681" s="589" t="s">
        <v>251</v>
      </c>
      <c r="O681" s="594">
        <v>45400</v>
      </c>
      <c r="P681" s="593">
        <f t="shared" si="45"/>
        <v>-73</v>
      </c>
      <c r="Q681" s="594">
        <v>45473</v>
      </c>
      <c r="R681" s="593">
        <f t="shared" ca="1" si="46"/>
        <v>-32</v>
      </c>
      <c r="S681" s="589" t="str">
        <f>VLOOKUP(Q681,Mapping!L:M,2,0)</f>
        <v>W27_2024</v>
      </c>
      <c r="T681" s="589" t="str">
        <f t="shared" ca="1" si="47"/>
        <v>Not Due</v>
      </c>
      <c r="W681" s="591"/>
    </row>
    <row r="682" spans="1:23" s="589" customFormat="1" x14ac:dyDescent="0.2">
      <c r="A682" s="589" t="s">
        <v>56</v>
      </c>
      <c r="B682" s="589" t="s">
        <v>514</v>
      </c>
      <c r="C682" s="590" t="s">
        <v>3542</v>
      </c>
      <c r="D682" s="589" t="s">
        <v>100</v>
      </c>
      <c r="E682" s="589" t="s">
        <v>104</v>
      </c>
      <c r="F682" s="589" t="s">
        <v>112</v>
      </c>
      <c r="G682" s="589" t="s">
        <v>51</v>
      </c>
      <c r="H682" s="589" t="s">
        <v>242</v>
      </c>
      <c r="I682" s="589" t="s">
        <v>3691</v>
      </c>
      <c r="J682" s="589" t="s">
        <v>35</v>
      </c>
      <c r="K682" s="591">
        <v>1041.547</v>
      </c>
      <c r="L682" s="592">
        <f>IF(J682="TND",1,IF(J682="EUR",Vertical_Cash_flow!$C$16,IF(J682="USD",Vertical_Cash_flow!$F$16,0)))</f>
        <v>1</v>
      </c>
      <c r="M682" s="593">
        <f t="shared" si="44"/>
        <v>1041.547</v>
      </c>
      <c r="N682" s="589" t="s">
        <v>251</v>
      </c>
      <c r="O682" s="594">
        <v>45426</v>
      </c>
      <c r="P682" s="593">
        <f t="shared" si="45"/>
        <v>-47</v>
      </c>
      <c r="Q682" s="594">
        <v>45473</v>
      </c>
      <c r="R682" s="593">
        <f t="shared" ca="1" si="46"/>
        <v>-32</v>
      </c>
      <c r="S682" s="589" t="str">
        <f>VLOOKUP(Q682,Mapping!L:M,2,0)</f>
        <v>W27_2024</v>
      </c>
      <c r="T682" s="589" t="str">
        <f t="shared" ca="1" si="47"/>
        <v>Not Due</v>
      </c>
      <c r="W682" s="591"/>
    </row>
    <row r="683" spans="1:23" s="589" customFormat="1" x14ac:dyDescent="0.2">
      <c r="A683" s="589" t="s">
        <v>56</v>
      </c>
      <c r="B683" s="589" t="s">
        <v>313</v>
      </c>
      <c r="C683" s="590" t="s">
        <v>2512</v>
      </c>
      <c r="D683" s="589" t="s">
        <v>100</v>
      </c>
      <c r="E683" s="589" t="s">
        <v>104</v>
      </c>
      <c r="F683" s="589" t="s">
        <v>112</v>
      </c>
      <c r="G683" s="589" t="s">
        <v>51</v>
      </c>
      <c r="H683" s="589" t="s">
        <v>242</v>
      </c>
      <c r="I683" s="589" t="s">
        <v>2834</v>
      </c>
      <c r="J683" s="589" t="s">
        <v>35</v>
      </c>
      <c r="K683" s="591">
        <v>1783.9269999999999</v>
      </c>
      <c r="L683" s="592">
        <f>IF(J683="TND",1,IF(J683="EUR",Vertical_Cash_flow!$C$16,IF(J683="USD",Vertical_Cash_flow!$F$16,0)))</f>
        <v>1</v>
      </c>
      <c r="M683" s="593">
        <f t="shared" si="44"/>
        <v>1783.9269999999999</v>
      </c>
      <c r="N683" s="589" t="s">
        <v>251</v>
      </c>
      <c r="O683" s="594">
        <v>45405</v>
      </c>
      <c r="P683" s="593">
        <f t="shared" si="45"/>
        <v>-68</v>
      </c>
      <c r="Q683" s="594">
        <v>45473</v>
      </c>
      <c r="R683" s="593">
        <f t="shared" ca="1" si="46"/>
        <v>-32</v>
      </c>
      <c r="S683" s="589" t="str">
        <f>VLOOKUP(Q683,Mapping!L:M,2,0)</f>
        <v>W27_2024</v>
      </c>
      <c r="T683" s="589" t="str">
        <f t="shared" ca="1" si="47"/>
        <v>Not Due</v>
      </c>
      <c r="W683" s="591"/>
    </row>
    <row r="684" spans="1:23" s="589" customFormat="1" x14ac:dyDescent="0.2">
      <c r="A684" s="589" t="s">
        <v>56</v>
      </c>
      <c r="B684" s="589" t="s">
        <v>765</v>
      </c>
      <c r="C684" s="590" t="s">
        <v>1644</v>
      </c>
      <c r="D684" s="589" t="s">
        <v>100</v>
      </c>
      <c r="E684" s="589" t="s">
        <v>104</v>
      </c>
      <c r="F684" s="589" t="s">
        <v>112</v>
      </c>
      <c r="G684" s="589" t="s">
        <v>51</v>
      </c>
      <c r="H684" s="589" t="s">
        <v>242</v>
      </c>
      <c r="I684" s="589" t="s">
        <v>2040</v>
      </c>
      <c r="J684" s="589" t="s">
        <v>35</v>
      </c>
      <c r="K684" s="591">
        <v>2315.0149999999999</v>
      </c>
      <c r="L684" s="592">
        <f>IF(J684="TND",1,IF(J684="EUR",Vertical_Cash_flow!$C$16,IF(J684="USD",Vertical_Cash_flow!$F$16,0)))</f>
        <v>1</v>
      </c>
      <c r="M684" s="593">
        <f t="shared" si="44"/>
        <v>2315.0149999999999</v>
      </c>
      <c r="N684" s="589" t="s">
        <v>251</v>
      </c>
      <c r="O684" s="594">
        <v>45380</v>
      </c>
      <c r="P684" s="593">
        <f t="shared" si="45"/>
        <v>-93</v>
      </c>
      <c r="Q684" s="594">
        <v>45473</v>
      </c>
      <c r="R684" s="593">
        <f t="shared" ca="1" si="46"/>
        <v>-32</v>
      </c>
      <c r="S684" s="589" t="str">
        <f>VLOOKUP(Q684,Mapping!L:M,2,0)</f>
        <v>W27_2024</v>
      </c>
      <c r="T684" s="589" t="str">
        <f t="shared" ca="1" si="47"/>
        <v>Not Due</v>
      </c>
      <c r="W684" s="591"/>
    </row>
    <row r="685" spans="1:23" s="589" customFormat="1" x14ac:dyDescent="0.2">
      <c r="A685" s="589" t="s">
        <v>56</v>
      </c>
      <c r="B685" s="589" t="s">
        <v>638</v>
      </c>
      <c r="C685" s="590" t="s">
        <v>3184</v>
      </c>
      <c r="D685" s="589" t="s">
        <v>100</v>
      </c>
      <c r="E685" s="589" t="s">
        <v>104</v>
      </c>
      <c r="F685" s="589" t="s">
        <v>112</v>
      </c>
      <c r="G685" s="589" t="s">
        <v>51</v>
      </c>
      <c r="H685" s="589" t="s">
        <v>242</v>
      </c>
      <c r="I685" s="589" t="s">
        <v>3363</v>
      </c>
      <c r="J685" s="589" t="s">
        <v>35</v>
      </c>
      <c r="K685" s="591">
        <v>2410</v>
      </c>
      <c r="L685" s="592">
        <f>IF(J685="TND",1,IF(J685="EUR",Vertical_Cash_flow!$C$16,IF(J685="USD",Vertical_Cash_flow!$F$16,0)))</f>
        <v>1</v>
      </c>
      <c r="M685" s="593">
        <f t="shared" si="44"/>
        <v>2410</v>
      </c>
      <c r="N685" s="589" t="s">
        <v>251</v>
      </c>
      <c r="O685" s="594">
        <v>45411</v>
      </c>
      <c r="P685" s="593">
        <f t="shared" si="45"/>
        <v>-62</v>
      </c>
      <c r="Q685" s="594">
        <v>45473</v>
      </c>
      <c r="R685" s="593">
        <f t="shared" ca="1" si="46"/>
        <v>-32</v>
      </c>
      <c r="S685" s="589" t="str">
        <f>VLOOKUP(Q685,Mapping!L:M,2,0)</f>
        <v>W27_2024</v>
      </c>
      <c r="T685" s="589" t="str">
        <f t="shared" ca="1" si="47"/>
        <v>Not Due</v>
      </c>
      <c r="W685" s="591"/>
    </row>
    <row r="686" spans="1:23" s="589" customFormat="1" x14ac:dyDescent="0.2">
      <c r="A686" s="589" t="s">
        <v>56</v>
      </c>
      <c r="B686" s="589" t="s">
        <v>302</v>
      </c>
      <c r="C686" s="590" t="s">
        <v>2523</v>
      </c>
      <c r="D686" s="589" t="s">
        <v>100</v>
      </c>
      <c r="E686" s="589" t="s">
        <v>104</v>
      </c>
      <c r="F686" s="589" t="s">
        <v>112</v>
      </c>
      <c r="G686" s="589" t="s">
        <v>51</v>
      </c>
      <c r="H686" s="589" t="s">
        <v>242</v>
      </c>
      <c r="I686" s="589" t="s">
        <v>2844</v>
      </c>
      <c r="J686" s="589" t="s">
        <v>35</v>
      </c>
      <c r="K686" s="591">
        <v>1117.8989999999999</v>
      </c>
      <c r="L686" s="592">
        <f>IF(J686="TND",1,IF(J686="EUR",Vertical_Cash_flow!$C$16,IF(J686="USD",Vertical_Cash_flow!$F$16,0)))</f>
        <v>1</v>
      </c>
      <c r="M686" s="593">
        <f t="shared" si="44"/>
        <v>1117.8989999999999</v>
      </c>
      <c r="N686" s="589" t="s">
        <v>251</v>
      </c>
      <c r="O686" s="594">
        <v>45398</v>
      </c>
      <c r="P686" s="593">
        <f t="shared" si="45"/>
        <v>-75</v>
      </c>
      <c r="Q686" s="594">
        <v>45473</v>
      </c>
      <c r="R686" s="593">
        <f t="shared" ca="1" si="46"/>
        <v>-32</v>
      </c>
      <c r="S686" s="589" t="str">
        <f>VLOOKUP(Q686,Mapping!L:M,2,0)</f>
        <v>W27_2024</v>
      </c>
      <c r="T686" s="589" t="str">
        <f t="shared" ca="1" si="47"/>
        <v>Not Due</v>
      </c>
      <c r="W686" s="591"/>
    </row>
    <row r="687" spans="1:23" s="589" customFormat="1" x14ac:dyDescent="0.2">
      <c r="A687" s="589" t="s">
        <v>56</v>
      </c>
      <c r="B687" s="589" t="s">
        <v>353</v>
      </c>
      <c r="C687" s="590" t="s">
        <v>1274</v>
      </c>
      <c r="D687" s="589" t="s">
        <v>100</v>
      </c>
      <c r="E687" s="589" t="s">
        <v>104</v>
      </c>
      <c r="F687" s="589" t="s">
        <v>112</v>
      </c>
      <c r="G687" s="589" t="s">
        <v>51</v>
      </c>
      <c r="H687" s="589" t="s">
        <v>242</v>
      </c>
      <c r="I687" s="589" t="s">
        <v>1384</v>
      </c>
      <c r="J687" s="589" t="s">
        <v>35</v>
      </c>
      <c r="K687" s="591">
        <v>686.74900000000002</v>
      </c>
      <c r="L687" s="592">
        <f>IF(J687="TND",1,IF(J687="EUR",Vertical_Cash_flow!$C$16,IF(J687="USD",Vertical_Cash_flow!$F$16,0)))</f>
        <v>1</v>
      </c>
      <c r="M687" s="593">
        <f t="shared" si="44"/>
        <v>686.74900000000002</v>
      </c>
      <c r="N687" s="589" t="s">
        <v>251</v>
      </c>
      <c r="O687" s="594">
        <v>45345</v>
      </c>
      <c r="P687" s="593">
        <f t="shared" si="45"/>
        <v>-128</v>
      </c>
      <c r="Q687" s="594">
        <v>45473</v>
      </c>
      <c r="R687" s="593">
        <f t="shared" ca="1" si="46"/>
        <v>-32</v>
      </c>
      <c r="S687" s="589" t="str">
        <f>VLOOKUP(Q687,Mapping!L:M,2,0)</f>
        <v>W27_2024</v>
      </c>
      <c r="T687" s="589" t="str">
        <f t="shared" ca="1" si="47"/>
        <v>Not Due</v>
      </c>
      <c r="W687" s="591"/>
    </row>
    <row r="688" spans="1:23" s="589" customFormat="1" x14ac:dyDescent="0.2">
      <c r="A688" s="589" t="s">
        <v>56</v>
      </c>
      <c r="B688" s="589" t="s">
        <v>581</v>
      </c>
      <c r="C688" s="590" t="s">
        <v>2507</v>
      </c>
      <c r="D688" s="589" t="s">
        <v>100</v>
      </c>
      <c r="E688" s="589" t="s">
        <v>104</v>
      </c>
      <c r="F688" s="589" t="s">
        <v>112</v>
      </c>
      <c r="G688" s="589" t="s">
        <v>51</v>
      </c>
      <c r="H688" s="589" t="s">
        <v>242</v>
      </c>
      <c r="I688" s="589" t="s">
        <v>2829</v>
      </c>
      <c r="J688" s="589" t="s">
        <v>35</v>
      </c>
      <c r="K688" s="591">
        <v>800</v>
      </c>
      <c r="L688" s="592">
        <f>IF(J688="TND",1,IF(J688="EUR",Vertical_Cash_flow!$C$16,IF(J688="USD",Vertical_Cash_flow!$F$16,0)))</f>
        <v>1</v>
      </c>
      <c r="M688" s="593">
        <f t="shared" si="44"/>
        <v>800</v>
      </c>
      <c r="N688" s="589" t="s">
        <v>251</v>
      </c>
      <c r="O688" s="594">
        <v>45408</v>
      </c>
      <c r="P688" s="593">
        <f t="shared" si="45"/>
        <v>-65</v>
      </c>
      <c r="Q688" s="594">
        <v>45473</v>
      </c>
      <c r="R688" s="593">
        <f t="shared" ca="1" si="46"/>
        <v>-32</v>
      </c>
      <c r="S688" s="589" t="str">
        <f>VLOOKUP(Q688,Mapping!L:M,2,0)</f>
        <v>W27_2024</v>
      </c>
      <c r="T688" s="589" t="str">
        <f t="shared" ca="1" si="47"/>
        <v>Not Due</v>
      </c>
      <c r="W688" s="591"/>
    </row>
    <row r="689" spans="1:23" s="589" customFormat="1" x14ac:dyDescent="0.2">
      <c r="A689" s="589" t="s">
        <v>56</v>
      </c>
      <c r="B689" s="589" t="s">
        <v>579</v>
      </c>
      <c r="C689" s="590" t="s">
        <v>3177</v>
      </c>
      <c r="D689" s="589" t="s">
        <v>100</v>
      </c>
      <c r="E689" s="589" t="s">
        <v>104</v>
      </c>
      <c r="F689" s="589" t="s">
        <v>112</v>
      </c>
      <c r="G689" s="589" t="s">
        <v>51</v>
      </c>
      <c r="H689" s="589" t="s">
        <v>242</v>
      </c>
      <c r="I689" s="589" t="s">
        <v>3360</v>
      </c>
      <c r="J689" s="589" t="s">
        <v>35</v>
      </c>
      <c r="K689" s="591">
        <v>3000</v>
      </c>
      <c r="L689" s="592">
        <f>IF(J689="TND",1,IF(J689="EUR",Vertical_Cash_flow!$C$16,IF(J689="USD",Vertical_Cash_flow!$F$16,0)))</f>
        <v>1</v>
      </c>
      <c r="M689" s="593">
        <f t="shared" si="44"/>
        <v>3000</v>
      </c>
      <c r="N689" s="589" t="s">
        <v>251</v>
      </c>
      <c r="O689" s="594">
        <v>45412</v>
      </c>
      <c r="P689" s="593">
        <f t="shared" si="45"/>
        <v>-61</v>
      </c>
      <c r="Q689" s="594">
        <v>45473</v>
      </c>
      <c r="R689" s="593">
        <f t="shared" ca="1" si="46"/>
        <v>-32</v>
      </c>
      <c r="S689" s="589" t="str">
        <f>VLOOKUP(Q689,Mapping!L:M,2,0)</f>
        <v>W27_2024</v>
      </c>
      <c r="T689" s="589" t="str">
        <f t="shared" ca="1" si="47"/>
        <v>Not Due</v>
      </c>
      <c r="W689" s="591"/>
    </row>
    <row r="690" spans="1:23" s="589" customFormat="1" x14ac:dyDescent="0.2">
      <c r="A690" s="589" t="s">
        <v>56</v>
      </c>
      <c r="B690" s="589" t="s">
        <v>310</v>
      </c>
      <c r="C690" s="590" t="s">
        <v>3178</v>
      </c>
      <c r="D690" s="589" t="s">
        <v>100</v>
      </c>
      <c r="E690" s="589" t="s">
        <v>104</v>
      </c>
      <c r="F690" s="589" t="s">
        <v>112</v>
      </c>
      <c r="G690" s="589" t="s">
        <v>51</v>
      </c>
      <c r="H690" s="589" t="s">
        <v>242</v>
      </c>
      <c r="I690" s="589" t="s">
        <v>3344</v>
      </c>
      <c r="J690" s="589" t="s">
        <v>35</v>
      </c>
      <c r="K690" s="591">
        <v>936.33299999999997</v>
      </c>
      <c r="L690" s="592">
        <f>IF(J690="TND",1,IF(J690="EUR",Vertical_Cash_flow!$C$16,IF(J690="USD",Vertical_Cash_flow!$F$16,0)))</f>
        <v>1</v>
      </c>
      <c r="M690" s="593">
        <f t="shared" si="44"/>
        <v>936.33299999999997</v>
      </c>
      <c r="N690" s="589" t="s">
        <v>251</v>
      </c>
      <c r="O690" s="594">
        <v>45412</v>
      </c>
      <c r="P690" s="593">
        <f t="shared" si="45"/>
        <v>-61</v>
      </c>
      <c r="Q690" s="594">
        <v>45473</v>
      </c>
      <c r="R690" s="593">
        <f t="shared" ca="1" si="46"/>
        <v>-32</v>
      </c>
      <c r="S690" s="589" t="str">
        <f>VLOOKUP(Q690,Mapping!L:M,2,0)</f>
        <v>W27_2024</v>
      </c>
      <c r="T690" s="589" t="str">
        <f t="shared" ca="1" si="47"/>
        <v>Not Due</v>
      </c>
      <c r="W690" s="591"/>
    </row>
    <row r="691" spans="1:23" s="589" customFormat="1" x14ac:dyDescent="0.2">
      <c r="A691" s="589" t="s">
        <v>56</v>
      </c>
      <c r="B691" s="589" t="s">
        <v>301</v>
      </c>
      <c r="C691" s="590" t="s">
        <v>1627</v>
      </c>
      <c r="D691" s="589" t="s">
        <v>100</v>
      </c>
      <c r="E691" s="589" t="s">
        <v>104</v>
      </c>
      <c r="F691" s="589" t="s">
        <v>112</v>
      </c>
      <c r="G691" s="589" t="s">
        <v>51</v>
      </c>
      <c r="H691" s="589" t="s">
        <v>242</v>
      </c>
      <c r="I691" s="589" t="s">
        <v>906</v>
      </c>
      <c r="J691" s="589" t="s">
        <v>35</v>
      </c>
      <c r="K691" s="591">
        <v>357.815</v>
      </c>
      <c r="L691" s="592">
        <f>IF(J691="TND",1,IF(J691="EUR",Vertical_Cash_flow!$C$16,IF(J691="USD",Vertical_Cash_flow!$F$16,0)))</f>
        <v>1</v>
      </c>
      <c r="M691" s="593">
        <f t="shared" si="44"/>
        <v>357.815</v>
      </c>
      <c r="N691" s="589" t="s">
        <v>251</v>
      </c>
      <c r="O691" s="594">
        <v>45376</v>
      </c>
      <c r="P691" s="593">
        <f t="shared" si="45"/>
        <v>-97</v>
      </c>
      <c r="Q691" s="594">
        <v>45473</v>
      </c>
      <c r="R691" s="593">
        <f t="shared" ca="1" si="46"/>
        <v>-32</v>
      </c>
      <c r="S691" s="589" t="str">
        <f>VLOOKUP(Q691,Mapping!L:M,2,0)</f>
        <v>W27_2024</v>
      </c>
      <c r="T691" s="589" t="str">
        <f t="shared" ca="1" si="47"/>
        <v>Not Due</v>
      </c>
      <c r="W691" s="591"/>
    </row>
    <row r="692" spans="1:23" s="589" customFormat="1" x14ac:dyDescent="0.2">
      <c r="A692" s="589" t="s">
        <v>56</v>
      </c>
      <c r="B692" s="589" t="s">
        <v>274</v>
      </c>
      <c r="C692" s="590" t="s">
        <v>1272</v>
      </c>
      <c r="D692" s="589" t="s">
        <v>100</v>
      </c>
      <c r="E692" s="589" t="s">
        <v>104</v>
      </c>
      <c r="F692" s="589" t="s">
        <v>112</v>
      </c>
      <c r="G692" s="589" t="s">
        <v>51</v>
      </c>
      <c r="H692" s="589" t="s">
        <v>242</v>
      </c>
      <c r="I692" s="589" t="s">
        <v>1383</v>
      </c>
      <c r="J692" s="589" t="s">
        <v>35</v>
      </c>
      <c r="K692" s="591">
        <v>790</v>
      </c>
      <c r="L692" s="592">
        <f>IF(J692="TND",1,IF(J692="EUR",Vertical_Cash_flow!$C$16,IF(J692="USD",Vertical_Cash_flow!$F$16,0)))</f>
        <v>1</v>
      </c>
      <c r="M692" s="593">
        <f t="shared" si="44"/>
        <v>790</v>
      </c>
      <c r="N692" s="589" t="s">
        <v>251</v>
      </c>
      <c r="O692" s="594">
        <v>45343</v>
      </c>
      <c r="P692" s="593">
        <f t="shared" si="45"/>
        <v>-130</v>
      </c>
      <c r="Q692" s="594">
        <v>45473</v>
      </c>
      <c r="R692" s="593">
        <f t="shared" ca="1" si="46"/>
        <v>-32</v>
      </c>
      <c r="S692" s="589" t="str">
        <f>VLOOKUP(Q692,Mapping!L:M,2,0)</f>
        <v>W27_2024</v>
      </c>
      <c r="T692" s="589" t="str">
        <f t="shared" ca="1" si="47"/>
        <v>Not Due</v>
      </c>
      <c r="W692" s="591"/>
    </row>
    <row r="693" spans="1:23" s="589" customFormat="1" x14ac:dyDescent="0.2">
      <c r="A693" s="589" t="s">
        <v>56</v>
      </c>
      <c r="B693" s="589" t="s">
        <v>359</v>
      </c>
      <c r="C693" s="590" t="s">
        <v>1639</v>
      </c>
      <c r="D693" s="589" t="s">
        <v>100</v>
      </c>
      <c r="E693" s="589" t="s">
        <v>104</v>
      </c>
      <c r="F693" s="589" t="s">
        <v>112</v>
      </c>
      <c r="G693" s="589" t="s">
        <v>51</v>
      </c>
      <c r="H693" s="589" t="s">
        <v>242</v>
      </c>
      <c r="I693" s="589" t="s">
        <v>2036</v>
      </c>
      <c r="J693" s="589" t="s">
        <v>35</v>
      </c>
      <c r="K693" s="591">
        <v>642.51700000000005</v>
      </c>
      <c r="L693" s="592">
        <f>IF(J693="TND",1,IF(J693="EUR",Vertical_Cash_flow!$C$16,IF(J693="USD",Vertical_Cash_flow!$F$16,0)))</f>
        <v>1</v>
      </c>
      <c r="M693" s="593">
        <f t="shared" si="44"/>
        <v>642.51700000000005</v>
      </c>
      <c r="N693" s="589" t="s">
        <v>251</v>
      </c>
      <c r="O693" s="594">
        <v>45376</v>
      </c>
      <c r="P693" s="593">
        <f t="shared" si="45"/>
        <v>-97</v>
      </c>
      <c r="Q693" s="594">
        <v>45473</v>
      </c>
      <c r="R693" s="593">
        <f t="shared" ca="1" si="46"/>
        <v>-32</v>
      </c>
      <c r="S693" s="589" t="str">
        <f>VLOOKUP(Q693,Mapping!L:M,2,0)</f>
        <v>W27_2024</v>
      </c>
      <c r="T693" s="589" t="str">
        <f t="shared" ca="1" si="47"/>
        <v>Not Due</v>
      </c>
      <c r="W693" s="591"/>
    </row>
    <row r="694" spans="1:23" s="589" customFormat="1" x14ac:dyDescent="0.2">
      <c r="A694" s="589" t="s">
        <v>56</v>
      </c>
      <c r="B694" s="589" t="s">
        <v>370</v>
      </c>
      <c r="C694" s="590" t="s">
        <v>1641</v>
      </c>
      <c r="D694" s="589" t="s">
        <v>100</v>
      </c>
      <c r="E694" s="589" t="s">
        <v>104</v>
      </c>
      <c r="F694" s="589" t="s">
        <v>112</v>
      </c>
      <c r="G694" s="589" t="s">
        <v>51</v>
      </c>
      <c r="H694" s="589" t="s">
        <v>242</v>
      </c>
      <c r="I694" s="589" t="s">
        <v>2037</v>
      </c>
      <c r="J694" s="589" t="s">
        <v>35</v>
      </c>
      <c r="K694" s="591">
        <v>1029.2239999999999</v>
      </c>
      <c r="L694" s="592">
        <f>IF(J694="TND",1,IF(J694="EUR",Vertical_Cash_flow!$C$16,IF(J694="USD",Vertical_Cash_flow!$F$16,0)))</f>
        <v>1</v>
      </c>
      <c r="M694" s="593">
        <f t="shared" si="44"/>
        <v>1029.2239999999999</v>
      </c>
      <c r="N694" s="589" t="s">
        <v>251</v>
      </c>
      <c r="O694" s="594">
        <v>45376</v>
      </c>
      <c r="P694" s="593">
        <f t="shared" si="45"/>
        <v>-97</v>
      </c>
      <c r="Q694" s="594">
        <v>45473</v>
      </c>
      <c r="R694" s="593">
        <f t="shared" ca="1" si="46"/>
        <v>-32</v>
      </c>
      <c r="S694" s="589" t="str">
        <f>VLOOKUP(Q694,Mapping!L:M,2,0)</f>
        <v>W27_2024</v>
      </c>
      <c r="T694" s="589" t="str">
        <f t="shared" ca="1" si="47"/>
        <v>Not Due</v>
      </c>
      <c r="W694" s="591"/>
    </row>
    <row r="695" spans="1:23" s="589" customFormat="1" x14ac:dyDescent="0.2">
      <c r="A695" s="589" t="s">
        <v>56</v>
      </c>
      <c r="B695" s="589" t="s">
        <v>860</v>
      </c>
      <c r="C695" s="590" t="s">
        <v>1633</v>
      </c>
      <c r="D695" s="589" t="s">
        <v>100</v>
      </c>
      <c r="E695" s="589" t="s">
        <v>104</v>
      </c>
      <c r="F695" s="589" t="s">
        <v>112</v>
      </c>
      <c r="G695" s="589" t="s">
        <v>51</v>
      </c>
      <c r="H695" s="589" t="s">
        <v>242</v>
      </c>
      <c r="I695" s="589" t="s">
        <v>880</v>
      </c>
      <c r="J695" s="589" t="s">
        <v>35</v>
      </c>
      <c r="K695" s="591">
        <v>5160.8739999999998</v>
      </c>
      <c r="L695" s="592">
        <f>IF(J695="TND",1,IF(J695="EUR",Vertical_Cash_flow!$C$16,IF(J695="USD",Vertical_Cash_flow!$F$16,0)))</f>
        <v>1</v>
      </c>
      <c r="M695" s="593">
        <f t="shared" si="44"/>
        <v>5160.8739999999998</v>
      </c>
      <c r="N695" s="589" t="s">
        <v>251</v>
      </c>
      <c r="O695" s="594">
        <v>45376</v>
      </c>
      <c r="P695" s="593">
        <f t="shared" si="45"/>
        <v>-97</v>
      </c>
      <c r="Q695" s="594">
        <v>45473</v>
      </c>
      <c r="R695" s="593">
        <f t="shared" ca="1" si="46"/>
        <v>-32</v>
      </c>
      <c r="S695" s="589" t="str">
        <f>VLOOKUP(Q695,Mapping!L:M,2,0)</f>
        <v>W27_2024</v>
      </c>
      <c r="T695" s="589" t="str">
        <f t="shared" ca="1" si="47"/>
        <v>Not Due</v>
      </c>
      <c r="W695" s="591"/>
    </row>
    <row r="696" spans="1:23" s="589" customFormat="1" x14ac:dyDescent="0.2">
      <c r="A696" s="589" t="s">
        <v>56</v>
      </c>
      <c r="B696" s="589" t="s">
        <v>297</v>
      </c>
      <c r="C696" s="590" t="s">
        <v>2528</v>
      </c>
      <c r="D696" s="589" t="s">
        <v>100</v>
      </c>
      <c r="E696" s="589" t="s">
        <v>104</v>
      </c>
      <c r="F696" s="589" t="s">
        <v>112</v>
      </c>
      <c r="G696" s="589" t="s">
        <v>51</v>
      </c>
      <c r="H696" s="589" t="s">
        <v>242</v>
      </c>
      <c r="I696" s="589" t="s">
        <v>2847</v>
      </c>
      <c r="J696" s="589" t="s">
        <v>35</v>
      </c>
      <c r="K696" s="591">
        <v>2801.308</v>
      </c>
      <c r="L696" s="592">
        <f>IF(J696="TND",1,IF(J696="EUR",Vertical_Cash_flow!$C$16,IF(J696="USD",Vertical_Cash_flow!$F$16,0)))</f>
        <v>1</v>
      </c>
      <c r="M696" s="593">
        <f t="shared" si="44"/>
        <v>2801.308</v>
      </c>
      <c r="N696" s="589" t="s">
        <v>251</v>
      </c>
      <c r="O696" s="594">
        <v>45385</v>
      </c>
      <c r="P696" s="593">
        <f t="shared" si="45"/>
        <v>-88</v>
      </c>
      <c r="Q696" s="594">
        <v>45473</v>
      </c>
      <c r="R696" s="593">
        <f t="shared" ca="1" si="46"/>
        <v>-32</v>
      </c>
      <c r="S696" s="589" t="str">
        <f>VLOOKUP(Q696,Mapping!L:M,2,0)</f>
        <v>W27_2024</v>
      </c>
      <c r="T696" s="589" t="str">
        <f t="shared" ca="1" si="47"/>
        <v>Not Due</v>
      </c>
      <c r="W696" s="591"/>
    </row>
    <row r="697" spans="1:23" s="589" customFormat="1" x14ac:dyDescent="0.2">
      <c r="A697" s="589" t="s">
        <v>56</v>
      </c>
      <c r="B697" s="589" t="s">
        <v>357</v>
      </c>
      <c r="C697" s="590" t="s">
        <v>1632</v>
      </c>
      <c r="D697" s="589" t="s">
        <v>100</v>
      </c>
      <c r="E697" s="589" t="s">
        <v>104</v>
      </c>
      <c r="F697" s="589" t="s">
        <v>112</v>
      </c>
      <c r="G697" s="589" t="s">
        <v>51</v>
      </c>
      <c r="H697" s="589" t="s">
        <v>242</v>
      </c>
      <c r="I697" s="589" t="s">
        <v>2032</v>
      </c>
      <c r="J697" s="589" t="s">
        <v>35</v>
      </c>
      <c r="K697" s="591">
        <v>1060.4670000000001</v>
      </c>
      <c r="L697" s="592">
        <f>IF(J697="TND",1,IF(J697="EUR",Vertical_Cash_flow!$C$16,IF(J697="USD",Vertical_Cash_flow!$F$16,0)))</f>
        <v>1</v>
      </c>
      <c r="M697" s="593">
        <f t="shared" si="44"/>
        <v>1060.4670000000001</v>
      </c>
      <c r="N697" s="589" t="s">
        <v>251</v>
      </c>
      <c r="O697" s="594">
        <v>45376</v>
      </c>
      <c r="P697" s="593">
        <f t="shared" si="45"/>
        <v>-97</v>
      </c>
      <c r="Q697" s="594">
        <v>45473</v>
      </c>
      <c r="R697" s="593">
        <f t="shared" ca="1" si="46"/>
        <v>-32</v>
      </c>
      <c r="S697" s="589" t="str">
        <f>VLOOKUP(Q697,Mapping!L:M,2,0)</f>
        <v>W27_2024</v>
      </c>
      <c r="T697" s="589" t="str">
        <f t="shared" ca="1" si="47"/>
        <v>Not Due</v>
      </c>
      <c r="W697" s="591"/>
    </row>
    <row r="698" spans="1:23" s="589" customFormat="1" x14ac:dyDescent="0.2">
      <c r="A698" s="589" t="s">
        <v>56</v>
      </c>
      <c r="B698" s="589" t="s">
        <v>366</v>
      </c>
      <c r="C698" s="590" t="s">
        <v>2508</v>
      </c>
      <c r="D698" s="589" t="s">
        <v>100</v>
      </c>
      <c r="E698" s="589" t="s">
        <v>104</v>
      </c>
      <c r="F698" s="589" t="s">
        <v>112</v>
      </c>
      <c r="G698" s="589" t="s">
        <v>51</v>
      </c>
      <c r="H698" s="589" t="s">
        <v>242</v>
      </c>
      <c r="I698" s="589" t="s">
        <v>2830</v>
      </c>
      <c r="J698" s="589" t="s">
        <v>35</v>
      </c>
      <c r="K698" s="591">
        <v>663.77099999999996</v>
      </c>
      <c r="L698" s="592">
        <f>IF(J698="TND",1,IF(J698="EUR",Vertical_Cash_flow!$C$16,IF(J698="USD",Vertical_Cash_flow!$F$16,0)))</f>
        <v>1</v>
      </c>
      <c r="M698" s="593">
        <f t="shared" si="44"/>
        <v>663.77099999999996</v>
      </c>
      <c r="N698" s="589" t="s">
        <v>251</v>
      </c>
      <c r="O698" s="594">
        <v>45408</v>
      </c>
      <c r="P698" s="593">
        <f t="shared" si="45"/>
        <v>-65</v>
      </c>
      <c r="Q698" s="594">
        <v>45473</v>
      </c>
      <c r="R698" s="593">
        <f t="shared" ca="1" si="46"/>
        <v>-32</v>
      </c>
      <c r="S698" s="589" t="str">
        <f>VLOOKUP(Q698,Mapping!L:M,2,0)</f>
        <v>W27_2024</v>
      </c>
      <c r="T698" s="589" t="str">
        <f t="shared" ca="1" si="47"/>
        <v>Not Due</v>
      </c>
      <c r="W698" s="591"/>
    </row>
    <row r="699" spans="1:23" s="589" customFormat="1" x14ac:dyDescent="0.2">
      <c r="A699" s="589" t="s">
        <v>56</v>
      </c>
      <c r="B699" s="589" t="s">
        <v>2332</v>
      </c>
      <c r="C699" s="590" t="s">
        <v>2509</v>
      </c>
      <c r="D699" s="589" t="s">
        <v>100</v>
      </c>
      <c r="E699" s="589" t="s">
        <v>104</v>
      </c>
      <c r="F699" s="589" t="s">
        <v>112</v>
      </c>
      <c r="G699" s="589" t="s">
        <v>51</v>
      </c>
      <c r="H699" s="589" t="s">
        <v>242</v>
      </c>
      <c r="I699" s="589" t="s">
        <v>2831</v>
      </c>
      <c r="J699" s="589" t="s">
        <v>35</v>
      </c>
      <c r="K699" s="591">
        <v>354.59100000000001</v>
      </c>
      <c r="L699" s="592">
        <f>IF(J699="TND",1,IF(J699="EUR",Vertical_Cash_flow!$C$16,IF(J699="USD",Vertical_Cash_flow!$F$16,0)))</f>
        <v>1</v>
      </c>
      <c r="M699" s="593">
        <f t="shared" si="44"/>
        <v>354.59100000000001</v>
      </c>
      <c r="N699" s="589" t="s">
        <v>251</v>
      </c>
      <c r="O699" s="594">
        <v>45408</v>
      </c>
      <c r="P699" s="593">
        <f t="shared" si="45"/>
        <v>-65</v>
      </c>
      <c r="Q699" s="594">
        <v>45473</v>
      </c>
      <c r="R699" s="593">
        <f t="shared" ca="1" si="46"/>
        <v>-32</v>
      </c>
      <c r="S699" s="589" t="str">
        <f>VLOOKUP(Q699,Mapping!L:M,2,0)</f>
        <v>W27_2024</v>
      </c>
      <c r="T699" s="589" t="str">
        <f t="shared" ca="1" si="47"/>
        <v>Not Due</v>
      </c>
      <c r="W699" s="591"/>
    </row>
    <row r="700" spans="1:23" s="589" customFormat="1" x14ac:dyDescent="0.2">
      <c r="A700" s="589" t="s">
        <v>56</v>
      </c>
      <c r="B700" s="589" t="s">
        <v>815</v>
      </c>
      <c r="C700" s="590" t="s">
        <v>2510</v>
      </c>
      <c r="D700" s="589" t="s">
        <v>100</v>
      </c>
      <c r="E700" s="589" t="s">
        <v>104</v>
      </c>
      <c r="F700" s="589" t="s">
        <v>112</v>
      </c>
      <c r="G700" s="589" t="s">
        <v>51</v>
      </c>
      <c r="H700" s="589" t="s">
        <v>242</v>
      </c>
      <c r="I700" s="589" t="s">
        <v>2832</v>
      </c>
      <c r="J700" s="589" t="s">
        <v>35</v>
      </c>
      <c r="K700" s="591">
        <v>1777.2809999999999</v>
      </c>
      <c r="L700" s="592">
        <f>IF(J700="TND",1,IF(J700="EUR",Vertical_Cash_flow!$C$16,IF(J700="USD",Vertical_Cash_flow!$F$16,0)))</f>
        <v>1</v>
      </c>
      <c r="M700" s="593">
        <f t="shared" si="44"/>
        <v>1777.2809999999999</v>
      </c>
      <c r="N700" s="589" t="s">
        <v>251</v>
      </c>
      <c r="O700" s="594">
        <v>45408</v>
      </c>
      <c r="P700" s="593">
        <f t="shared" si="45"/>
        <v>-65</v>
      </c>
      <c r="Q700" s="594">
        <v>45473</v>
      </c>
      <c r="R700" s="593">
        <f t="shared" ca="1" si="46"/>
        <v>-32</v>
      </c>
      <c r="S700" s="589" t="str">
        <f>VLOOKUP(Q700,Mapping!L:M,2,0)</f>
        <v>W27_2024</v>
      </c>
      <c r="T700" s="589" t="str">
        <f t="shared" ca="1" si="47"/>
        <v>Not Due</v>
      </c>
      <c r="W700" s="591"/>
    </row>
    <row r="701" spans="1:23" s="589" customFormat="1" x14ac:dyDescent="0.2">
      <c r="A701" s="589" t="s">
        <v>56</v>
      </c>
      <c r="B701" s="589" t="s">
        <v>361</v>
      </c>
      <c r="C701" s="590" t="s">
        <v>1642</v>
      </c>
      <c r="D701" s="589" t="s">
        <v>100</v>
      </c>
      <c r="E701" s="589" t="s">
        <v>104</v>
      </c>
      <c r="F701" s="589" t="s">
        <v>112</v>
      </c>
      <c r="G701" s="589" t="s">
        <v>51</v>
      </c>
      <c r="H701" s="589" t="s">
        <v>242</v>
      </c>
      <c r="I701" s="589" t="s">
        <v>2038</v>
      </c>
      <c r="J701" s="589" t="s">
        <v>35</v>
      </c>
      <c r="K701" s="591">
        <v>2385</v>
      </c>
      <c r="L701" s="592">
        <f>IF(J701="TND",1,IF(J701="EUR",Vertical_Cash_flow!$C$16,IF(J701="USD",Vertical_Cash_flow!$F$16,0)))</f>
        <v>1</v>
      </c>
      <c r="M701" s="593">
        <f t="shared" si="44"/>
        <v>2385</v>
      </c>
      <c r="N701" s="589" t="s">
        <v>251</v>
      </c>
      <c r="O701" s="594">
        <v>45377</v>
      </c>
      <c r="P701" s="593">
        <f t="shared" si="45"/>
        <v>-96</v>
      </c>
      <c r="Q701" s="594">
        <v>45473</v>
      </c>
      <c r="R701" s="593">
        <f t="shared" ca="1" si="46"/>
        <v>-32</v>
      </c>
      <c r="S701" s="589" t="str">
        <f>VLOOKUP(Q701,Mapping!L:M,2,0)</f>
        <v>W27_2024</v>
      </c>
      <c r="T701" s="589" t="str">
        <f t="shared" ca="1" si="47"/>
        <v>Not Due</v>
      </c>
      <c r="W701" s="591"/>
    </row>
    <row r="702" spans="1:23" s="589" customFormat="1" x14ac:dyDescent="0.2">
      <c r="A702" s="589" t="s">
        <v>56</v>
      </c>
      <c r="B702" s="589" t="s">
        <v>610</v>
      </c>
      <c r="C702" s="590" t="s">
        <v>1626</v>
      </c>
      <c r="D702" s="589" t="s">
        <v>100</v>
      </c>
      <c r="E702" s="589" t="s">
        <v>104</v>
      </c>
      <c r="F702" s="589" t="s">
        <v>112</v>
      </c>
      <c r="G702" s="589" t="s">
        <v>51</v>
      </c>
      <c r="H702" s="589" t="s">
        <v>242</v>
      </c>
      <c r="I702" s="589" t="s">
        <v>644</v>
      </c>
      <c r="J702" s="589" t="s">
        <v>35</v>
      </c>
      <c r="K702" s="591">
        <v>2178.4479999999999</v>
      </c>
      <c r="L702" s="592">
        <f>IF(J702="TND",1,IF(J702="EUR",Vertical_Cash_flow!$C$16,IF(J702="USD",Vertical_Cash_flow!$F$16,0)))</f>
        <v>1</v>
      </c>
      <c r="M702" s="593">
        <f t="shared" si="44"/>
        <v>2178.4479999999999</v>
      </c>
      <c r="N702" s="589" t="s">
        <v>251</v>
      </c>
      <c r="O702" s="594">
        <v>45377</v>
      </c>
      <c r="P702" s="593">
        <f t="shared" si="45"/>
        <v>-96</v>
      </c>
      <c r="Q702" s="594">
        <v>45473</v>
      </c>
      <c r="R702" s="593">
        <f t="shared" ca="1" si="46"/>
        <v>-32</v>
      </c>
      <c r="S702" s="589" t="str">
        <f>VLOOKUP(Q702,Mapping!L:M,2,0)</f>
        <v>W27_2024</v>
      </c>
      <c r="T702" s="589" t="str">
        <f t="shared" ca="1" si="47"/>
        <v>Not Due</v>
      </c>
      <c r="W702" s="591"/>
    </row>
    <row r="703" spans="1:23" s="589" customFormat="1" x14ac:dyDescent="0.2">
      <c r="A703" s="589" t="s">
        <v>56</v>
      </c>
      <c r="B703" s="589" t="s">
        <v>1500</v>
      </c>
      <c r="C703" s="590" t="s">
        <v>1630</v>
      </c>
      <c r="D703" s="589" t="s">
        <v>100</v>
      </c>
      <c r="E703" s="589" t="s">
        <v>104</v>
      </c>
      <c r="F703" s="589" t="s">
        <v>112</v>
      </c>
      <c r="G703" s="589" t="s">
        <v>51</v>
      </c>
      <c r="H703" s="589" t="s">
        <v>242</v>
      </c>
      <c r="I703" s="589" t="s">
        <v>2030</v>
      </c>
      <c r="J703" s="589" t="s">
        <v>35</v>
      </c>
      <c r="K703" s="591">
        <v>2257.0279999999998</v>
      </c>
      <c r="L703" s="592">
        <f>IF(J703="TND",1,IF(J703="EUR",Vertical_Cash_flow!$C$16,IF(J703="USD",Vertical_Cash_flow!$F$16,0)))</f>
        <v>1</v>
      </c>
      <c r="M703" s="593">
        <f t="shared" si="44"/>
        <v>2257.0279999999998</v>
      </c>
      <c r="N703" s="589" t="s">
        <v>251</v>
      </c>
      <c r="O703" s="594">
        <v>45377</v>
      </c>
      <c r="P703" s="593">
        <f t="shared" si="45"/>
        <v>-96</v>
      </c>
      <c r="Q703" s="594">
        <v>45473</v>
      </c>
      <c r="R703" s="593">
        <f t="shared" ca="1" si="46"/>
        <v>-32</v>
      </c>
      <c r="S703" s="589" t="str">
        <f>VLOOKUP(Q703,Mapping!L:M,2,0)</f>
        <v>W27_2024</v>
      </c>
      <c r="T703" s="589" t="str">
        <f t="shared" ca="1" si="47"/>
        <v>Not Due</v>
      </c>
      <c r="W703" s="591"/>
    </row>
    <row r="704" spans="1:23" s="589" customFormat="1" x14ac:dyDescent="0.2">
      <c r="A704" s="589" t="s">
        <v>56</v>
      </c>
      <c r="B704" s="589" t="s">
        <v>354</v>
      </c>
      <c r="C704" s="590" t="s">
        <v>1624</v>
      </c>
      <c r="D704" s="589" t="s">
        <v>100</v>
      </c>
      <c r="E704" s="589" t="s">
        <v>104</v>
      </c>
      <c r="F704" s="589" t="s">
        <v>112</v>
      </c>
      <c r="G704" s="589" t="s">
        <v>51</v>
      </c>
      <c r="H704" s="589" t="s">
        <v>242</v>
      </c>
      <c r="I704" s="589" t="s">
        <v>2026</v>
      </c>
      <c r="J704" s="589" t="s">
        <v>35</v>
      </c>
      <c r="K704" s="591">
        <v>945.01499999999999</v>
      </c>
      <c r="L704" s="592">
        <f>IF(J704="TND",1,IF(J704="EUR",Vertical_Cash_flow!$C$16,IF(J704="USD",Vertical_Cash_flow!$F$16,0)))</f>
        <v>1</v>
      </c>
      <c r="M704" s="593">
        <f t="shared" si="44"/>
        <v>945.01499999999999</v>
      </c>
      <c r="N704" s="589" t="s">
        <v>251</v>
      </c>
      <c r="O704" s="594">
        <v>45377</v>
      </c>
      <c r="P704" s="593">
        <f t="shared" si="45"/>
        <v>-96</v>
      </c>
      <c r="Q704" s="594">
        <v>45473</v>
      </c>
      <c r="R704" s="593">
        <f t="shared" ca="1" si="46"/>
        <v>-32</v>
      </c>
      <c r="S704" s="589" t="str">
        <f>VLOOKUP(Q704,Mapping!L:M,2,0)</f>
        <v>W27_2024</v>
      </c>
      <c r="T704" s="589" t="str">
        <f t="shared" ca="1" si="47"/>
        <v>Not Due</v>
      </c>
      <c r="W704" s="591"/>
    </row>
    <row r="705" spans="1:23" s="589" customFormat="1" x14ac:dyDescent="0.2">
      <c r="A705" s="589" t="s">
        <v>56</v>
      </c>
      <c r="B705" s="589" t="s">
        <v>301</v>
      </c>
      <c r="C705" s="590" t="s">
        <v>3183</v>
      </c>
      <c r="D705" s="589" t="s">
        <v>100</v>
      </c>
      <c r="E705" s="589" t="s">
        <v>104</v>
      </c>
      <c r="F705" s="589" t="s">
        <v>112</v>
      </c>
      <c r="G705" s="589" t="s">
        <v>51</v>
      </c>
      <c r="H705" s="589" t="s">
        <v>242</v>
      </c>
      <c r="I705" s="589" t="s">
        <v>906</v>
      </c>
      <c r="J705" s="589" t="s">
        <v>35</v>
      </c>
      <c r="K705" s="591">
        <v>1859.646</v>
      </c>
      <c r="L705" s="592">
        <f>IF(J705="TND",1,IF(J705="EUR",Vertical_Cash_flow!$C$16,IF(J705="USD",Vertical_Cash_flow!$F$16,0)))</f>
        <v>1</v>
      </c>
      <c r="M705" s="593">
        <f t="shared" si="44"/>
        <v>1859.646</v>
      </c>
      <c r="N705" s="589" t="s">
        <v>251</v>
      </c>
      <c r="O705" s="594">
        <v>45412</v>
      </c>
      <c r="P705" s="593">
        <f t="shared" si="45"/>
        <v>-61</v>
      </c>
      <c r="Q705" s="594">
        <v>45473</v>
      </c>
      <c r="R705" s="593">
        <f t="shared" ca="1" si="46"/>
        <v>-32</v>
      </c>
      <c r="S705" s="589" t="str">
        <f>VLOOKUP(Q705,Mapping!L:M,2,0)</f>
        <v>W27_2024</v>
      </c>
      <c r="T705" s="589" t="str">
        <f t="shared" ca="1" si="47"/>
        <v>Not Due</v>
      </c>
      <c r="W705" s="591"/>
    </row>
    <row r="706" spans="1:23" s="589" customFormat="1" x14ac:dyDescent="0.2">
      <c r="A706" s="589" t="s">
        <v>56</v>
      </c>
      <c r="B706" s="589" t="s">
        <v>561</v>
      </c>
      <c r="C706" s="590" t="s">
        <v>2527</v>
      </c>
      <c r="D706" s="589" t="s">
        <v>100</v>
      </c>
      <c r="E706" s="589" t="s">
        <v>104</v>
      </c>
      <c r="F706" s="589" t="s">
        <v>112</v>
      </c>
      <c r="G706" s="589" t="s">
        <v>51</v>
      </c>
      <c r="H706" s="589" t="s">
        <v>242</v>
      </c>
      <c r="I706" s="589" t="s">
        <v>1458</v>
      </c>
      <c r="J706" s="589" t="s">
        <v>35</v>
      </c>
      <c r="K706" s="591">
        <v>900.31299999999999</v>
      </c>
      <c r="L706" s="592">
        <f>IF(J706="TND",1,IF(J706="EUR",Vertical_Cash_flow!$C$16,IF(J706="USD",Vertical_Cash_flow!$F$16,0)))</f>
        <v>1</v>
      </c>
      <c r="M706" s="593">
        <f t="shared" si="44"/>
        <v>900.31299999999999</v>
      </c>
      <c r="N706" s="589" t="s">
        <v>251</v>
      </c>
      <c r="O706" s="594">
        <v>45386</v>
      </c>
      <c r="P706" s="593">
        <f t="shared" si="45"/>
        <v>-87</v>
      </c>
      <c r="Q706" s="594">
        <v>45473</v>
      </c>
      <c r="R706" s="593">
        <f t="shared" ca="1" si="46"/>
        <v>-32</v>
      </c>
      <c r="S706" s="589" t="str">
        <f>VLOOKUP(Q706,Mapping!L:M,2,0)</f>
        <v>W27_2024</v>
      </c>
      <c r="T706" s="589" t="str">
        <f t="shared" ca="1" si="47"/>
        <v>Not Due</v>
      </c>
      <c r="W706" s="591"/>
    </row>
    <row r="707" spans="1:23" s="589" customFormat="1" x14ac:dyDescent="0.2">
      <c r="A707" s="589" t="s">
        <v>56</v>
      </c>
      <c r="B707" s="589" t="s">
        <v>760</v>
      </c>
      <c r="C707" s="590" t="s">
        <v>1273</v>
      </c>
      <c r="D707" s="589" t="s">
        <v>100</v>
      </c>
      <c r="E707" s="589" t="s">
        <v>104</v>
      </c>
      <c r="F707" s="589" t="s">
        <v>112</v>
      </c>
      <c r="G707" s="589" t="s">
        <v>51</v>
      </c>
      <c r="H707" s="589" t="s">
        <v>242</v>
      </c>
      <c r="I707" s="589" t="s">
        <v>1004</v>
      </c>
      <c r="J707" s="589" t="s">
        <v>35</v>
      </c>
      <c r="K707" s="591">
        <v>5500</v>
      </c>
      <c r="L707" s="592">
        <f>IF(J707="TND",1,IF(J707="EUR",Vertical_Cash_flow!$C$16,IF(J707="USD",Vertical_Cash_flow!$F$16,0)))</f>
        <v>1</v>
      </c>
      <c r="M707" s="593">
        <f t="shared" si="44"/>
        <v>5500</v>
      </c>
      <c r="N707" s="589" t="s">
        <v>251</v>
      </c>
      <c r="O707" s="594">
        <v>45334</v>
      </c>
      <c r="P707" s="593">
        <f t="shared" si="45"/>
        <v>-139</v>
      </c>
      <c r="Q707" s="594">
        <v>45473</v>
      </c>
      <c r="R707" s="593">
        <f t="shared" ca="1" si="46"/>
        <v>-32</v>
      </c>
      <c r="S707" s="589" t="str">
        <f>VLOOKUP(Q707,Mapping!L:M,2,0)</f>
        <v>W27_2024</v>
      </c>
      <c r="T707" s="589" t="str">
        <f t="shared" ca="1" si="47"/>
        <v>Not Due</v>
      </c>
      <c r="W707" s="591"/>
    </row>
    <row r="708" spans="1:23" s="589" customFormat="1" x14ac:dyDescent="0.2">
      <c r="A708" s="589" t="s">
        <v>56</v>
      </c>
      <c r="B708" s="589" t="s">
        <v>487</v>
      </c>
      <c r="C708" s="590" t="s">
        <v>1628</v>
      </c>
      <c r="D708" s="589" t="s">
        <v>100</v>
      </c>
      <c r="E708" s="589" t="s">
        <v>104</v>
      </c>
      <c r="F708" s="589" t="s">
        <v>112</v>
      </c>
      <c r="G708" s="589" t="s">
        <v>51</v>
      </c>
      <c r="H708" s="589" t="s">
        <v>242</v>
      </c>
      <c r="I708" s="589" t="s">
        <v>2028</v>
      </c>
      <c r="J708" s="589" t="s">
        <v>35</v>
      </c>
      <c r="K708" s="591">
        <v>6127.4629999999997</v>
      </c>
      <c r="L708" s="592">
        <f>IF(J708="TND",1,IF(J708="EUR",Vertical_Cash_flow!$C$16,IF(J708="USD",Vertical_Cash_flow!$F$16,0)))</f>
        <v>1</v>
      </c>
      <c r="M708" s="593">
        <f t="shared" si="44"/>
        <v>6127.4629999999997</v>
      </c>
      <c r="N708" s="589" t="s">
        <v>251</v>
      </c>
      <c r="O708" s="594">
        <v>45380</v>
      </c>
      <c r="P708" s="593">
        <f t="shared" si="45"/>
        <v>-93</v>
      </c>
      <c r="Q708" s="594">
        <v>45473</v>
      </c>
      <c r="R708" s="593">
        <f t="shared" ca="1" si="46"/>
        <v>-32</v>
      </c>
      <c r="S708" s="589" t="str">
        <f>VLOOKUP(Q708,Mapping!L:M,2,0)</f>
        <v>W27_2024</v>
      </c>
      <c r="T708" s="589" t="str">
        <f t="shared" ca="1" si="47"/>
        <v>Not Due</v>
      </c>
      <c r="W708" s="591"/>
    </row>
    <row r="709" spans="1:23" s="589" customFormat="1" x14ac:dyDescent="0.2">
      <c r="A709" s="589" t="s">
        <v>56</v>
      </c>
      <c r="B709" s="589" t="s">
        <v>554</v>
      </c>
      <c r="C709" s="590" t="s">
        <v>3182</v>
      </c>
      <c r="D709" s="589" t="s">
        <v>100</v>
      </c>
      <c r="E709" s="589" t="s">
        <v>104</v>
      </c>
      <c r="F709" s="589" t="s">
        <v>112</v>
      </c>
      <c r="G709" s="589" t="s">
        <v>51</v>
      </c>
      <c r="H709" s="589" t="s">
        <v>242</v>
      </c>
      <c r="I709" s="589" t="s">
        <v>2849</v>
      </c>
      <c r="J709" s="589" t="s">
        <v>35</v>
      </c>
      <c r="K709" s="591">
        <v>1576.2539999999999</v>
      </c>
      <c r="L709" s="592">
        <f>IF(J709="TND",1,IF(J709="EUR",Vertical_Cash_flow!$C$16,IF(J709="USD",Vertical_Cash_flow!$F$16,0)))</f>
        <v>1</v>
      </c>
      <c r="M709" s="593">
        <f t="shared" si="44"/>
        <v>1576.2539999999999</v>
      </c>
      <c r="N709" s="589" t="s">
        <v>251</v>
      </c>
      <c r="O709" s="594">
        <v>45418</v>
      </c>
      <c r="P709" s="593">
        <f t="shared" si="45"/>
        <v>-55</v>
      </c>
      <c r="Q709" s="594">
        <v>45473</v>
      </c>
      <c r="R709" s="593">
        <f t="shared" ca="1" si="46"/>
        <v>-32</v>
      </c>
      <c r="S709" s="589" t="str">
        <f>VLOOKUP(Q709,Mapping!L:M,2,0)</f>
        <v>W27_2024</v>
      </c>
      <c r="T709" s="589" t="str">
        <f t="shared" ca="1" si="47"/>
        <v>Not Due</v>
      </c>
      <c r="W709" s="591"/>
    </row>
    <row r="710" spans="1:23" s="589" customFormat="1" x14ac:dyDescent="0.2">
      <c r="A710" s="589" t="s">
        <v>56</v>
      </c>
      <c r="B710" s="589" t="s">
        <v>1033</v>
      </c>
      <c r="C710" s="590" t="s">
        <v>2520</v>
      </c>
      <c r="D710" s="589" t="s">
        <v>100</v>
      </c>
      <c r="E710" s="589" t="s">
        <v>104</v>
      </c>
      <c r="F710" s="589" t="s">
        <v>112</v>
      </c>
      <c r="G710" s="589" t="s">
        <v>51</v>
      </c>
      <c r="H710" s="589" t="s">
        <v>242</v>
      </c>
      <c r="I710" s="589" t="s">
        <v>2842</v>
      </c>
      <c r="J710" s="589" t="s">
        <v>35</v>
      </c>
      <c r="K710" s="591">
        <v>2182.3960000000002</v>
      </c>
      <c r="L710" s="592">
        <f>IF(J710="TND",1,IF(J710="EUR",Vertical_Cash_flow!$C$16,IF(J710="USD",Vertical_Cash_flow!$F$16,0)))</f>
        <v>1</v>
      </c>
      <c r="M710" s="593">
        <f t="shared" si="44"/>
        <v>2182.3960000000002</v>
      </c>
      <c r="N710" s="589" t="s">
        <v>251</v>
      </c>
      <c r="O710" s="594">
        <v>45404</v>
      </c>
      <c r="P710" s="593">
        <f t="shared" si="45"/>
        <v>-69</v>
      </c>
      <c r="Q710" s="594">
        <v>45473</v>
      </c>
      <c r="R710" s="593">
        <f t="shared" ca="1" si="46"/>
        <v>-32</v>
      </c>
      <c r="S710" s="589" t="str">
        <f>VLOOKUP(Q710,Mapping!L:M,2,0)</f>
        <v>W27_2024</v>
      </c>
      <c r="T710" s="589" t="str">
        <f t="shared" ca="1" si="47"/>
        <v>Not Due</v>
      </c>
      <c r="W710" s="591"/>
    </row>
    <row r="711" spans="1:23" s="589" customFormat="1" x14ac:dyDescent="0.2">
      <c r="A711" s="589" t="s">
        <v>56</v>
      </c>
      <c r="B711" s="589" t="s">
        <v>592</v>
      </c>
      <c r="C711" s="590" t="s">
        <v>3185</v>
      </c>
      <c r="D711" s="589" t="s">
        <v>100</v>
      </c>
      <c r="E711" s="589" t="s">
        <v>104</v>
      </c>
      <c r="F711" s="589" t="s">
        <v>112</v>
      </c>
      <c r="G711" s="589" t="s">
        <v>51</v>
      </c>
      <c r="H711" s="589" t="s">
        <v>242</v>
      </c>
      <c r="I711" s="589" t="s">
        <v>852</v>
      </c>
      <c r="J711" s="589" t="s">
        <v>35</v>
      </c>
      <c r="K711" s="591">
        <v>2045.3789999999999</v>
      </c>
      <c r="L711" s="592">
        <f>IF(J711="TND",1,IF(J711="EUR",Vertical_Cash_flow!$C$16,IF(J711="USD",Vertical_Cash_flow!$F$16,0)))</f>
        <v>1</v>
      </c>
      <c r="M711" s="593">
        <f t="shared" si="44"/>
        <v>2045.3789999999999</v>
      </c>
      <c r="N711" s="589" t="s">
        <v>251</v>
      </c>
      <c r="O711" s="594">
        <v>45418</v>
      </c>
      <c r="P711" s="593">
        <f t="shared" si="45"/>
        <v>-55</v>
      </c>
      <c r="Q711" s="594">
        <v>45473</v>
      </c>
      <c r="R711" s="593">
        <f t="shared" ca="1" si="46"/>
        <v>-32</v>
      </c>
      <c r="S711" s="589" t="str">
        <f>VLOOKUP(Q711,Mapping!L:M,2,0)</f>
        <v>W27_2024</v>
      </c>
      <c r="T711" s="589" t="str">
        <f t="shared" ca="1" si="47"/>
        <v>Not Due</v>
      </c>
      <c r="W711" s="591"/>
    </row>
    <row r="712" spans="1:23" s="589" customFormat="1" x14ac:dyDescent="0.2">
      <c r="A712" s="589" t="s">
        <v>56</v>
      </c>
      <c r="B712" s="589" t="s">
        <v>562</v>
      </c>
      <c r="C712" s="590" t="s">
        <v>2511</v>
      </c>
      <c r="D712" s="589" t="s">
        <v>100</v>
      </c>
      <c r="E712" s="589" t="s">
        <v>104</v>
      </c>
      <c r="F712" s="589" t="s">
        <v>112</v>
      </c>
      <c r="G712" s="589" t="s">
        <v>51</v>
      </c>
      <c r="H712" s="589" t="s">
        <v>242</v>
      </c>
      <c r="I712" s="589" t="s">
        <v>2833</v>
      </c>
      <c r="J712" s="589" t="s">
        <v>35</v>
      </c>
      <c r="K712" s="591">
        <v>2000</v>
      </c>
      <c r="L712" s="592">
        <f>IF(J712="TND",1,IF(J712="EUR",Vertical_Cash_flow!$C$16,IF(J712="USD",Vertical_Cash_flow!$F$16,0)))</f>
        <v>1</v>
      </c>
      <c r="M712" s="593">
        <f t="shared" si="44"/>
        <v>2000</v>
      </c>
      <c r="N712" s="589" t="s">
        <v>251</v>
      </c>
      <c r="O712" s="594">
        <v>45407</v>
      </c>
      <c r="P712" s="593">
        <f t="shared" si="45"/>
        <v>-66</v>
      </c>
      <c r="Q712" s="594">
        <v>45473</v>
      </c>
      <c r="R712" s="593">
        <f t="shared" ca="1" si="46"/>
        <v>-32</v>
      </c>
      <c r="S712" s="589" t="str">
        <f>VLOOKUP(Q712,Mapping!L:M,2,0)</f>
        <v>W27_2024</v>
      </c>
      <c r="T712" s="589" t="str">
        <f t="shared" ca="1" si="47"/>
        <v>Not Due</v>
      </c>
      <c r="W712" s="591"/>
    </row>
    <row r="713" spans="1:23" s="589" customFormat="1" x14ac:dyDescent="0.2">
      <c r="A713" s="589" t="s">
        <v>56</v>
      </c>
      <c r="B713" s="589" t="s">
        <v>364</v>
      </c>
      <c r="C713" s="590" t="s">
        <v>2514</v>
      </c>
      <c r="D713" s="589" t="s">
        <v>100</v>
      </c>
      <c r="E713" s="589" t="s">
        <v>104</v>
      </c>
      <c r="F713" s="589" t="s">
        <v>112</v>
      </c>
      <c r="G713" s="589" t="s">
        <v>51</v>
      </c>
      <c r="H713" s="589" t="s">
        <v>242</v>
      </c>
      <c r="I713" s="589" t="s">
        <v>2836</v>
      </c>
      <c r="J713" s="589" t="s">
        <v>35</v>
      </c>
      <c r="K713" s="591">
        <v>3046.8490000000002</v>
      </c>
      <c r="L713" s="592">
        <f>IF(J713="TND",1,IF(J713="EUR",Vertical_Cash_flow!$C$16,IF(J713="USD",Vertical_Cash_flow!$F$16,0)))</f>
        <v>1</v>
      </c>
      <c r="M713" s="593">
        <f t="shared" si="44"/>
        <v>3046.8490000000002</v>
      </c>
      <c r="N713" s="589" t="s">
        <v>251</v>
      </c>
      <c r="O713" s="594">
        <v>45405</v>
      </c>
      <c r="P713" s="593">
        <f t="shared" si="45"/>
        <v>-68</v>
      </c>
      <c r="Q713" s="594">
        <v>45473</v>
      </c>
      <c r="R713" s="593">
        <f t="shared" ca="1" si="46"/>
        <v>-32</v>
      </c>
      <c r="S713" s="589" t="str">
        <f>VLOOKUP(Q713,Mapping!L:M,2,0)</f>
        <v>W27_2024</v>
      </c>
      <c r="T713" s="589" t="str">
        <f t="shared" ca="1" si="47"/>
        <v>Not Due</v>
      </c>
      <c r="W713" s="591"/>
    </row>
    <row r="714" spans="1:23" s="589" customFormat="1" x14ac:dyDescent="0.2">
      <c r="A714" s="589" t="s">
        <v>56</v>
      </c>
      <c r="B714" s="589" t="s">
        <v>484</v>
      </c>
      <c r="C714" s="590" t="s">
        <v>1643</v>
      </c>
      <c r="D714" s="589" t="s">
        <v>100</v>
      </c>
      <c r="E714" s="589" t="s">
        <v>104</v>
      </c>
      <c r="F714" s="589" t="s">
        <v>112</v>
      </c>
      <c r="G714" s="589" t="s">
        <v>51</v>
      </c>
      <c r="H714" s="589" t="s">
        <v>242</v>
      </c>
      <c r="I714" s="589" t="s">
        <v>2039</v>
      </c>
      <c r="J714" s="589" t="s">
        <v>35</v>
      </c>
      <c r="K714" s="591">
        <v>740.95399999999995</v>
      </c>
      <c r="L714" s="592">
        <f>IF(J714="TND",1,IF(J714="EUR",Vertical_Cash_flow!$C$16,IF(J714="USD",Vertical_Cash_flow!$F$16,0)))</f>
        <v>1</v>
      </c>
      <c r="M714" s="593">
        <f t="shared" si="44"/>
        <v>740.95399999999995</v>
      </c>
      <c r="N714" s="589" t="s">
        <v>251</v>
      </c>
      <c r="O714" s="594">
        <v>45378</v>
      </c>
      <c r="P714" s="593">
        <f t="shared" si="45"/>
        <v>-95</v>
      </c>
      <c r="Q714" s="594">
        <v>45473</v>
      </c>
      <c r="R714" s="593">
        <f t="shared" ca="1" si="46"/>
        <v>-32</v>
      </c>
      <c r="S714" s="589" t="str">
        <f>VLOOKUP(Q714,Mapping!L:M,2,0)</f>
        <v>W27_2024</v>
      </c>
      <c r="T714" s="589" t="str">
        <f t="shared" ca="1" si="47"/>
        <v>Not Due</v>
      </c>
      <c r="W714" s="591"/>
    </row>
    <row r="715" spans="1:23" s="589" customFormat="1" x14ac:dyDescent="0.2">
      <c r="A715" s="589" t="s">
        <v>56</v>
      </c>
      <c r="B715" s="589" t="s">
        <v>314</v>
      </c>
      <c r="C715" s="590" t="s">
        <v>2513</v>
      </c>
      <c r="D715" s="589" t="s">
        <v>100</v>
      </c>
      <c r="E715" s="589" t="s">
        <v>104</v>
      </c>
      <c r="F715" s="589" t="s">
        <v>112</v>
      </c>
      <c r="G715" s="589" t="s">
        <v>51</v>
      </c>
      <c r="H715" s="589" t="s">
        <v>242</v>
      </c>
      <c r="I715" s="589" t="s">
        <v>2835</v>
      </c>
      <c r="J715" s="589" t="s">
        <v>35</v>
      </c>
      <c r="K715" s="591">
        <v>5091.848</v>
      </c>
      <c r="L715" s="592">
        <f>IF(J715="TND",1,IF(J715="EUR",Vertical_Cash_flow!$C$16,IF(J715="USD",Vertical_Cash_flow!$F$16,0)))</f>
        <v>1</v>
      </c>
      <c r="M715" s="593">
        <f t="shared" si="44"/>
        <v>5091.848</v>
      </c>
      <c r="N715" s="589" t="s">
        <v>251</v>
      </c>
      <c r="O715" s="594">
        <v>45405</v>
      </c>
      <c r="P715" s="593">
        <f t="shared" si="45"/>
        <v>-68</v>
      </c>
      <c r="Q715" s="594">
        <v>45473</v>
      </c>
      <c r="R715" s="593">
        <f t="shared" ca="1" si="46"/>
        <v>-32</v>
      </c>
      <c r="S715" s="589" t="str">
        <f>VLOOKUP(Q715,Mapping!L:M,2,0)</f>
        <v>W27_2024</v>
      </c>
      <c r="T715" s="589" t="str">
        <f t="shared" ca="1" si="47"/>
        <v>Not Due</v>
      </c>
      <c r="W715" s="591"/>
    </row>
    <row r="716" spans="1:23" s="589" customFormat="1" x14ac:dyDescent="0.2">
      <c r="A716" s="589" t="s">
        <v>56</v>
      </c>
      <c r="B716" s="589" t="s">
        <v>363</v>
      </c>
      <c r="C716" s="590" t="s">
        <v>2515</v>
      </c>
      <c r="D716" s="589" t="s">
        <v>100</v>
      </c>
      <c r="E716" s="589" t="s">
        <v>104</v>
      </c>
      <c r="F716" s="589" t="s">
        <v>112</v>
      </c>
      <c r="G716" s="589" t="s">
        <v>51</v>
      </c>
      <c r="H716" s="589" t="s">
        <v>242</v>
      </c>
      <c r="I716" s="589" t="s">
        <v>2837</v>
      </c>
      <c r="J716" s="589" t="s">
        <v>35</v>
      </c>
      <c r="K716" s="591">
        <v>15024.239</v>
      </c>
      <c r="L716" s="592">
        <f>IF(J716="TND",1,IF(J716="EUR",Vertical_Cash_flow!$C$16,IF(J716="USD",Vertical_Cash_flow!$F$16,0)))</f>
        <v>1</v>
      </c>
      <c r="M716" s="593">
        <f t="shared" si="44"/>
        <v>15024.239</v>
      </c>
      <c r="N716" s="589" t="s">
        <v>251</v>
      </c>
      <c r="O716" s="594">
        <v>45404</v>
      </c>
      <c r="P716" s="593">
        <f t="shared" si="45"/>
        <v>-69</v>
      </c>
      <c r="Q716" s="594">
        <v>45473</v>
      </c>
      <c r="R716" s="593">
        <f t="shared" ca="1" si="46"/>
        <v>-32</v>
      </c>
      <c r="S716" s="589" t="str">
        <f>VLOOKUP(Q716,Mapping!L:M,2,0)</f>
        <v>W27_2024</v>
      </c>
      <c r="T716" s="589" t="str">
        <f t="shared" ca="1" si="47"/>
        <v>Not Due</v>
      </c>
      <c r="W716" s="591"/>
    </row>
    <row r="717" spans="1:23" s="589" customFormat="1" x14ac:dyDescent="0.2">
      <c r="A717" s="589" t="s">
        <v>56</v>
      </c>
      <c r="B717" s="589" t="s">
        <v>842</v>
      </c>
      <c r="C717" s="590" t="s">
        <v>2516</v>
      </c>
      <c r="D717" s="589" t="s">
        <v>100</v>
      </c>
      <c r="E717" s="589" t="s">
        <v>104</v>
      </c>
      <c r="F717" s="589" t="s">
        <v>112</v>
      </c>
      <c r="G717" s="589" t="s">
        <v>51</v>
      </c>
      <c r="H717" s="589" t="s">
        <v>242</v>
      </c>
      <c r="I717" s="589" t="s">
        <v>2838</v>
      </c>
      <c r="J717" s="589" t="s">
        <v>35</v>
      </c>
      <c r="K717" s="591">
        <v>714.10799999999995</v>
      </c>
      <c r="L717" s="592">
        <f>IF(J717="TND",1,IF(J717="EUR",Vertical_Cash_flow!$C$16,IF(J717="USD",Vertical_Cash_flow!$F$16,0)))</f>
        <v>1</v>
      </c>
      <c r="M717" s="593">
        <f t="shared" si="44"/>
        <v>714.10799999999995</v>
      </c>
      <c r="N717" s="589" t="s">
        <v>251</v>
      </c>
      <c r="O717" s="594">
        <v>45404</v>
      </c>
      <c r="P717" s="593">
        <f t="shared" si="45"/>
        <v>-69</v>
      </c>
      <c r="Q717" s="594">
        <v>45473</v>
      </c>
      <c r="R717" s="593">
        <f t="shared" ca="1" si="46"/>
        <v>-32</v>
      </c>
      <c r="S717" s="589" t="str">
        <f>VLOOKUP(Q717,Mapping!L:M,2,0)</f>
        <v>W27_2024</v>
      </c>
      <c r="T717" s="589" t="str">
        <f t="shared" ca="1" si="47"/>
        <v>Not Due</v>
      </c>
      <c r="W717" s="591"/>
    </row>
    <row r="718" spans="1:23" s="589" customFormat="1" x14ac:dyDescent="0.2">
      <c r="A718" s="589" t="s">
        <v>56</v>
      </c>
      <c r="B718" s="589" t="s">
        <v>515</v>
      </c>
      <c r="C718" s="590" t="s">
        <v>2517</v>
      </c>
      <c r="D718" s="589" t="s">
        <v>100</v>
      </c>
      <c r="E718" s="589" t="s">
        <v>104</v>
      </c>
      <c r="F718" s="589" t="s">
        <v>112</v>
      </c>
      <c r="G718" s="589" t="s">
        <v>51</v>
      </c>
      <c r="H718" s="589" t="s">
        <v>242</v>
      </c>
      <c r="I718" s="589" t="s">
        <v>2839</v>
      </c>
      <c r="J718" s="589" t="s">
        <v>35</v>
      </c>
      <c r="K718" s="591">
        <v>2697.69</v>
      </c>
      <c r="L718" s="592">
        <f>IF(J718="TND",1,IF(J718="EUR",Vertical_Cash_flow!$C$16,IF(J718="USD",Vertical_Cash_flow!$F$16,0)))</f>
        <v>1</v>
      </c>
      <c r="M718" s="593">
        <f t="shared" si="44"/>
        <v>2697.69</v>
      </c>
      <c r="N718" s="589" t="s">
        <v>251</v>
      </c>
      <c r="O718" s="594">
        <v>45404</v>
      </c>
      <c r="P718" s="593">
        <f t="shared" si="45"/>
        <v>-69</v>
      </c>
      <c r="Q718" s="594">
        <v>45473</v>
      </c>
      <c r="R718" s="593">
        <f t="shared" ca="1" si="46"/>
        <v>-32</v>
      </c>
      <c r="S718" s="589" t="str">
        <f>VLOOKUP(Q718,Mapping!L:M,2,0)</f>
        <v>W27_2024</v>
      </c>
      <c r="T718" s="589" t="str">
        <f t="shared" ca="1" si="47"/>
        <v>Not Due</v>
      </c>
      <c r="W718" s="591"/>
    </row>
    <row r="719" spans="1:23" s="589" customFormat="1" x14ac:dyDescent="0.2">
      <c r="A719" s="589" t="s">
        <v>56</v>
      </c>
      <c r="B719" s="589" t="s">
        <v>640</v>
      </c>
      <c r="C719" s="590" t="s">
        <v>1634</v>
      </c>
      <c r="D719" s="589" t="s">
        <v>100</v>
      </c>
      <c r="E719" s="589" t="s">
        <v>104</v>
      </c>
      <c r="F719" s="589" t="s">
        <v>112</v>
      </c>
      <c r="G719" s="589" t="s">
        <v>51</v>
      </c>
      <c r="H719" s="589" t="s">
        <v>242</v>
      </c>
      <c r="I719" s="589" t="s">
        <v>2033</v>
      </c>
      <c r="J719" s="589" t="s">
        <v>35</v>
      </c>
      <c r="K719" s="591">
        <v>3912.4</v>
      </c>
      <c r="L719" s="592">
        <f>IF(J719="TND",1,IF(J719="EUR",Vertical_Cash_flow!$C$16,IF(J719="USD",Vertical_Cash_flow!$F$16,0)))</f>
        <v>1</v>
      </c>
      <c r="M719" s="593">
        <f t="shared" si="44"/>
        <v>3912.4</v>
      </c>
      <c r="N719" s="589" t="s">
        <v>251</v>
      </c>
      <c r="O719" s="594">
        <v>45380</v>
      </c>
      <c r="P719" s="593">
        <f t="shared" si="45"/>
        <v>-93</v>
      </c>
      <c r="Q719" s="594">
        <v>45473</v>
      </c>
      <c r="R719" s="593">
        <f t="shared" ca="1" si="46"/>
        <v>-32</v>
      </c>
      <c r="S719" s="589" t="str">
        <f>VLOOKUP(Q719,Mapping!L:M,2,0)</f>
        <v>W27_2024</v>
      </c>
      <c r="T719" s="589" t="str">
        <f t="shared" ca="1" si="47"/>
        <v>Not Due</v>
      </c>
      <c r="W719" s="591"/>
    </row>
    <row r="720" spans="1:23" s="589" customFormat="1" x14ac:dyDescent="0.2">
      <c r="A720" s="589" t="s">
        <v>56</v>
      </c>
      <c r="B720" s="589" t="s">
        <v>981</v>
      </c>
      <c r="C720" s="590" t="s">
        <v>2518</v>
      </c>
      <c r="D720" s="589" t="s">
        <v>100</v>
      </c>
      <c r="E720" s="589" t="s">
        <v>104</v>
      </c>
      <c r="F720" s="589" t="s">
        <v>112</v>
      </c>
      <c r="G720" s="589" t="s">
        <v>51</v>
      </c>
      <c r="H720" s="589" t="s">
        <v>242</v>
      </c>
      <c r="I720" s="589" t="s">
        <v>2840</v>
      </c>
      <c r="J720" s="589" t="s">
        <v>35</v>
      </c>
      <c r="K720" s="591">
        <v>2152.4360000000001</v>
      </c>
      <c r="L720" s="592">
        <f>IF(J720="TND",1,IF(J720="EUR",Vertical_Cash_flow!$C$16,IF(J720="USD",Vertical_Cash_flow!$F$16,0)))</f>
        <v>1</v>
      </c>
      <c r="M720" s="593">
        <f t="shared" si="44"/>
        <v>2152.4360000000001</v>
      </c>
      <c r="N720" s="589" t="s">
        <v>251</v>
      </c>
      <c r="O720" s="594">
        <v>45404</v>
      </c>
      <c r="P720" s="593">
        <f t="shared" si="45"/>
        <v>-69</v>
      </c>
      <c r="Q720" s="594">
        <v>45473</v>
      </c>
      <c r="R720" s="593">
        <f t="shared" ca="1" si="46"/>
        <v>-32</v>
      </c>
      <c r="S720" s="589" t="str">
        <f>VLOOKUP(Q720,Mapping!L:M,2,0)</f>
        <v>W27_2024</v>
      </c>
      <c r="T720" s="589" t="str">
        <f t="shared" ca="1" si="47"/>
        <v>Not Due</v>
      </c>
      <c r="W720" s="591"/>
    </row>
    <row r="721" spans="1:23" s="589" customFormat="1" x14ac:dyDescent="0.2">
      <c r="A721" s="589" t="s">
        <v>56</v>
      </c>
      <c r="B721" s="589" t="s">
        <v>759</v>
      </c>
      <c r="C721" s="590" t="s">
        <v>2519</v>
      </c>
      <c r="D721" s="589" t="s">
        <v>100</v>
      </c>
      <c r="E721" s="589" t="s">
        <v>104</v>
      </c>
      <c r="F721" s="589" t="s">
        <v>112</v>
      </c>
      <c r="G721" s="589" t="s">
        <v>51</v>
      </c>
      <c r="H721" s="589" t="s">
        <v>242</v>
      </c>
      <c r="I721" s="589" t="s">
        <v>2841</v>
      </c>
      <c r="J721" s="589" t="s">
        <v>35</v>
      </c>
      <c r="K721" s="591">
        <v>2130.3530000000001</v>
      </c>
      <c r="L721" s="592">
        <f>IF(J721="TND",1,IF(J721="EUR",Vertical_Cash_flow!$C$16,IF(J721="USD",Vertical_Cash_flow!$F$16,0)))</f>
        <v>1</v>
      </c>
      <c r="M721" s="593">
        <f t="shared" si="44"/>
        <v>2130.3530000000001</v>
      </c>
      <c r="N721" s="589" t="s">
        <v>251</v>
      </c>
      <c r="O721" s="594">
        <v>45404</v>
      </c>
      <c r="P721" s="593">
        <f t="shared" si="45"/>
        <v>-69</v>
      </c>
      <c r="Q721" s="594">
        <v>45473</v>
      </c>
      <c r="R721" s="593">
        <f t="shared" ca="1" si="46"/>
        <v>-32</v>
      </c>
      <c r="S721" s="589" t="str">
        <f>VLOOKUP(Q721,Mapping!L:M,2,0)</f>
        <v>W27_2024</v>
      </c>
      <c r="T721" s="589" t="str">
        <f t="shared" ca="1" si="47"/>
        <v>Not Due</v>
      </c>
      <c r="W721" s="591"/>
    </row>
    <row r="722" spans="1:23" s="589" customFormat="1" x14ac:dyDescent="0.2">
      <c r="A722" s="589" t="s">
        <v>56</v>
      </c>
      <c r="B722" s="589" t="s">
        <v>355</v>
      </c>
      <c r="C722" s="590" t="s">
        <v>1650</v>
      </c>
      <c r="D722" s="589" t="s">
        <v>100</v>
      </c>
      <c r="E722" s="589" t="s">
        <v>104</v>
      </c>
      <c r="F722" s="589" t="s">
        <v>112</v>
      </c>
      <c r="G722" s="589" t="s">
        <v>51</v>
      </c>
      <c r="H722" s="589" t="s">
        <v>242</v>
      </c>
      <c r="I722" s="589" t="s">
        <v>2045</v>
      </c>
      <c r="J722" s="589" t="s">
        <v>35</v>
      </c>
      <c r="K722" s="591">
        <v>6607.57</v>
      </c>
      <c r="L722" s="592">
        <f>IF(J722="TND",1,IF(J722="EUR",Vertical_Cash_flow!$C$16,IF(J722="USD",Vertical_Cash_flow!$F$16,0)))</f>
        <v>1</v>
      </c>
      <c r="M722" s="593">
        <f t="shared" si="44"/>
        <v>6607.57</v>
      </c>
      <c r="N722" s="589" t="s">
        <v>251</v>
      </c>
      <c r="O722" s="594">
        <v>45365</v>
      </c>
      <c r="P722" s="593">
        <f t="shared" si="45"/>
        <v>-108</v>
      </c>
      <c r="Q722" s="594">
        <v>45473</v>
      </c>
      <c r="R722" s="593">
        <f t="shared" ca="1" si="46"/>
        <v>-32</v>
      </c>
      <c r="S722" s="589" t="str">
        <f>VLOOKUP(Q722,Mapping!L:M,2,0)</f>
        <v>W27_2024</v>
      </c>
      <c r="T722" s="589" t="str">
        <f t="shared" ca="1" si="47"/>
        <v>Not Due</v>
      </c>
      <c r="W722" s="591"/>
    </row>
    <row r="723" spans="1:23" s="589" customFormat="1" x14ac:dyDescent="0.2">
      <c r="A723" s="589" t="s">
        <v>56</v>
      </c>
      <c r="B723" s="589" t="s">
        <v>809</v>
      </c>
      <c r="C723" s="590" t="s">
        <v>2522</v>
      </c>
      <c r="D723" s="589" t="s">
        <v>100</v>
      </c>
      <c r="E723" s="589" t="s">
        <v>104</v>
      </c>
      <c r="F723" s="589" t="s">
        <v>112</v>
      </c>
      <c r="G723" s="589" t="s">
        <v>51</v>
      </c>
      <c r="H723" s="589" t="s">
        <v>242</v>
      </c>
      <c r="I723" s="589" t="s">
        <v>811</v>
      </c>
      <c r="J723" s="589" t="s">
        <v>35</v>
      </c>
      <c r="K723" s="591">
        <v>5761.8289999999997</v>
      </c>
      <c r="L723" s="592">
        <f>IF(J723="TND",1,IF(J723="EUR",Vertical_Cash_flow!$C$16,IF(J723="USD",Vertical_Cash_flow!$F$16,0)))</f>
        <v>1</v>
      </c>
      <c r="M723" s="593">
        <f t="shared" si="44"/>
        <v>5761.8289999999997</v>
      </c>
      <c r="N723" s="589" t="s">
        <v>251</v>
      </c>
      <c r="O723" s="594">
        <v>45400</v>
      </c>
      <c r="P723" s="593">
        <f t="shared" si="45"/>
        <v>-73</v>
      </c>
      <c r="Q723" s="594">
        <v>45473</v>
      </c>
      <c r="R723" s="593">
        <f t="shared" ca="1" si="46"/>
        <v>-32</v>
      </c>
      <c r="S723" s="589" t="str">
        <f>VLOOKUP(Q723,Mapping!L:M,2,0)</f>
        <v>W27_2024</v>
      </c>
      <c r="T723" s="589" t="str">
        <f t="shared" ca="1" si="47"/>
        <v>Not Due</v>
      </c>
      <c r="W723" s="591"/>
    </row>
    <row r="724" spans="1:23" s="589" customFormat="1" x14ac:dyDescent="0.2">
      <c r="A724" s="589" t="s">
        <v>56</v>
      </c>
      <c r="B724" s="589" t="s">
        <v>634</v>
      </c>
      <c r="C724" s="590" t="s">
        <v>1645</v>
      </c>
      <c r="D724" s="589" t="s">
        <v>100</v>
      </c>
      <c r="E724" s="589" t="s">
        <v>104</v>
      </c>
      <c r="F724" s="589" t="s">
        <v>112</v>
      </c>
      <c r="G724" s="589" t="s">
        <v>51</v>
      </c>
      <c r="H724" s="589" t="s">
        <v>242</v>
      </c>
      <c r="I724" s="589" t="s">
        <v>2041</v>
      </c>
      <c r="J724" s="589" t="s">
        <v>35</v>
      </c>
      <c r="K724" s="591">
        <v>1203.7070000000001</v>
      </c>
      <c r="L724" s="592">
        <f>IF(J724="TND",1,IF(J724="EUR",Vertical_Cash_flow!$C$16,IF(J724="USD",Vertical_Cash_flow!$F$16,0)))</f>
        <v>1</v>
      </c>
      <c r="M724" s="593">
        <f t="shared" si="44"/>
        <v>1203.7070000000001</v>
      </c>
      <c r="N724" s="589" t="s">
        <v>251</v>
      </c>
      <c r="O724" s="594">
        <v>45379</v>
      </c>
      <c r="P724" s="593">
        <f t="shared" si="45"/>
        <v>-94</v>
      </c>
      <c r="Q724" s="594">
        <v>45473</v>
      </c>
      <c r="R724" s="593">
        <f t="shared" ca="1" si="46"/>
        <v>-32</v>
      </c>
      <c r="S724" s="589" t="str">
        <f>VLOOKUP(Q724,Mapping!L:M,2,0)</f>
        <v>W27_2024</v>
      </c>
      <c r="T724" s="589" t="str">
        <f t="shared" ca="1" si="47"/>
        <v>Not Due</v>
      </c>
      <c r="W724" s="591"/>
    </row>
    <row r="725" spans="1:23" s="589" customFormat="1" x14ac:dyDescent="0.2">
      <c r="A725" s="589" t="s">
        <v>56</v>
      </c>
      <c r="B725" s="589" t="s">
        <v>294</v>
      </c>
      <c r="C725" s="590" t="s">
        <v>1649</v>
      </c>
      <c r="D725" s="589" t="s">
        <v>100</v>
      </c>
      <c r="E725" s="589" t="s">
        <v>104</v>
      </c>
      <c r="F725" s="589" t="s">
        <v>112</v>
      </c>
      <c r="G725" s="589" t="s">
        <v>51</v>
      </c>
      <c r="H725" s="589" t="s">
        <v>242</v>
      </c>
      <c r="I725" s="589" t="s">
        <v>2044</v>
      </c>
      <c r="J725" s="589" t="s">
        <v>35</v>
      </c>
      <c r="K725" s="591">
        <v>700</v>
      </c>
      <c r="L725" s="592">
        <f>IF(J725="TND",1,IF(J725="EUR",Vertical_Cash_flow!$C$16,IF(J725="USD",Vertical_Cash_flow!$F$16,0)))</f>
        <v>1</v>
      </c>
      <c r="M725" s="593">
        <f t="shared" ref="M725:M788" si="48">K725/L725</f>
        <v>700</v>
      </c>
      <c r="N725" s="589" t="s">
        <v>251</v>
      </c>
      <c r="O725" s="594">
        <v>45363</v>
      </c>
      <c r="P725" s="593">
        <f t="shared" ref="P725:P788" si="49">O725-Q725</f>
        <v>-110</v>
      </c>
      <c r="Q725" s="594">
        <v>45473</v>
      </c>
      <c r="R725" s="593">
        <f t="shared" ref="R725:R788" ca="1" si="50">$W$1-Q725</f>
        <v>-32</v>
      </c>
      <c r="S725" s="589" t="str">
        <f>VLOOKUP(Q725,Mapping!L:M,2,0)</f>
        <v>W27_2024</v>
      </c>
      <c r="T725" s="589" t="str">
        <f t="shared" ref="T725:T788" ca="1" si="51">IF(R725="","",IF(R725&lt;0,"Not Due",IF(AND(R725&gt;=0,R725&lt;=30),"up to 30 days",IF(AND(R725&gt;30,R725&lt;=60),"30-60 days",IF(AND(R725&gt;60,R725&lt;=90),"60-90 days",IF(AND(R725&gt;90,R725&lt;=120),"90-120 days",IF(AND(R725&gt;120,R725&lt;=180),"120-180 days",IF(AND(R725&gt;180,R725&lt;=360),"180-360 days",IF(R725&gt;360,"more than 360 days","ok")))))))))</f>
        <v>Not Due</v>
      </c>
      <c r="W725" s="591"/>
    </row>
    <row r="726" spans="1:23" s="589" customFormat="1" x14ac:dyDescent="0.2">
      <c r="A726" s="589" t="s">
        <v>56</v>
      </c>
      <c r="B726" s="589" t="s">
        <v>488</v>
      </c>
      <c r="C726" s="590" t="s">
        <v>1646</v>
      </c>
      <c r="D726" s="589" t="s">
        <v>100</v>
      </c>
      <c r="E726" s="589" t="s">
        <v>104</v>
      </c>
      <c r="F726" s="589" t="s">
        <v>112</v>
      </c>
      <c r="G726" s="589" t="s">
        <v>51</v>
      </c>
      <c r="H726" s="589" t="s">
        <v>242</v>
      </c>
      <c r="I726" s="589" t="s">
        <v>2042</v>
      </c>
      <c r="J726" s="589" t="s">
        <v>35</v>
      </c>
      <c r="K726" s="591">
        <v>6808.8649999999998</v>
      </c>
      <c r="L726" s="592">
        <f>IF(J726="TND",1,IF(J726="EUR",Vertical_Cash_flow!$C$16,IF(J726="USD",Vertical_Cash_flow!$F$16,0)))</f>
        <v>1</v>
      </c>
      <c r="M726" s="593">
        <f t="shared" si="48"/>
        <v>6808.8649999999998</v>
      </c>
      <c r="N726" s="589" t="s">
        <v>251</v>
      </c>
      <c r="O726" s="594">
        <v>45379</v>
      </c>
      <c r="P726" s="593">
        <f t="shared" si="49"/>
        <v>-94</v>
      </c>
      <c r="Q726" s="594">
        <v>45473</v>
      </c>
      <c r="R726" s="593">
        <f t="shared" ca="1" si="50"/>
        <v>-32</v>
      </c>
      <c r="S726" s="589" t="str">
        <f>VLOOKUP(Q726,Mapping!L:M,2,0)</f>
        <v>W27_2024</v>
      </c>
      <c r="T726" s="589" t="str">
        <f t="shared" ca="1" si="51"/>
        <v>Not Due</v>
      </c>
      <c r="W726" s="591"/>
    </row>
    <row r="727" spans="1:23" s="589" customFormat="1" x14ac:dyDescent="0.2">
      <c r="A727" s="589" t="s">
        <v>56</v>
      </c>
      <c r="B727" s="589" t="s">
        <v>490</v>
      </c>
      <c r="C727" s="590" t="s">
        <v>1629</v>
      </c>
      <c r="D727" s="589" t="s">
        <v>100</v>
      </c>
      <c r="E727" s="589" t="s">
        <v>104</v>
      </c>
      <c r="F727" s="589" t="s">
        <v>112</v>
      </c>
      <c r="G727" s="589" t="s">
        <v>51</v>
      </c>
      <c r="H727" s="589" t="s">
        <v>242</v>
      </c>
      <c r="I727" s="589" t="s">
        <v>2029</v>
      </c>
      <c r="J727" s="589" t="s">
        <v>35</v>
      </c>
      <c r="K727" s="591">
        <v>2071.6889999999999</v>
      </c>
      <c r="L727" s="592">
        <f>IF(J727="TND",1,IF(J727="EUR",Vertical_Cash_flow!$C$16,IF(J727="USD",Vertical_Cash_flow!$F$16,0)))</f>
        <v>1</v>
      </c>
      <c r="M727" s="593">
        <f t="shared" si="48"/>
        <v>2071.6889999999999</v>
      </c>
      <c r="N727" s="589" t="s">
        <v>251</v>
      </c>
      <c r="O727" s="594">
        <v>45379</v>
      </c>
      <c r="P727" s="593">
        <f t="shared" si="49"/>
        <v>-94</v>
      </c>
      <c r="Q727" s="594">
        <v>45473</v>
      </c>
      <c r="R727" s="593">
        <f t="shared" ca="1" si="50"/>
        <v>-32</v>
      </c>
      <c r="S727" s="589" t="str">
        <f>VLOOKUP(Q727,Mapping!L:M,2,0)</f>
        <v>W27_2024</v>
      </c>
      <c r="T727" s="589" t="str">
        <f t="shared" ca="1" si="51"/>
        <v>Not Due</v>
      </c>
      <c r="W727" s="591"/>
    </row>
    <row r="728" spans="1:23" s="589" customFormat="1" x14ac:dyDescent="0.2">
      <c r="A728" s="589" t="s">
        <v>56</v>
      </c>
      <c r="B728" s="589" t="s">
        <v>512</v>
      </c>
      <c r="C728" s="590" t="s">
        <v>1648</v>
      </c>
      <c r="D728" s="589" t="s">
        <v>100</v>
      </c>
      <c r="E728" s="589" t="s">
        <v>104</v>
      </c>
      <c r="F728" s="589" t="s">
        <v>112</v>
      </c>
      <c r="G728" s="589" t="s">
        <v>51</v>
      </c>
      <c r="H728" s="589" t="s">
        <v>242</v>
      </c>
      <c r="I728" s="589" t="s">
        <v>1006</v>
      </c>
      <c r="J728" s="589" t="s">
        <v>35</v>
      </c>
      <c r="K728" s="591">
        <v>2294.7840000000001</v>
      </c>
      <c r="L728" s="592">
        <f>IF(J728="TND",1,IF(J728="EUR",Vertical_Cash_flow!$C$16,IF(J728="USD",Vertical_Cash_flow!$F$16,0)))</f>
        <v>1</v>
      </c>
      <c r="M728" s="593">
        <f t="shared" si="48"/>
        <v>2294.7840000000001</v>
      </c>
      <c r="N728" s="589" t="s">
        <v>251</v>
      </c>
      <c r="O728" s="594">
        <v>45380</v>
      </c>
      <c r="P728" s="593">
        <f t="shared" si="49"/>
        <v>-93</v>
      </c>
      <c r="Q728" s="594">
        <v>45473</v>
      </c>
      <c r="R728" s="593">
        <f t="shared" ca="1" si="50"/>
        <v>-32</v>
      </c>
      <c r="S728" s="589" t="str">
        <f>VLOOKUP(Q728,Mapping!L:M,2,0)</f>
        <v>W27_2024</v>
      </c>
      <c r="T728" s="589" t="str">
        <f t="shared" ca="1" si="51"/>
        <v>Not Due</v>
      </c>
      <c r="W728" s="591"/>
    </row>
    <row r="729" spans="1:23" s="589" customFormat="1" x14ac:dyDescent="0.2">
      <c r="A729" s="589" t="s">
        <v>56</v>
      </c>
      <c r="B729" s="589" t="s">
        <v>579</v>
      </c>
      <c r="C729" s="590" t="s">
        <v>1647</v>
      </c>
      <c r="D729" s="589" t="s">
        <v>100</v>
      </c>
      <c r="E729" s="589" t="s">
        <v>104</v>
      </c>
      <c r="F729" s="589" t="s">
        <v>112</v>
      </c>
      <c r="G729" s="589" t="s">
        <v>51</v>
      </c>
      <c r="H729" s="589" t="s">
        <v>242</v>
      </c>
      <c r="I729" s="589" t="s">
        <v>2043</v>
      </c>
      <c r="J729" s="589" t="s">
        <v>35</v>
      </c>
      <c r="K729" s="591">
        <v>2751.6750000000002</v>
      </c>
      <c r="L729" s="592">
        <f>IF(J729="TND",1,IF(J729="EUR",Vertical_Cash_flow!$C$16,IF(J729="USD",Vertical_Cash_flow!$F$16,0)))</f>
        <v>1</v>
      </c>
      <c r="M729" s="593">
        <f t="shared" si="48"/>
        <v>2751.6750000000002</v>
      </c>
      <c r="N729" s="589" t="s">
        <v>251</v>
      </c>
      <c r="O729" s="594">
        <v>45380</v>
      </c>
      <c r="P729" s="593">
        <f t="shared" si="49"/>
        <v>-93</v>
      </c>
      <c r="Q729" s="594">
        <v>45473</v>
      </c>
      <c r="R729" s="593">
        <f t="shared" ca="1" si="50"/>
        <v>-32</v>
      </c>
      <c r="S729" s="589" t="str">
        <f>VLOOKUP(Q729,Mapping!L:M,2,0)</f>
        <v>W27_2024</v>
      </c>
      <c r="T729" s="589" t="str">
        <f t="shared" ca="1" si="51"/>
        <v>Not Due</v>
      </c>
      <c r="W729" s="591"/>
    </row>
    <row r="730" spans="1:23" s="589" customFormat="1" x14ac:dyDescent="0.2">
      <c r="A730" s="589" t="s">
        <v>56</v>
      </c>
      <c r="B730" s="589" t="s">
        <v>598</v>
      </c>
      <c r="C730" s="590" t="s">
        <v>3541</v>
      </c>
      <c r="D730" s="589" t="s">
        <v>100</v>
      </c>
      <c r="E730" s="589" t="s">
        <v>104</v>
      </c>
      <c r="F730" s="589" t="s">
        <v>112</v>
      </c>
      <c r="G730" s="589" t="s">
        <v>51</v>
      </c>
      <c r="H730" s="589" t="s">
        <v>242</v>
      </c>
      <c r="I730" s="589" t="s">
        <v>3690</v>
      </c>
      <c r="J730" s="589" t="s">
        <v>35</v>
      </c>
      <c r="K730" s="591">
        <v>630.12400000000002</v>
      </c>
      <c r="L730" s="592">
        <f>IF(J730="TND",1,IF(J730="EUR",Vertical_Cash_flow!$C$16,IF(J730="USD",Vertical_Cash_flow!$F$16,0)))</f>
        <v>1</v>
      </c>
      <c r="M730" s="593">
        <f t="shared" si="48"/>
        <v>630.12400000000002</v>
      </c>
      <c r="N730" s="589" t="s">
        <v>251</v>
      </c>
      <c r="O730" s="594">
        <v>45427</v>
      </c>
      <c r="P730" s="593">
        <f t="shared" si="49"/>
        <v>-46</v>
      </c>
      <c r="Q730" s="594">
        <v>45473</v>
      </c>
      <c r="R730" s="593">
        <f t="shared" ca="1" si="50"/>
        <v>-32</v>
      </c>
      <c r="S730" s="589" t="str">
        <f>VLOOKUP(Q730,Mapping!L:M,2,0)</f>
        <v>W27_2024</v>
      </c>
      <c r="T730" s="589" t="str">
        <f t="shared" ca="1" si="51"/>
        <v>Not Due</v>
      </c>
      <c r="W730" s="591"/>
    </row>
    <row r="731" spans="1:23" s="589" customFormat="1" x14ac:dyDescent="0.2">
      <c r="A731" s="589" t="s">
        <v>56</v>
      </c>
      <c r="B731" s="589" t="s">
        <v>356</v>
      </c>
      <c r="C731" s="590" t="s">
        <v>3540</v>
      </c>
      <c r="D731" s="589" t="s">
        <v>100</v>
      </c>
      <c r="E731" s="589" t="s">
        <v>104</v>
      </c>
      <c r="F731" s="589" t="s">
        <v>112</v>
      </c>
      <c r="G731" s="589" t="s">
        <v>51</v>
      </c>
      <c r="H731" s="589" t="s">
        <v>242</v>
      </c>
      <c r="I731" s="589" t="s">
        <v>3689</v>
      </c>
      <c r="J731" s="589" t="s">
        <v>35</v>
      </c>
      <c r="K731" s="591">
        <v>2178.4479999999999</v>
      </c>
      <c r="L731" s="592">
        <f>IF(J731="TND",1,IF(J731="EUR",Vertical_Cash_flow!$C$16,IF(J731="USD",Vertical_Cash_flow!$F$16,0)))</f>
        <v>1</v>
      </c>
      <c r="M731" s="593">
        <f t="shared" si="48"/>
        <v>2178.4479999999999</v>
      </c>
      <c r="N731" s="589" t="s">
        <v>251</v>
      </c>
      <c r="O731" s="594">
        <v>45425</v>
      </c>
      <c r="P731" s="593">
        <f t="shared" si="49"/>
        <v>-48</v>
      </c>
      <c r="Q731" s="594">
        <v>45473</v>
      </c>
      <c r="R731" s="593">
        <f t="shared" ca="1" si="50"/>
        <v>-32</v>
      </c>
      <c r="S731" s="589" t="str">
        <f>VLOOKUP(Q731,Mapping!L:M,2,0)</f>
        <v>W27_2024</v>
      </c>
      <c r="T731" s="589" t="str">
        <f t="shared" ca="1" si="51"/>
        <v>Not Due</v>
      </c>
      <c r="W731" s="591"/>
    </row>
    <row r="732" spans="1:23" s="589" customFormat="1" x14ac:dyDescent="0.2">
      <c r="A732" s="589" t="s">
        <v>56</v>
      </c>
      <c r="B732" s="589" t="s">
        <v>367</v>
      </c>
      <c r="C732" s="590" t="s">
        <v>3539</v>
      </c>
      <c r="D732" s="589" t="s">
        <v>100</v>
      </c>
      <c r="E732" s="589" t="s">
        <v>104</v>
      </c>
      <c r="F732" s="589" t="s">
        <v>112</v>
      </c>
      <c r="G732" s="589" t="s">
        <v>51</v>
      </c>
      <c r="H732" s="589" t="s">
        <v>242</v>
      </c>
      <c r="I732" s="589" t="s">
        <v>3658</v>
      </c>
      <c r="J732" s="589" t="s">
        <v>35</v>
      </c>
      <c r="K732" s="591">
        <v>1252.6780000000001</v>
      </c>
      <c r="L732" s="592">
        <f>IF(J732="TND",1,IF(J732="EUR",Vertical_Cash_flow!$C$16,IF(J732="USD",Vertical_Cash_flow!$F$16,0)))</f>
        <v>1</v>
      </c>
      <c r="M732" s="593">
        <f t="shared" si="48"/>
        <v>1252.6780000000001</v>
      </c>
      <c r="N732" s="589" t="s">
        <v>251</v>
      </c>
      <c r="O732" s="594">
        <v>45429</v>
      </c>
      <c r="P732" s="593">
        <f t="shared" si="49"/>
        <v>-44</v>
      </c>
      <c r="Q732" s="594">
        <v>45473</v>
      </c>
      <c r="R732" s="593">
        <f t="shared" ca="1" si="50"/>
        <v>-32</v>
      </c>
      <c r="S732" s="589" t="str">
        <f>VLOOKUP(Q732,Mapping!L:M,2,0)</f>
        <v>W27_2024</v>
      </c>
      <c r="T732" s="589" t="str">
        <f t="shared" ca="1" si="51"/>
        <v>Not Due</v>
      </c>
      <c r="W732" s="591"/>
    </row>
    <row r="733" spans="1:23" s="589" customFormat="1" x14ac:dyDescent="0.2">
      <c r="A733" s="589" t="s">
        <v>56</v>
      </c>
      <c r="B733" s="589" t="s">
        <v>563</v>
      </c>
      <c r="C733" s="590" t="s">
        <v>3538</v>
      </c>
      <c r="D733" s="589" t="s">
        <v>100</v>
      </c>
      <c r="E733" s="589" t="s">
        <v>104</v>
      </c>
      <c r="F733" s="589" t="s">
        <v>112</v>
      </c>
      <c r="G733" s="589" t="s">
        <v>51</v>
      </c>
      <c r="H733" s="589" t="s">
        <v>242</v>
      </c>
      <c r="I733" s="589" t="s">
        <v>3688</v>
      </c>
      <c r="J733" s="589" t="s">
        <v>35</v>
      </c>
      <c r="K733" s="591">
        <v>996.63</v>
      </c>
      <c r="L733" s="592">
        <f>IF(J733="TND",1,IF(J733="EUR",Vertical_Cash_flow!$C$16,IF(J733="USD",Vertical_Cash_flow!$F$16,0)))</f>
        <v>1</v>
      </c>
      <c r="M733" s="593">
        <f t="shared" si="48"/>
        <v>996.63</v>
      </c>
      <c r="N733" s="589" t="s">
        <v>251</v>
      </c>
      <c r="O733" s="594">
        <v>45426</v>
      </c>
      <c r="P733" s="593">
        <f t="shared" si="49"/>
        <v>-47</v>
      </c>
      <c r="Q733" s="594">
        <v>45473</v>
      </c>
      <c r="R733" s="593">
        <f t="shared" ca="1" si="50"/>
        <v>-32</v>
      </c>
      <c r="S733" s="589" t="str">
        <f>VLOOKUP(Q733,Mapping!L:M,2,0)</f>
        <v>W27_2024</v>
      </c>
      <c r="T733" s="589" t="str">
        <f t="shared" ca="1" si="51"/>
        <v>Not Due</v>
      </c>
      <c r="W733" s="591"/>
    </row>
    <row r="734" spans="1:23" s="589" customFormat="1" x14ac:dyDescent="0.2">
      <c r="A734" s="589" t="s">
        <v>56</v>
      </c>
      <c r="B734" s="589" t="s">
        <v>519</v>
      </c>
      <c r="C734" s="590" t="s">
        <v>3174</v>
      </c>
      <c r="D734" s="589" t="s">
        <v>100</v>
      </c>
      <c r="E734" s="589" t="s">
        <v>104</v>
      </c>
      <c r="F734" s="589" t="s">
        <v>112</v>
      </c>
      <c r="G734" s="589" t="s">
        <v>51</v>
      </c>
      <c r="H734" s="589" t="s">
        <v>242</v>
      </c>
      <c r="I734" s="589" t="s">
        <v>3357</v>
      </c>
      <c r="J734" s="589" t="s">
        <v>35</v>
      </c>
      <c r="K734" s="591">
        <v>2320.8789999999999</v>
      </c>
      <c r="L734" s="592">
        <f>IF(J734="TND",1,IF(J734="EUR",Vertical_Cash_flow!$C$16,IF(J734="USD",Vertical_Cash_flow!$F$16,0)))</f>
        <v>1</v>
      </c>
      <c r="M734" s="593">
        <f t="shared" si="48"/>
        <v>2320.8789999999999</v>
      </c>
      <c r="N734" s="589" t="s">
        <v>251</v>
      </c>
      <c r="O734" s="594">
        <v>45420</v>
      </c>
      <c r="P734" s="593">
        <f t="shared" si="49"/>
        <v>-53</v>
      </c>
      <c r="Q734" s="594">
        <v>45473</v>
      </c>
      <c r="R734" s="593">
        <f t="shared" ca="1" si="50"/>
        <v>-32</v>
      </c>
      <c r="S734" s="589" t="str">
        <f>VLOOKUP(Q734,Mapping!L:M,2,0)</f>
        <v>W27_2024</v>
      </c>
      <c r="T734" s="589" t="str">
        <f t="shared" ca="1" si="51"/>
        <v>Not Due</v>
      </c>
      <c r="W734" s="591"/>
    </row>
    <row r="735" spans="1:23" s="589" customFormat="1" x14ac:dyDescent="0.2">
      <c r="A735" s="589" t="s">
        <v>56</v>
      </c>
      <c r="B735" s="589" t="s">
        <v>404</v>
      </c>
      <c r="C735" s="590" t="s">
        <v>1620</v>
      </c>
      <c r="D735" s="589" t="s">
        <v>100</v>
      </c>
      <c r="E735" s="589" t="s">
        <v>104</v>
      </c>
      <c r="F735" s="589" t="s">
        <v>112</v>
      </c>
      <c r="G735" s="589" t="s">
        <v>51</v>
      </c>
      <c r="H735" s="589" t="s">
        <v>242</v>
      </c>
      <c r="I735" s="589" t="s">
        <v>2022</v>
      </c>
      <c r="J735" s="589" t="s">
        <v>35</v>
      </c>
      <c r="K735" s="591">
        <v>747.13099999999997</v>
      </c>
      <c r="L735" s="592">
        <f>IF(J735="TND",1,IF(J735="EUR",Vertical_Cash_flow!$C$16,IF(J735="USD",Vertical_Cash_flow!$F$16,0)))</f>
        <v>1</v>
      </c>
      <c r="M735" s="593">
        <f t="shared" si="48"/>
        <v>747.13099999999997</v>
      </c>
      <c r="N735" s="589" t="s">
        <v>251</v>
      </c>
      <c r="O735" s="594">
        <v>45380</v>
      </c>
      <c r="P735" s="593">
        <f t="shared" si="49"/>
        <v>-93</v>
      </c>
      <c r="Q735" s="594">
        <v>45473</v>
      </c>
      <c r="R735" s="593">
        <f t="shared" ca="1" si="50"/>
        <v>-32</v>
      </c>
      <c r="S735" s="589" t="str">
        <f>VLOOKUP(Q735,Mapping!L:M,2,0)</f>
        <v>W27_2024</v>
      </c>
      <c r="T735" s="589" t="str">
        <f t="shared" ca="1" si="51"/>
        <v>Not Due</v>
      </c>
      <c r="W735" s="591"/>
    </row>
    <row r="736" spans="1:23" s="589" customFormat="1" x14ac:dyDescent="0.2">
      <c r="A736" s="589" t="s">
        <v>56</v>
      </c>
      <c r="B736" s="589" t="s">
        <v>348</v>
      </c>
      <c r="C736" s="590" t="s">
        <v>1621</v>
      </c>
      <c r="D736" s="589" t="s">
        <v>100</v>
      </c>
      <c r="E736" s="589" t="s">
        <v>104</v>
      </c>
      <c r="F736" s="589" t="s">
        <v>112</v>
      </c>
      <c r="G736" s="589" t="s">
        <v>51</v>
      </c>
      <c r="H736" s="589" t="s">
        <v>242</v>
      </c>
      <c r="I736" s="589" t="s">
        <v>2023</v>
      </c>
      <c r="J736" s="589" t="s">
        <v>35</v>
      </c>
      <c r="K736" s="591">
        <v>4000</v>
      </c>
      <c r="L736" s="592">
        <f>IF(J736="TND",1,IF(J736="EUR",Vertical_Cash_flow!$C$16,IF(J736="USD",Vertical_Cash_flow!$F$16,0)))</f>
        <v>1</v>
      </c>
      <c r="M736" s="593">
        <f t="shared" si="48"/>
        <v>4000</v>
      </c>
      <c r="N736" s="589" t="s">
        <v>251</v>
      </c>
      <c r="O736" s="594">
        <v>45380</v>
      </c>
      <c r="P736" s="593">
        <f t="shared" si="49"/>
        <v>-93</v>
      </c>
      <c r="Q736" s="594">
        <v>45473</v>
      </c>
      <c r="R736" s="593">
        <f t="shared" ca="1" si="50"/>
        <v>-32</v>
      </c>
      <c r="S736" s="589" t="str">
        <f>VLOOKUP(Q736,Mapping!L:M,2,0)</f>
        <v>W27_2024</v>
      </c>
      <c r="T736" s="589" t="str">
        <f t="shared" ca="1" si="51"/>
        <v>Not Due</v>
      </c>
      <c r="W736" s="591"/>
    </row>
    <row r="737" spans="1:23" s="589" customFormat="1" x14ac:dyDescent="0.2">
      <c r="A737" s="589" t="s">
        <v>56</v>
      </c>
      <c r="B737" s="589" t="s">
        <v>401</v>
      </c>
      <c r="C737" s="590" t="s">
        <v>3176</v>
      </c>
      <c r="D737" s="589" t="s">
        <v>100</v>
      </c>
      <c r="E737" s="589" t="s">
        <v>104</v>
      </c>
      <c r="F737" s="589" t="s">
        <v>112</v>
      </c>
      <c r="G737" s="589" t="s">
        <v>51</v>
      </c>
      <c r="H737" s="589" t="s">
        <v>242</v>
      </c>
      <c r="I737" s="589" t="s">
        <v>3359</v>
      </c>
      <c r="J737" s="589" t="s">
        <v>35</v>
      </c>
      <c r="K737" s="591">
        <v>3388.797</v>
      </c>
      <c r="L737" s="592">
        <f>IF(J737="TND",1,IF(J737="EUR",Vertical_Cash_flow!$C$16,IF(J737="USD",Vertical_Cash_flow!$F$16,0)))</f>
        <v>1</v>
      </c>
      <c r="M737" s="593">
        <f t="shared" si="48"/>
        <v>3388.797</v>
      </c>
      <c r="N737" s="589" t="s">
        <v>251</v>
      </c>
      <c r="O737" s="594">
        <v>45415</v>
      </c>
      <c r="P737" s="593">
        <f t="shared" si="49"/>
        <v>-58</v>
      </c>
      <c r="Q737" s="594">
        <v>45473</v>
      </c>
      <c r="R737" s="593">
        <f t="shared" ca="1" si="50"/>
        <v>-32</v>
      </c>
      <c r="S737" s="589" t="str">
        <f>VLOOKUP(Q737,Mapping!L:M,2,0)</f>
        <v>W27_2024</v>
      </c>
      <c r="T737" s="589" t="str">
        <f t="shared" ca="1" si="51"/>
        <v>Not Due</v>
      </c>
      <c r="W737" s="591"/>
    </row>
    <row r="738" spans="1:23" s="589" customFormat="1" x14ac:dyDescent="0.2">
      <c r="A738" s="589" t="s">
        <v>56</v>
      </c>
      <c r="B738" s="589" t="s">
        <v>565</v>
      </c>
      <c r="C738" s="590" t="s">
        <v>3175</v>
      </c>
      <c r="D738" s="589" t="s">
        <v>100</v>
      </c>
      <c r="E738" s="589" t="s">
        <v>104</v>
      </c>
      <c r="F738" s="589" t="s">
        <v>112</v>
      </c>
      <c r="G738" s="589" t="s">
        <v>51</v>
      </c>
      <c r="H738" s="589" t="s">
        <v>242</v>
      </c>
      <c r="I738" s="589" t="s">
        <v>3358</v>
      </c>
      <c r="J738" s="589" t="s">
        <v>35</v>
      </c>
      <c r="K738" s="591">
        <v>2234.8090000000002</v>
      </c>
      <c r="L738" s="592">
        <f>IF(J738="TND",1,IF(J738="EUR",Vertical_Cash_flow!$C$16,IF(J738="USD",Vertical_Cash_flow!$F$16,0)))</f>
        <v>1</v>
      </c>
      <c r="M738" s="593">
        <f t="shared" si="48"/>
        <v>2234.8090000000002</v>
      </c>
      <c r="N738" s="589" t="s">
        <v>251</v>
      </c>
      <c r="O738" s="594">
        <v>45411</v>
      </c>
      <c r="P738" s="593">
        <f t="shared" si="49"/>
        <v>-62</v>
      </c>
      <c r="Q738" s="594">
        <v>45473</v>
      </c>
      <c r="R738" s="593">
        <f t="shared" ca="1" si="50"/>
        <v>-32</v>
      </c>
      <c r="S738" s="589" t="str">
        <f>VLOOKUP(Q738,Mapping!L:M,2,0)</f>
        <v>W27_2024</v>
      </c>
      <c r="T738" s="589" t="str">
        <f t="shared" ca="1" si="51"/>
        <v>Not Due</v>
      </c>
      <c r="W738" s="591"/>
    </row>
    <row r="739" spans="1:23" s="589" customFormat="1" x14ac:dyDescent="0.2">
      <c r="A739" s="589" t="s">
        <v>56</v>
      </c>
      <c r="B739" s="589" t="s">
        <v>523</v>
      </c>
      <c r="C739" s="590" t="s">
        <v>2501</v>
      </c>
      <c r="D739" s="589" t="s">
        <v>100</v>
      </c>
      <c r="E739" s="589" t="s">
        <v>104</v>
      </c>
      <c r="F739" s="589" t="s">
        <v>112</v>
      </c>
      <c r="G739" s="589" t="s">
        <v>51</v>
      </c>
      <c r="H739" s="589" t="s">
        <v>242</v>
      </c>
      <c r="I739" s="589" t="s">
        <v>2823</v>
      </c>
      <c r="J739" s="589" t="s">
        <v>35</v>
      </c>
      <c r="K739" s="591">
        <v>1257</v>
      </c>
      <c r="L739" s="592">
        <f>IF(J739="TND",1,IF(J739="EUR",Vertical_Cash_flow!$C$16,IF(J739="USD",Vertical_Cash_flow!$F$16,0)))</f>
        <v>1</v>
      </c>
      <c r="M739" s="593">
        <f t="shared" si="48"/>
        <v>1257</v>
      </c>
      <c r="N739" s="589" t="s">
        <v>251</v>
      </c>
      <c r="O739" s="594">
        <v>45408</v>
      </c>
      <c r="P739" s="593">
        <f t="shared" si="49"/>
        <v>-65</v>
      </c>
      <c r="Q739" s="594">
        <v>45473</v>
      </c>
      <c r="R739" s="593">
        <f t="shared" ca="1" si="50"/>
        <v>-32</v>
      </c>
      <c r="S739" s="589" t="str">
        <f>VLOOKUP(Q739,Mapping!L:M,2,0)</f>
        <v>W27_2024</v>
      </c>
      <c r="T739" s="589" t="str">
        <f t="shared" ca="1" si="51"/>
        <v>Not Due</v>
      </c>
      <c r="W739" s="591"/>
    </row>
    <row r="740" spans="1:23" s="589" customFormat="1" x14ac:dyDescent="0.2">
      <c r="A740" s="589" t="s">
        <v>56</v>
      </c>
      <c r="B740" s="589" t="s">
        <v>492</v>
      </c>
      <c r="C740" s="590" t="s">
        <v>1618</v>
      </c>
      <c r="D740" s="589" t="s">
        <v>100</v>
      </c>
      <c r="E740" s="589" t="s">
        <v>104</v>
      </c>
      <c r="F740" s="589" t="s">
        <v>112</v>
      </c>
      <c r="G740" s="589" t="s">
        <v>51</v>
      </c>
      <c r="H740" s="589" t="s">
        <v>242</v>
      </c>
      <c r="I740" s="589" t="s">
        <v>2020</v>
      </c>
      <c r="J740" s="589" t="s">
        <v>35</v>
      </c>
      <c r="K740" s="591">
        <v>2201.3270000000002</v>
      </c>
      <c r="L740" s="592">
        <f>IF(J740="TND",1,IF(J740="EUR",Vertical_Cash_flow!$C$16,IF(J740="USD",Vertical_Cash_flow!$F$16,0)))</f>
        <v>1</v>
      </c>
      <c r="M740" s="593">
        <f t="shared" si="48"/>
        <v>2201.3270000000002</v>
      </c>
      <c r="N740" s="589" t="s">
        <v>251</v>
      </c>
      <c r="O740" s="594">
        <v>45370</v>
      </c>
      <c r="P740" s="593">
        <f t="shared" si="49"/>
        <v>-103</v>
      </c>
      <c r="Q740" s="594">
        <v>45473</v>
      </c>
      <c r="R740" s="593">
        <f t="shared" ca="1" si="50"/>
        <v>-32</v>
      </c>
      <c r="S740" s="589" t="str">
        <f>VLOOKUP(Q740,Mapping!L:M,2,0)</f>
        <v>W27_2024</v>
      </c>
      <c r="T740" s="589" t="str">
        <f t="shared" ca="1" si="51"/>
        <v>Not Due</v>
      </c>
      <c r="W740" s="591"/>
    </row>
    <row r="741" spans="1:23" s="589" customFormat="1" x14ac:dyDescent="0.2">
      <c r="A741" s="589" t="s">
        <v>56</v>
      </c>
      <c r="B741" s="589" t="s">
        <v>793</v>
      </c>
      <c r="C741" s="590" t="s">
        <v>2505</v>
      </c>
      <c r="D741" s="589" t="s">
        <v>100</v>
      </c>
      <c r="E741" s="589" t="s">
        <v>104</v>
      </c>
      <c r="F741" s="589" t="s">
        <v>112</v>
      </c>
      <c r="G741" s="589" t="s">
        <v>51</v>
      </c>
      <c r="H741" s="589" t="s">
        <v>242</v>
      </c>
      <c r="I741" s="589" t="s">
        <v>2827</v>
      </c>
      <c r="J741" s="589" t="s">
        <v>35</v>
      </c>
      <c r="K741" s="591">
        <v>3000</v>
      </c>
      <c r="L741" s="592">
        <f>IF(J741="TND",1,IF(J741="EUR",Vertical_Cash_flow!$C$16,IF(J741="USD",Vertical_Cash_flow!$F$16,0)))</f>
        <v>1</v>
      </c>
      <c r="M741" s="593">
        <f t="shared" si="48"/>
        <v>3000</v>
      </c>
      <c r="N741" s="589" t="s">
        <v>251</v>
      </c>
      <c r="O741" s="594">
        <v>45400</v>
      </c>
      <c r="P741" s="593">
        <f t="shared" si="49"/>
        <v>-73</v>
      </c>
      <c r="Q741" s="594">
        <v>45473</v>
      </c>
      <c r="R741" s="593">
        <f t="shared" ca="1" si="50"/>
        <v>-32</v>
      </c>
      <c r="S741" s="589" t="str">
        <f>VLOOKUP(Q741,Mapping!L:M,2,0)</f>
        <v>W27_2024</v>
      </c>
      <c r="T741" s="589" t="str">
        <f t="shared" ca="1" si="51"/>
        <v>Not Due</v>
      </c>
      <c r="W741" s="591"/>
    </row>
    <row r="742" spans="1:23" s="589" customFormat="1" x14ac:dyDescent="0.2">
      <c r="A742" s="589" t="s">
        <v>56</v>
      </c>
      <c r="B742" s="589" t="s">
        <v>769</v>
      </c>
      <c r="C742" s="590" t="s">
        <v>2500</v>
      </c>
      <c r="D742" s="589" t="s">
        <v>100</v>
      </c>
      <c r="E742" s="589" t="s">
        <v>104</v>
      </c>
      <c r="F742" s="589" t="s">
        <v>112</v>
      </c>
      <c r="G742" s="589" t="s">
        <v>51</v>
      </c>
      <c r="H742" s="589" t="s">
        <v>242</v>
      </c>
      <c r="I742" s="589" t="s">
        <v>2822</v>
      </c>
      <c r="J742" s="589" t="s">
        <v>35</v>
      </c>
      <c r="K742" s="591">
        <v>243.49199999999999</v>
      </c>
      <c r="L742" s="592">
        <f>IF(J742="TND",1,IF(J742="EUR",Vertical_Cash_flow!$C$16,IF(J742="USD",Vertical_Cash_flow!$F$16,0)))</f>
        <v>1</v>
      </c>
      <c r="M742" s="593">
        <f t="shared" si="48"/>
        <v>243.49199999999999</v>
      </c>
      <c r="N742" s="589" t="s">
        <v>251</v>
      </c>
      <c r="O742" s="594">
        <v>45408</v>
      </c>
      <c r="P742" s="593">
        <f t="shared" si="49"/>
        <v>-65</v>
      </c>
      <c r="Q742" s="594">
        <v>45473</v>
      </c>
      <c r="R742" s="593">
        <f t="shared" ca="1" si="50"/>
        <v>-32</v>
      </c>
      <c r="S742" s="589" t="str">
        <f>VLOOKUP(Q742,Mapping!L:M,2,0)</f>
        <v>W27_2024</v>
      </c>
      <c r="T742" s="589" t="str">
        <f t="shared" ca="1" si="51"/>
        <v>Not Due</v>
      </c>
      <c r="W742" s="591"/>
    </row>
    <row r="743" spans="1:23" s="589" customFormat="1" x14ac:dyDescent="0.2">
      <c r="A743" s="589" t="s">
        <v>56</v>
      </c>
      <c r="B743" s="589" t="s">
        <v>601</v>
      </c>
      <c r="C743" s="590" t="s">
        <v>2502</v>
      </c>
      <c r="D743" s="589" t="s">
        <v>100</v>
      </c>
      <c r="E743" s="589" t="s">
        <v>104</v>
      </c>
      <c r="F743" s="589" t="s">
        <v>112</v>
      </c>
      <c r="G743" s="589" t="s">
        <v>51</v>
      </c>
      <c r="H743" s="589" t="s">
        <v>242</v>
      </c>
      <c r="I743" s="589" t="s">
        <v>2824</v>
      </c>
      <c r="J743" s="589" t="s">
        <v>35</v>
      </c>
      <c r="K743" s="591">
        <v>3591.7460000000001</v>
      </c>
      <c r="L743" s="592">
        <f>IF(J743="TND",1,IF(J743="EUR",Vertical_Cash_flow!$C$16,IF(J743="USD",Vertical_Cash_flow!$F$16,0)))</f>
        <v>1</v>
      </c>
      <c r="M743" s="593">
        <f t="shared" si="48"/>
        <v>3591.7460000000001</v>
      </c>
      <c r="N743" s="589" t="s">
        <v>251</v>
      </c>
      <c r="O743" s="594">
        <v>45407</v>
      </c>
      <c r="P743" s="593">
        <f t="shared" si="49"/>
        <v>-66</v>
      </c>
      <c r="Q743" s="594">
        <v>45473</v>
      </c>
      <c r="R743" s="593">
        <f t="shared" ca="1" si="50"/>
        <v>-32</v>
      </c>
      <c r="S743" s="589" t="str">
        <f>VLOOKUP(Q743,Mapping!L:M,2,0)</f>
        <v>W27_2024</v>
      </c>
      <c r="T743" s="589" t="str">
        <f t="shared" ca="1" si="51"/>
        <v>Not Due</v>
      </c>
      <c r="W743" s="591"/>
    </row>
    <row r="744" spans="1:23" s="589" customFormat="1" x14ac:dyDescent="0.2">
      <c r="A744" s="589" t="s">
        <v>56</v>
      </c>
      <c r="B744" s="589" t="s">
        <v>948</v>
      </c>
      <c r="C744" s="590" t="s">
        <v>2503</v>
      </c>
      <c r="D744" s="589" t="s">
        <v>100</v>
      </c>
      <c r="E744" s="589" t="s">
        <v>104</v>
      </c>
      <c r="F744" s="589" t="s">
        <v>112</v>
      </c>
      <c r="G744" s="589" t="s">
        <v>51</v>
      </c>
      <c r="H744" s="589" t="s">
        <v>242</v>
      </c>
      <c r="I744" s="589" t="s">
        <v>2825</v>
      </c>
      <c r="J744" s="589" t="s">
        <v>35</v>
      </c>
      <c r="K744" s="591">
        <v>5000</v>
      </c>
      <c r="L744" s="592">
        <f>IF(J744="TND",1,IF(J744="EUR",Vertical_Cash_flow!$C$16,IF(J744="USD",Vertical_Cash_flow!$F$16,0)))</f>
        <v>1</v>
      </c>
      <c r="M744" s="593">
        <f t="shared" si="48"/>
        <v>5000</v>
      </c>
      <c r="N744" s="589" t="s">
        <v>251</v>
      </c>
      <c r="O744" s="594">
        <v>45402</v>
      </c>
      <c r="P744" s="593">
        <f t="shared" si="49"/>
        <v>-71</v>
      </c>
      <c r="Q744" s="594">
        <v>45473</v>
      </c>
      <c r="R744" s="593">
        <f t="shared" ca="1" si="50"/>
        <v>-32</v>
      </c>
      <c r="S744" s="589" t="str">
        <f>VLOOKUP(Q744,Mapping!L:M,2,0)</f>
        <v>W27_2024</v>
      </c>
      <c r="T744" s="589" t="str">
        <f t="shared" ca="1" si="51"/>
        <v>Not Due</v>
      </c>
      <c r="W744" s="591"/>
    </row>
    <row r="745" spans="1:23" s="589" customFormat="1" x14ac:dyDescent="0.2">
      <c r="A745" s="589" t="s">
        <v>56</v>
      </c>
      <c r="B745" s="589" t="s">
        <v>400</v>
      </c>
      <c r="C745" s="590" t="s">
        <v>2504</v>
      </c>
      <c r="D745" s="589" t="s">
        <v>100</v>
      </c>
      <c r="E745" s="589" t="s">
        <v>104</v>
      </c>
      <c r="F745" s="589" t="s">
        <v>112</v>
      </c>
      <c r="G745" s="589" t="s">
        <v>51</v>
      </c>
      <c r="H745" s="589" t="s">
        <v>242</v>
      </c>
      <c r="I745" s="589" t="s">
        <v>2826</v>
      </c>
      <c r="J745" s="589" t="s">
        <v>35</v>
      </c>
      <c r="K745" s="591">
        <v>875.44200000000001</v>
      </c>
      <c r="L745" s="592">
        <f>IF(J745="TND",1,IF(J745="EUR",Vertical_Cash_flow!$C$16,IF(J745="USD",Vertical_Cash_flow!$F$16,0)))</f>
        <v>1</v>
      </c>
      <c r="M745" s="593">
        <f t="shared" si="48"/>
        <v>875.44200000000001</v>
      </c>
      <c r="N745" s="589" t="s">
        <v>251</v>
      </c>
      <c r="O745" s="594">
        <v>45401</v>
      </c>
      <c r="P745" s="593">
        <f t="shared" si="49"/>
        <v>-72</v>
      </c>
      <c r="Q745" s="594">
        <v>45473</v>
      </c>
      <c r="R745" s="593">
        <f t="shared" ca="1" si="50"/>
        <v>-32</v>
      </c>
      <c r="S745" s="589" t="str">
        <f>VLOOKUP(Q745,Mapping!L:M,2,0)</f>
        <v>W27_2024</v>
      </c>
      <c r="T745" s="589" t="str">
        <f t="shared" ca="1" si="51"/>
        <v>Not Due</v>
      </c>
      <c r="W745" s="591"/>
    </row>
    <row r="746" spans="1:23" s="589" customFormat="1" x14ac:dyDescent="0.2">
      <c r="A746" s="589" t="s">
        <v>56</v>
      </c>
      <c r="B746" s="589" t="s">
        <v>349</v>
      </c>
      <c r="C746" s="590" t="s">
        <v>1271</v>
      </c>
      <c r="D746" s="589" t="s">
        <v>100</v>
      </c>
      <c r="E746" s="589" t="s">
        <v>104</v>
      </c>
      <c r="F746" s="589" t="s">
        <v>112</v>
      </c>
      <c r="G746" s="589" t="s">
        <v>51</v>
      </c>
      <c r="H746" s="589" t="s">
        <v>242</v>
      </c>
      <c r="I746" s="589" t="s">
        <v>1382</v>
      </c>
      <c r="J746" s="589" t="s">
        <v>35</v>
      </c>
      <c r="K746" s="591">
        <v>9383.991</v>
      </c>
      <c r="L746" s="592">
        <f>IF(J746="TND",1,IF(J746="EUR",Vertical_Cash_flow!$C$16,IF(J746="USD",Vertical_Cash_flow!$F$16,0)))</f>
        <v>1</v>
      </c>
      <c r="M746" s="593">
        <f t="shared" si="48"/>
        <v>9383.991</v>
      </c>
      <c r="N746" s="589" t="s">
        <v>251</v>
      </c>
      <c r="O746" s="594">
        <v>45335</v>
      </c>
      <c r="P746" s="593">
        <f t="shared" si="49"/>
        <v>-138</v>
      </c>
      <c r="Q746" s="594">
        <v>45473</v>
      </c>
      <c r="R746" s="593">
        <f t="shared" ca="1" si="50"/>
        <v>-32</v>
      </c>
      <c r="S746" s="589" t="str">
        <f>VLOOKUP(Q746,Mapping!L:M,2,0)</f>
        <v>W27_2024</v>
      </c>
      <c r="T746" s="589" t="str">
        <f t="shared" ca="1" si="51"/>
        <v>Not Due</v>
      </c>
      <c r="W746" s="591"/>
    </row>
    <row r="747" spans="1:23" s="589" customFormat="1" x14ac:dyDescent="0.2">
      <c r="A747" s="589" t="s">
        <v>56</v>
      </c>
      <c r="B747" s="589" t="s">
        <v>288</v>
      </c>
      <c r="C747" s="590" t="s">
        <v>1056</v>
      </c>
      <c r="D747" s="589" t="s">
        <v>100</v>
      </c>
      <c r="E747" s="589" t="s">
        <v>104</v>
      </c>
      <c r="F747" s="589" t="s">
        <v>112</v>
      </c>
      <c r="G747" s="589" t="s">
        <v>51</v>
      </c>
      <c r="H747" s="589" t="s">
        <v>242</v>
      </c>
      <c r="I747" s="589" t="s">
        <v>1131</v>
      </c>
      <c r="J747" s="589" t="s">
        <v>35</v>
      </c>
      <c r="K747" s="591">
        <v>1290</v>
      </c>
      <c r="L747" s="592">
        <f>IF(J747="TND",1,IF(J747="EUR",Vertical_Cash_flow!$C$16,IF(J747="USD",Vertical_Cash_flow!$F$16,0)))</f>
        <v>1</v>
      </c>
      <c r="M747" s="593">
        <f t="shared" si="48"/>
        <v>1290</v>
      </c>
      <c r="N747" s="589" t="s">
        <v>251</v>
      </c>
      <c r="O747" s="594">
        <v>45322</v>
      </c>
      <c r="P747" s="593">
        <f t="shared" si="49"/>
        <v>-151</v>
      </c>
      <c r="Q747" s="594">
        <v>45473</v>
      </c>
      <c r="R747" s="593">
        <f t="shared" ca="1" si="50"/>
        <v>-32</v>
      </c>
      <c r="S747" s="589" t="str">
        <f>VLOOKUP(Q747,Mapping!L:M,2,0)</f>
        <v>W27_2024</v>
      </c>
      <c r="T747" s="589" t="str">
        <f t="shared" ca="1" si="51"/>
        <v>Not Due</v>
      </c>
      <c r="W747" s="591"/>
    </row>
    <row r="748" spans="1:23" s="589" customFormat="1" x14ac:dyDescent="0.2">
      <c r="A748" s="589" t="s">
        <v>56</v>
      </c>
      <c r="B748" s="589" t="s">
        <v>481</v>
      </c>
      <c r="C748" s="590" t="s">
        <v>1617</v>
      </c>
      <c r="D748" s="589" t="s">
        <v>100</v>
      </c>
      <c r="E748" s="589" t="s">
        <v>104</v>
      </c>
      <c r="F748" s="589" t="s">
        <v>112</v>
      </c>
      <c r="G748" s="589" t="s">
        <v>51</v>
      </c>
      <c r="H748" s="589" t="s">
        <v>242</v>
      </c>
      <c r="I748" s="589" t="s">
        <v>2019</v>
      </c>
      <c r="J748" s="589" t="s">
        <v>35</v>
      </c>
      <c r="K748" s="591">
        <v>5590</v>
      </c>
      <c r="L748" s="592">
        <f>IF(J748="TND",1,IF(J748="EUR",Vertical_Cash_flow!$C$16,IF(J748="USD",Vertical_Cash_flow!$F$16,0)))</f>
        <v>1</v>
      </c>
      <c r="M748" s="593">
        <f t="shared" si="48"/>
        <v>5590</v>
      </c>
      <c r="N748" s="589" t="s">
        <v>251</v>
      </c>
      <c r="O748" s="594">
        <v>45356</v>
      </c>
      <c r="P748" s="593">
        <f t="shared" si="49"/>
        <v>-117</v>
      </c>
      <c r="Q748" s="594">
        <v>45473</v>
      </c>
      <c r="R748" s="593">
        <f t="shared" ca="1" si="50"/>
        <v>-32</v>
      </c>
      <c r="S748" s="589" t="str">
        <f>VLOOKUP(Q748,Mapping!L:M,2,0)</f>
        <v>W27_2024</v>
      </c>
      <c r="T748" s="589" t="str">
        <f t="shared" ca="1" si="51"/>
        <v>Not Due</v>
      </c>
      <c r="W748" s="591"/>
    </row>
    <row r="749" spans="1:23" s="589" customFormat="1" x14ac:dyDescent="0.2">
      <c r="A749" s="589" t="s">
        <v>56</v>
      </c>
      <c r="B749" s="589" t="s">
        <v>398</v>
      </c>
      <c r="C749" s="590" t="s">
        <v>1622</v>
      </c>
      <c r="D749" s="589" t="s">
        <v>100</v>
      </c>
      <c r="E749" s="589" t="s">
        <v>104</v>
      </c>
      <c r="F749" s="589" t="s">
        <v>112</v>
      </c>
      <c r="G749" s="589" t="s">
        <v>51</v>
      </c>
      <c r="H749" s="589" t="s">
        <v>242</v>
      </c>
      <c r="I749" s="589" t="s">
        <v>2024</v>
      </c>
      <c r="J749" s="589" t="s">
        <v>35</v>
      </c>
      <c r="K749" s="591">
        <v>3000</v>
      </c>
      <c r="L749" s="592">
        <f>IF(J749="TND",1,IF(J749="EUR",Vertical_Cash_flow!$C$16,IF(J749="USD",Vertical_Cash_flow!$F$16,0)))</f>
        <v>1</v>
      </c>
      <c r="M749" s="593">
        <f t="shared" si="48"/>
        <v>3000</v>
      </c>
      <c r="N749" s="589" t="s">
        <v>251</v>
      </c>
      <c r="O749" s="594">
        <v>45364</v>
      </c>
      <c r="P749" s="593">
        <f t="shared" si="49"/>
        <v>-109</v>
      </c>
      <c r="Q749" s="594">
        <v>45473</v>
      </c>
      <c r="R749" s="593">
        <f t="shared" ca="1" si="50"/>
        <v>-32</v>
      </c>
      <c r="S749" s="589" t="str">
        <f>VLOOKUP(Q749,Mapping!L:M,2,0)</f>
        <v>W27_2024</v>
      </c>
      <c r="T749" s="589" t="str">
        <f t="shared" ca="1" si="51"/>
        <v>Not Due</v>
      </c>
      <c r="W749" s="591"/>
    </row>
    <row r="750" spans="1:23" s="589" customFormat="1" x14ac:dyDescent="0.2">
      <c r="A750" s="589" t="s">
        <v>56</v>
      </c>
      <c r="B750" s="589" t="s">
        <v>394</v>
      </c>
      <c r="C750" s="590" t="s">
        <v>1270</v>
      </c>
      <c r="D750" s="589" t="s">
        <v>100</v>
      </c>
      <c r="E750" s="589" t="s">
        <v>104</v>
      </c>
      <c r="F750" s="589" t="s">
        <v>112</v>
      </c>
      <c r="G750" s="589" t="s">
        <v>51</v>
      </c>
      <c r="H750" s="589" t="s">
        <v>242</v>
      </c>
      <c r="I750" s="589" t="s">
        <v>1381</v>
      </c>
      <c r="J750" s="589" t="s">
        <v>35</v>
      </c>
      <c r="K750" s="591">
        <v>593.947</v>
      </c>
      <c r="L750" s="592">
        <f>IF(J750="TND",1,IF(J750="EUR",Vertical_Cash_flow!$C$16,IF(J750="USD",Vertical_Cash_flow!$F$16,0)))</f>
        <v>1</v>
      </c>
      <c r="M750" s="593">
        <f t="shared" si="48"/>
        <v>593.947</v>
      </c>
      <c r="N750" s="589" t="s">
        <v>251</v>
      </c>
      <c r="O750" s="594">
        <v>45334</v>
      </c>
      <c r="P750" s="593">
        <f t="shared" si="49"/>
        <v>-139</v>
      </c>
      <c r="Q750" s="594">
        <v>45473</v>
      </c>
      <c r="R750" s="593">
        <f t="shared" ca="1" si="50"/>
        <v>-32</v>
      </c>
      <c r="S750" s="589" t="str">
        <f>VLOOKUP(Q750,Mapping!L:M,2,0)</f>
        <v>W27_2024</v>
      </c>
      <c r="T750" s="589" t="str">
        <f t="shared" ca="1" si="51"/>
        <v>Not Due</v>
      </c>
      <c r="W750" s="591"/>
    </row>
    <row r="751" spans="1:23" s="589" customFormat="1" x14ac:dyDescent="0.2">
      <c r="A751" s="589" t="s">
        <v>56</v>
      </c>
      <c r="B751" s="589" t="s">
        <v>395</v>
      </c>
      <c r="C751" s="590" t="s">
        <v>1615</v>
      </c>
      <c r="D751" s="589" t="s">
        <v>100</v>
      </c>
      <c r="E751" s="589" t="s">
        <v>104</v>
      </c>
      <c r="F751" s="589" t="s">
        <v>112</v>
      </c>
      <c r="G751" s="589" t="s">
        <v>51</v>
      </c>
      <c r="H751" s="589" t="s">
        <v>242</v>
      </c>
      <c r="I751" s="589" t="s">
        <v>2017</v>
      </c>
      <c r="J751" s="589" t="s">
        <v>35</v>
      </c>
      <c r="K751" s="591">
        <v>2771.1260000000002</v>
      </c>
      <c r="L751" s="592">
        <f>IF(J751="TND",1,IF(J751="EUR",Vertical_Cash_flow!$C$16,IF(J751="USD",Vertical_Cash_flow!$F$16,0)))</f>
        <v>1</v>
      </c>
      <c r="M751" s="593">
        <f t="shared" si="48"/>
        <v>2771.1260000000002</v>
      </c>
      <c r="N751" s="589" t="s">
        <v>251</v>
      </c>
      <c r="O751" s="594">
        <v>45359</v>
      </c>
      <c r="P751" s="593">
        <f t="shared" si="49"/>
        <v>-114</v>
      </c>
      <c r="Q751" s="594">
        <v>45473</v>
      </c>
      <c r="R751" s="593">
        <f t="shared" ca="1" si="50"/>
        <v>-32</v>
      </c>
      <c r="S751" s="589" t="str">
        <f>VLOOKUP(Q751,Mapping!L:M,2,0)</f>
        <v>W27_2024</v>
      </c>
      <c r="T751" s="589" t="str">
        <f t="shared" ca="1" si="51"/>
        <v>Not Due</v>
      </c>
      <c r="W751" s="591"/>
    </row>
    <row r="752" spans="1:23" s="589" customFormat="1" x14ac:dyDescent="0.2">
      <c r="A752" s="589" t="s">
        <v>56</v>
      </c>
      <c r="B752" s="589" t="s">
        <v>407</v>
      </c>
      <c r="C752" s="590" t="s">
        <v>2506</v>
      </c>
      <c r="D752" s="589" t="s">
        <v>100</v>
      </c>
      <c r="E752" s="589" t="s">
        <v>104</v>
      </c>
      <c r="F752" s="589" t="s">
        <v>112</v>
      </c>
      <c r="G752" s="589" t="s">
        <v>51</v>
      </c>
      <c r="H752" s="589" t="s">
        <v>242</v>
      </c>
      <c r="I752" s="589" t="s">
        <v>2828</v>
      </c>
      <c r="J752" s="589" t="s">
        <v>35</v>
      </c>
      <c r="K752" s="591">
        <v>7579.62</v>
      </c>
      <c r="L752" s="592">
        <f>IF(J752="TND",1,IF(J752="EUR",Vertical_Cash_flow!$C$16,IF(J752="USD",Vertical_Cash_flow!$F$16,0)))</f>
        <v>1</v>
      </c>
      <c r="M752" s="593">
        <f t="shared" si="48"/>
        <v>7579.62</v>
      </c>
      <c r="N752" s="589" t="s">
        <v>251</v>
      </c>
      <c r="O752" s="594">
        <v>45390</v>
      </c>
      <c r="P752" s="593">
        <f t="shared" si="49"/>
        <v>-83</v>
      </c>
      <c r="Q752" s="594">
        <v>45473</v>
      </c>
      <c r="R752" s="593">
        <f t="shared" ca="1" si="50"/>
        <v>-32</v>
      </c>
      <c r="S752" s="589" t="str">
        <f>VLOOKUP(Q752,Mapping!L:M,2,0)</f>
        <v>W27_2024</v>
      </c>
      <c r="T752" s="589" t="str">
        <f t="shared" ca="1" si="51"/>
        <v>Not Due</v>
      </c>
      <c r="W752" s="591"/>
    </row>
    <row r="753" spans="1:23" s="589" customFormat="1" x14ac:dyDescent="0.2">
      <c r="A753" s="589" t="s">
        <v>56</v>
      </c>
      <c r="B753" s="589" t="s">
        <v>481</v>
      </c>
      <c r="C753" s="590" t="s">
        <v>1619</v>
      </c>
      <c r="D753" s="589" t="s">
        <v>100</v>
      </c>
      <c r="E753" s="589" t="s">
        <v>104</v>
      </c>
      <c r="F753" s="589" t="s">
        <v>112</v>
      </c>
      <c r="G753" s="589" t="s">
        <v>51</v>
      </c>
      <c r="H753" s="589" t="s">
        <v>242</v>
      </c>
      <c r="I753" s="589" t="s">
        <v>2021</v>
      </c>
      <c r="J753" s="589" t="s">
        <v>35</v>
      </c>
      <c r="K753" s="591">
        <v>5590.09</v>
      </c>
      <c r="L753" s="592">
        <f>IF(J753="TND",1,IF(J753="EUR",Vertical_Cash_flow!$C$16,IF(J753="USD",Vertical_Cash_flow!$F$16,0)))</f>
        <v>1</v>
      </c>
      <c r="M753" s="593">
        <f t="shared" si="48"/>
        <v>5590.09</v>
      </c>
      <c r="N753" s="589" t="s">
        <v>251</v>
      </c>
      <c r="O753" s="594">
        <v>45356</v>
      </c>
      <c r="P753" s="593">
        <f t="shared" si="49"/>
        <v>-117</v>
      </c>
      <c r="Q753" s="594">
        <v>45473</v>
      </c>
      <c r="R753" s="593">
        <f t="shared" ca="1" si="50"/>
        <v>-32</v>
      </c>
      <c r="S753" s="589" t="str">
        <f>VLOOKUP(Q753,Mapping!L:M,2,0)</f>
        <v>W27_2024</v>
      </c>
      <c r="T753" s="589" t="str">
        <f t="shared" ca="1" si="51"/>
        <v>Not Due</v>
      </c>
      <c r="W753" s="591"/>
    </row>
    <row r="754" spans="1:23" s="589" customFormat="1" x14ac:dyDescent="0.2">
      <c r="A754" s="589" t="s">
        <v>56</v>
      </c>
      <c r="B754" s="589" t="s">
        <v>808</v>
      </c>
      <c r="C754" s="590" t="s">
        <v>1616</v>
      </c>
      <c r="D754" s="589" t="s">
        <v>100</v>
      </c>
      <c r="E754" s="589" t="s">
        <v>104</v>
      </c>
      <c r="F754" s="589" t="s">
        <v>112</v>
      </c>
      <c r="G754" s="589" t="s">
        <v>51</v>
      </c>
      <c r="H754" s="589" t="s">
        <v>242</v>
      </c>
      <c r="I754" s="589" t="s">
        <v>2018</v>
      </c>
      <c r="J754" s="589" t="s">
        <v>35</v>
      </c>
      <c r="K754" s="591">
        <v>2800</v>
      </c>
      <c r="L754" s="592">
        <f>IF(J754="TND",1,IF(J754="EUR",Vertical_Cash_flow!$C$16,IF(J754="USD",Vertical_Cash_flow!$F$16,0)))</f>
        <v>1</v>
      </c>
      <c r="M754" s="593">
        <f t="shared" si="48"/>
        <v>2800</v>
      </c>
      <c r="N754" s="589" t="s">
        <v>251</v>
      </c>
      <c r="O754" s="594">
        <v>45358</v>
      </c>
      <c r="P754" s="593">
        <f t="shared" si="49"/>
        <v>-115</v>
      </c>
      <c r="Q754" s="594">
        <v>45473</v>
      </c>
      <c r="R754" s="593">
        <f t="shared" ca="1" si="50"/>
        <v>-32</v>
      </c>
      <c r="S754" s="589" t="str">
        <f>VLOOKUP(Q754,Mapping!L:M,2,0)</f>
        <v>W27_2024</v>
      </c>
      <c r="T754" s="589" t="str">
        <f t="shared" ca="1" si="51"/>
        <v>Not Due</v>
      </c>
      <c r="W754" s="591"/>
    </row>
    <row r="755" spans="1:23" s="589" customFormat="1" x14ac:dyDescent="0.2">
      <c r="A755" s="589" t="s">
        <v>56</v>
      </c>
      <c r="B755" s="589" t="s">
        <v>397</v>
      </c>
      <c r="C755" s="590" t="s">
        <v>1614</v>
      </c>
      <c r="D755" s="589" t="s">
        <v>100</v>
      </c>
      <c r="E755" s="589" t="s">
        <v>104</v>
      </c>
      <c r="F755" s="589" t="s">
        <v>112</v>
      </c>
      <c r="G755" s="589" t="s">
        <v>51</v>
      </c>
      <c r="H755" s="589" t="s">
        <v>242</v>
      </c>
      <c r="I755" s="589" t="s">
        <v>2016</v>
      </c>
      <c r="J755" s="589" t="s">
        <v>35</v>
      </c>
      <c r="K755" s="591">
        <v>5011.6270000000004</v>
      </c>
      <c r="L755" s="592">
        <f>IF(J755="TND",1,IF(J755="EUR",Vertical_Cash_flow!$C$16,IF(J755="USD",Vertical_Cash_flow!$F$16,0)))</f>
        <v>1</v>
      </c>
      <c r="M755" s="593">
        <f t="shared" si="48"/>
        <v>5011.6270000000004</v>
      </c>
      <c r="N755" s="589" t="s">
        <v>251</v>
      </c>
      <c r="O755" s="594">
        <v>45362</v>
      </c>
      <c r="P755" s="593">
        <f t="shared" si="49"/>
        <v>-111</v>
      </c>
      <c r="Q755" s="594">
        <v>45473</v>
      </c>
      <c r="R755" s="593">
        <f t="shared" ca="1" si="50"/>
        <v>-32</v>
      </c>
      <c r="S755" s="589" t="str">
        <f>VLOOKUP(Q755,Mapping!L:M,2,0)</f>
        <v>W27_2024</v>
      </c>
      <c r="T755" s="589" t="str">
        <f t="shared" ca="1" si="51"/>
        <v>Not Due</v>
      </c>
      <c r="W755" s="591"/>
    </row>
    <row r="756" spans="1:23" s="589" customFormat="1" x14ac:dyDescent="0.2">
      <c r="A756" s="589" t="s">
        <v>56</v>
      </c>
      <c r="B756" s="589" t="s">
        <v>392</v>
      </c>
      <c r="C756" s="590" t="s">
        <v>1623</v>
      </c>
      <c r="D756" s="589" t="s">
        <v>100</v>
      </c>
      <c r="E756" s="589" t="s">
        <v>104</v>
      </c>
      <c r="F756" s="589" t="s">
        <v>112</v>
      </c>
      <c r="G756" s="589" t="s">
        <v>51</v>
      </c>
      <c r="H756" s="589" t="s">
        <v>242</v>
      </c>
      <c r="I756" s="589" t="s">
        <v>2025</v>
      </c>
      <c r="J756" s="589" t="s">
        <v>35</v>
      </c>
      <c r="K756" s="591">
        <v>3850</v>
      </c>
      <c r="L756" s="592">
        <f>IF(J756="TND",1,IF(J756="EUR",Vertical_Cash_flow!$C$16,IF(J756="USD",Vertical_Cash_flow!$F$16,0)))</f>
        <v>1</v>
      </c>
      <c r="M756" s="593">
        <f t="shared" si="48"/>
        <v>3850</v>
      </c>
      <c r="N756" s="589" t="s">
        <v>251</v>
      </c>
      <c r="O756" s="594">
        <v>45348</v>
      </c>
      <c r="P756" s="593">
        <f t="shared" si="49"/>
        <v>-125</v>
      </c>
      <c r="Q756" s="594">
        <v>45473</v>
      </c>
      <c r="R756" s="593">
        <f t="shared" ca="1" si="50"/>
        <v>-32</v>
      </c>
      <c r="S756" s="589" t="str">
        <f>VLOOKUP(Q756,Mapping!L:M,2,0)</f>
        <v>W27_2024</v>
      </c>
      <c r="T756" s="589" t="str">
        <f t="shared" ca="1" si="51"/>
        <v>Not Due</v>
      </c>
      <c r="W756" s="591"/>
    </row>
    <row r="757" spans="1:23" s="589" customFormat="1" x14ac:dyDescent="0.2">
      <c r="A757" s="589" t="s">
        <v>56</v>
      </c>
      <c r="B757" s="589" t="s">
        <v>347</v>
      </c>
      <c r="C757" s="590" t="s">
        <v>2497</v>
      </c>
      <c r="D757" s="589" t="s">
        <v>100</v>
      </c>
      <c r="E757" s="589" t="s">
        <v>104</v>
      </c>
      <c r="F757" s="589" t="s">
        <v>112</v>
      </c>
      <c r="G757" s="589" t="s">
        <v>51</v>
      </c>
      <c r="H757" s="589" t="s">
        <v>242</v>
      </c>
      <c r="I757" s="589" t="s">
        <v>2819</v>
      </c>
      <c r="J757" s="589" t="s">
        <v>35</v>
      </c>
      <c r="K757" s="591">
        <v>4727.0029999999997</v>
      </c>
      <c r="L757" s="592">
        <f>IF(J757="TND",1,IF(J757="EUR",Vertical_Cash_flow!$C$16,IF(J757="USD",Vertical_Cash_flow!$F$16,0)))</f>
        <v>1</v>
      </c>
      <c r="M757" s="593">
        <f t="shared" si="48"/>
        <v>4727.0029999999997</v>
      </c>
      <c r="N757" s="589" t="s">
        <v>251</v>
      </c>
      <c r="O757" s="594">
        <v>45408</v>
      </c>
      <c r="P757" s="593">
        <f t="shared" si="49"/>
        <v>-65</v>
      </c>
      <c r="Q757" s="594">
        <v>45473</v>
      </c>
      <c r="R757" s="593">
        <f t="shared" ca="1" si="50"/>
        <v>-32</v>
      </c>
      <c r="S757" s="589" t="str">
        <f>VLOOKUP(Q757,Mapping!L:M,2,0)</f>
        <v>W27_2024</v>
      </c>
      <c r="T757" s="589" t="str">
        <f t="shared" ca="1" si="51"/>
        <v>Not Due</v>
      </c>
      <c r="W757" s="591"/>
    </row>
    <row r="758" spans="1:23" s="589" customFormat="1" x14ac:dyDescent="0.2">
      <c r="A758" s="589" t="s">
        <v>56</v>
      </c>
      <c r="B758" s="589" t="s">
        <v>637</v>
      </c>
      <c r="C758" s="590" t="s">
        <v>2498</v>
      </c>
      <c r="D758" s="589" t="s">
        <v>100</v>
      </c>
      <c r="E758" s="589" t="s">
        <v>104</v>
      </c>
      <c r="F758" s="589" t="s">
        <v>112</v>
      </c>
      <c r="G758" s="589" t="s">
        <v>51</v>
      </c>
      <c r="H758" s="589" t="s">
        <v>242</v>
      </c>
      <c r="I758" s="589" t="s">
        <v>2820</v>
      </c>
      <c r="J758" s="589" t="s">
        <v>35</v>
      </c>
      <c r="K758" s="591">
        <v>2725.7820000000002</v>
      </c>
      <c r="L758" s="592">
        <f>IF(J758="TND",1,IF(J758="EUR",Vertical_Cash_flow!$C$16,IF(J758="USD",Vertical_Cash_flow!$F$16,0)))</f>
        <v>1</v>
      </c>
      <c r="M758" s="593">
        <f t="shared" si="48"/>
        <v>2725.7820000000002</v>
      </c>
      <c r="N758" s="589" t="s">
        <v>251</v>
      </c>
      <c r="O758" s="594">
        <v>45401</v>
      </c>
      <c r="P758" s="593">
        <f t="shared" si="49"/>
        <v>-72</v>
      </c>
      <c r="Q758" s="594">
        <v>45473</v>
      </c>
      <c r="R758" s="593">
        <f t="shared" ca="1" si="50"/>
        <v>-32</v>
      </c>
      <c r="S758" s="589" t="str">
        <f>VLOOKUP(Q758,Mapping!L:M,2,0)</f>
        <v>W27_2024</v>
      </c>
      <c r="T758" s="589" t="str">
        <f t="shared" ca="1" si="51"/>
        <v>Not Due</v>
      </c>
      <c r="W758" s="591"/>
    </row>
    <row r="759" spans="1:23" s="589" customFormat="1" x14ac:dyDescent="0.2">
      <c r="A759" s="589" t="s">
        <v>56</v>
      </c>
      <c r="B759" s="589" t="s">
        <v>1244</v>
      </c>
      <c r="C759" s="590" t="s">
        <v>2499</v>
      </c>
      <c r="D759" s="589" t="s">
        <v>100</v>
      </c>
      <c r="E759" s="589" t="s">
        <v>104</v>
      </c>
      <c r="F759" s="589" t="s">
        <v>112</v>
      </c>
      <c r="G759" s="589" t="s">
        <v>51</v>
      </c>
      <c r="H759" s="589" t="s">
        <v>242</v>
      </c>
      <c r="I759" s="589" t="s">
        <v>2821</v>
      </c>
      <c r="J759" s="589" t="s">
        <v>35</v>
      </c>
      <c r="K759" s="591">
        <v>700</v>
      </c>
      <c r="L759" s="592">
        <f>IF(J759="TND",1,IF(J759="EUR",Vertical_Cash_flow!$C$16,IF(J759="USD",Vertical_Cash_flow!$F$16,0)))</f>
        <v>1</v>
      </c>
      <c r="M759" s="593">
        <f t="shared" si="48"/>
        <v>700</v>
      </c>
      <c r="N759" s="589" t="s">
        <v>251</v>
      </c>
      <c r="O759" s="594">
        <v>45399</v>
      </c>
      <c r="P759" s="593">
        <f t="shared" si="49"/>
        <v>-74</v>
      </c>
      <c r="Q759" s="594">
        <v>45473</v>
      </c>
      <c r="R759" s="593">
        <f t="shared" ca="1" si="50"/>
        <v>-32</v>
      </c>
      <c r="S759" s="589" t="str">
        <f>VLOOKUP(Q759,Mapping!L:M,2,0)</f>
        <v>W27_2024</v>
      </c>
      <c r="T759" s="589" t="str">
        <f t="shared" ca="1" si="51"/>
        <v>Not Due</v>
      </c>
      <c r="W759" s="591"/>
    </row>
    <row r="760" spans="1:23" s="589" customFormat="1" x14ac:dyDescent="0.2">
      <c r="A760" s="589" t="s">
        <v>56</v>
      </c>
      <c r="B760" s="589" t="s">
        <v>1048</v>
      </c>
      <c r="C760" s="590" t="s">
        <v>1612</v>
      </c>
      <c r="D760" s="589" t="s">
        <v>100</v>
      </c>
      <c r="E760" s="589" t="s">
        <v>104</v>
      </c>
      <c r="F760" s="589" t="s">
        <v>112</v>
      </c>
      <c r="G760" s="589" t="s">
        <v>51</v>
      </c>
      <c r="H760" s="589" t="s">
        <v>242</v>
      </c>
      <c r="I760" s="589" t="s">
        <v>2015</v>
      </c>
      <c r="J760" s="589" t="s">
        <v>35</v>
      </c>
      <c r="K760" s="591">
        <v>600</v>
      </c>
      <c r="L760" s="592">
        <f>IF(J760="TND",1,IF(J760="EUR",Vertical_Cash_flow!$C$16,IF(J760="USD",Vertical_Cash_flow!$F$16,0)))</f>
        <v>1</v>
      </c>
      <c r="M760" s="593">
        <f t="shared" si="48"/>
        <v>600</v>
      </c>
      <c r="N760" s="589" t="s">
        <v>251</v>
      </c>
      <c r="O760" s="594">
        <v>45380</v>
      </c>
      <c r="P760" s="593">
        <f t="shared" si="49"/>
        <v>-93</v>
      </c>
      <c r="Q760" s="594">
        <v>45473</v>
      </c>
      <c r="R760" s="593">
        <f t="shared" ca="1" si="50"/>
        <v>-32</v>
      </c>
      <c r="S760" s="589" t="str">
        <f>VLOOKUP(Q760,Mapping!L:M,2,0)</f>
        <v>W27_2024</v>
      </c>
      <c r="T760" s="589" t="str">
        <f t="shared" ca="1" si="51"/>
        <v>Not Due</v>
      </c>
      <c r="W760" s="591"/>
    </row>
    <row r="761" spans="1:23" s="589" customFormat="1" x14ac:dyDescent="0.2">
      <c r="A761" s="589" t="s">
        <v>56</v>
      </c>
      <c r="B761" s="589" t="s">
        <v>387</v>
      </c>
      <c r="C761" s="590" t="s">
        <v>1613</v>
      </c>
      <c r="D761" s="589" t="s">
        <v>100</v>
      </c>
      <c r="E761" s="589" t="s">
        <v>104</v>
      </c>
      <c r="F761" s="589" t="s">
        <v>112</v>
      </c>
      <c r="G761" s="589" t="s">
        <v>51</v>
      </c>
      <c r="H761" s="589" t="s">
        <v>242</v>
      </c>
      <c r="I761" s="589" t="s">
        <v>999</v>
      </c>
      <c r="J761" s="589" t="s">
        <v>35</v>
      </c>
      <c r="K761" s="591">
        <v>1780.886</v>
      </c>
      <c r="L761" s="592">
        <f>IF(J761="TND",1,IF(J761="EUR",Vertical_Cash_flow!$C$16,IF(J761="USD",Vertical_Cash_flow!$F$16,0)))</f>
        <v>1</v>
      </c>
      <c r="M761" s="593">
        <f t="shared" si="48"/>
        <v>1780.886</v>
      </c>
      <c r="N761" s="589" t="s">
        <v>251</v>
      </c>
      <c r="O761" s="594">
        <v>45349</v>
      </c>
      <c r="P761" s="593">
        <f t="shared" si="49"/>
        <v>-124</v>
      </c>
      <c r="Q761" s="594">
        <v>45473</v>
      </c>
      <c r="R761" s="593">
        <f t="shared" ca="1" si="50"/>
        <v>-32</v>
      </c>
      <c r="S761" s="589" t="str">
        <f>VLOOKUP(Q761,Mapping!L:M,2,0)</f>
        <v>W27_2024</v>
      </c>
      <c r="T761" s="589" t="str">
        <f t="shared" ca="1" si="51"/>
        <v>Not Due</v>
      </c>
      <c r="W761" s="591"/>
    </row>
    <row r="762" spans="1:23" s="589" customFormat="1" x14ac:dyDescent="0.2">
      <c r="A762" s="589" t="s">
        <v>56</v>
      </c>
      <c r="B762" s="589" t="s">
        <v>343</v>
      </c>
      <c r="C762" s="590" t="s">
        <v>1611</v>
      </c>
      <c r="D762" s="589" t="s">
        <v>100</v>
      </c>
      <c r="E762" s="589" t="s">
        <v>104</v>
      </c>
      <c r="F762" s="589" t="s">
        <v>112</v>
      </c>
      <c r="G762" s="589" t="s">
        <v>51</v>
      </c>
      <c r="H762" s="589" t="s">
        <v>242</v>
      </c>
      <c r="I762" s="589" t="s">
        <v>2014</v>
      </c>
      <c r="J762" s="589" t="s">
        <v>35</v>
      </c>
      <c r="K762" s="591">
        <v>1855.86</v>
      </c>
      <c r="L762" s="592">
        <f>IF(J762="TND",1,IF(J762="EUR",Vertical_Cash_flow!$C$16,IF(J762="USD",Vertical_Cash_flow!$F$16,0)))</f>
        <v>1</v>
      </c>
      <c r="M762" s="593">
        <f t="shared" si="48"/>
        <v>1855.86</v>
      </c>
      <c r="N762" s="589" t="s">
        <v>251</v>
      </c>
      <c r="O762" s="594">
        <v>45373</v>
      </c>
      <c r="P762" s="593">
        <f t="shared" si="49"/>
        <v>-100</v>
      </c>
      <c r="Q762" s="594">
        <v>45473</v>
      </c>
      <c r="R762" s="593">
        <f t="shared" ca="1" si="50"/>
        <v>-32</v>
      </c>
      <c r="S762" s="589" t="str">
        <f>VLOOKUP(Q762,Mapping!L:M,2,0)</f>
        <v>W27_2024</v>
      </c>
      <c r="T762" s="589" t="str">
        <f t="shared" ca="1" si="51"/>
        <v>Not Due</v>
      </c>
      <c r="W762" s="591"/>
    </row>
    <row r="763" spans="1:23" s="589" customFormat="1" x14ac:dyDescent="0.2">
      <c r="A763" s="589" t="s">
        <v>56</v>
      </c>
      <c r="B763" s="589" t="s">
        <v>532</v>
      </c>
      <c r="C763" s="590" t="s">
        <v>3172</v>
      </c>
      <c r="D763" s="589" t="s">
        <v>100</v>
      </c>
      <c r="E763" s="589" t="s">
        <v>104</v>
      </c>
      <c r="F763" s="589" t="s">
        <v>112</v>
      </c>
      <c r="G763" s="589" t="s">
        <v>51</v>
      </c>
      <c r="H763" s="589" t="s">
        <v>242</v>
      </c>
      <c r="I763" s="589" t="s">
        <v>3356</v>
      </c>
      <c r="J763" s="589" t="s">
        <v>35</v>
      </c>
      <c r="K763" s="591">
        <v>1500</v>
      </c>
      <c r="L763" s="592">
        <f>IF(J763="TND",1,IF(J763="EUR",Vertical_Cash_flow!$C$16,IF(J763="USD",Vertical_Cash_flow!$F$16,0)))</f>
        <v>1</v>
      </c>
      <c r="M763" s="593">
        <f t="shared" si="48"/>
        <v>1500</v>
      </c>
      <c r="N763" s="589" t="s">
        <v>251</v>
      </c>
      <c r="O763" s="594">
        <v>45412</v>
      </c>
      <c r="P763" s="593">
        <f t="shared" si="49"/>
        <v>-61</v>
      </c>
      <c r="Q763" s="594">
        <v>45473</v>
      </c>
      <c r="R763" s="593">
        <f t="shared" ca="1" si="50"/>
        <v>-32</v>
      </c>
      <c r="S763" s="589" t="str">
        <f>VLOOKUP(Q763,Mapping!L:M,2,0)</f>
        <v>W27_2024</v>
      </c>
      <c r="T763" s="589" t="str">
        <f t="shared" ca="1" si="51"/>
        <v>Not Due</v>
      </c>
      <c r="W763" s="591"/>
    </row>
    <row r="764" spans="1:23" s="589" customFormat="1" x14ac:dyDescent="0.2">
      <c r="A764" s="589" t="s">
        <v>56</v>
      </c>
      <c r="B764" s="589" t="s">
        <v>629</v>
      </c>
      <c r="C764" s="590" t="s">
        <v>1610</v>
      </c>
      <c r="D764" s="589" t="s">
        <v>100</v>
      </c>
      <c r="E764" s="589" t="s">
        <v>104</v>
      </c>
      <c r="F764" s="589" t="s">
        <v>112</v>
      </c>
      <c r="G764" s="589" t="s">
        <v>51</v>
      </c>
      <c r="H764" s="589" t="s">
        <v>242</v>
      </c>
      <c r="I764" s="589" t="s">
        <v>2013</v>
      </c>
      <c r="J764" s="589" t="s">
        <v>35</v>
      </c>
      <c r="K764" s="591">
        <v>2509.837</v>
      </c>
      <c r="L764" s="592">
        <f>IF(J764="TND",1,IF(J764="EUR",Vertical_Cash_flow!$C$16,IF(J764="USD",Vertical_Cash_flow!$F$16,0)))</f>
        <v>1</v>
      </c>
      <c r="M764" s="593">
        <f t="shared" si="48"/>
        <v>2509.837</v>
      </c>
      <c r="N764" s="589" t="s">
        <v>251</v>
      </c>
      <c r="O764" s="594">
        <v>45380</v>
      </c>
      <c r="P764" s="593">
        <f t="shared" si="49"/>
        <v>-93</v>
      </c>
      <c r="Q764" s="594">
        <v>45473</v>
      </c>
      <c r="R764" s="593">
        <f t="shared" ca="1" si="50"/>
        <v>-32</v>
      </c>
      <c r="S764" s="589" t="str">
        <f>VLOOKUP(Q764,Mapping!L:M,2,0)</f>
        <v>W27_2024</v>
      </c>
      <c r="T764" s="589" t="str">
        <f t="shared" ca="1" si="51"/>
        <v>Not Due</v>
      </c>
      <c r="W764" s="591"/>
    </row>
    <row r="765" spans="1:23" s="589" customFormat="1" x14ac:dyDescent="0.2">
      <c r="A765" s="589" t="s">
        <v>56</v>
      </c>
      <c r="B765" s="589" t="s">
        <v>1246</v>
      </c>
      <c r="C765" s="590" t="s">
        <v>3173</v>
      </c>
      <c r="D765" s="589" t="s">
        <v>100</v>
      </c>
      <c r="E765" s="589" t="s">
        <v>104</v>
      </c>
      <c r="F765" s="589" t="s">
        <v>112</v>
      </c>
      <c r="G765" s="589" t="s">
        <v>51</v>
      </c>
      <c r="H765" s="589" t="s">
        <v>242</v>
      </c>
      <c r="I765" s="589" t="s">
        <v>1456</v>
      </c>
      <c r="J765" s="589" t="s">
        <v>35</v>
      </c>
      <c r="K765" s="591">
        <v>5695.8310000000001</v>
      </c>
      <c r="L765" s="592">
        <f>IF(J765="TND",1,IF(J765="EUR",Vertical_Cash_flow!$C$16,IF(J765="USD",Vertical_Cash_flow!$F$16,0)))</f>
        <v>1</v>
      </c>
      <c r="M765" s="593">
        <f t="shared" si="48"/>
        <v>5695.8310000000001</v>
      </c>
      <c r="N765" s="589" t="s">
        <v>251</v>
      </c>
      <c r="O765" s="594">
        <v>45412</v>
      </c>
      <c r="P765" s="593">
        <f t="shared" si="49"/>
        <v>-61</v>
      </c>
      <c r="Q765" s="594">
        <v>45473</v>
      </c>
      <c r="R765" s="593">
        <f t="shared" ca="1" si="50"/>
        <v>-32</v>
      </c>
      <c r="S765" s="589" t="str">
        <f>VLOOKUP(Q765,Mapping!L:M,2,0)</f>
        <v>W27_2024</v>
      </c>
      <c r="T765" s="589" t="str">
        <f t="shared" ca="1" si="51"/>
        <v>Not Due</v>
      </c>
      <c r="W765" s="591"/>
    </row>
    <row r="766" spans="1:23" s="589" customFormat="1" x14ac:dyDescent="0.2">
      <c r="A766" s="589" t="s">
        <v>56</v>
      </c>
      <c r="B766" s="589" t="s">
        <v>279</v>
      </c>
      <c r="C766" s="590" t="s">
        <v>1268</v>
      </c>
      <c r="D766" s="589" t="s">
        <v>100</v>
      </c>
      <c r="E766" s="589" t="s">
        <v>104</v>
      </c>
      <c r="F766" s="589" t="s">
        <v>112</v>
      </c>
      <c r="G766" s="589" t="s">
        <v>51</v>
      </c>
      <c r="H766" s="589" t="s">
        <v>242</v>
      </c>
      <c r="I766" s="589" t="s">
        <v>1379</v>
      </c>
      <c r="J766" s="589" t="s">
        <v>35</v>
      </c>
      <c r="K766" s="591">
        <v>4000</v>
      </c>
      <c r="L766" s="592">
        <f>IF(J766="TND",1,IF(J766="EUR",Vertical_Cash_flow!$C$16,IF(J766="USD",Vertical_Cash_flow!$F$16,0)))</f>
        <v>1</v>
      </c>
      <c r="M766" s="593">
        <f t="shared" si="48"/>
        <v>4000</v>
      </c>
      <c r="N766" s="589" t="s">
        <v>251</v>
      </c>
      <c r="O766" s="594">
        <v>45341</v>
      </c>
      <c r="P766" s="593">
        <f t="shared" si="49"/>
        <v>-132</v>
      </c>
      <c r="Q766" s="594">
        <v>45473</v>
      </c>
      <c r="R766" s="593">
        <f t="shared" ca="1" si="50"/>
        <v>-32</v>
      </c>
      <c r="S766" s="589" t="str">
        <f>VLOOKUP(Q766,Mapping!L:M,2,0)</f>
        <v>W27_2024</v>
      </c>
      <c r="T766" s="589" t="str">
        <f t="shared" ca="1" si="51"/>
        <v>Not Due</v>
      </c>
      <c r="W766" s="591"/>
    </row>
    <row r="767" spans="1:23" s="589" customFormat="1" x14ac:dyDescent="0.2">
      <c r="A767" s="589" t="s">
        <v>56</v>
      </c>
      <c r="B767" s="589" t="s">
        <v>605</v>
      </c>
      <c r="C767" s="590" t="s">
        <v>1269</v>
      </c>
      <c r="D767" s="589" t="s">
        <v>100</v>
      </c>
      <c r="E767" s="589" t="s">
        <v>104</v>
      </c>
      <c r="F767" s="589" t="s">
        <v>112</v>
      </c>
      <c r="G767" s="589" t="s">
        <v>51</v>
      </c>
      <c r="H767" s="589" t="s">
        <v>242</v>
      </c>
      <c r="I767" s="589" t="s">
        <v>1380</v>
      </c>
      <c r="J767" s="589" t="s">
        <v>35</v>
      </c>
      <c r="K767" s="591">
        <v>4500</v>
      </c>
      <c r="L767" s="592">
        <f>IF(J767="TND",1,IF(J767="EUR",Vertical_Cash_flow!$C$16,IF(J767="USD",Vertical_Cash_flow!$F$16,0)))</f>
        <v>1</v>
      </c>
      <c r="M767" s="593">
        <f t="shared" si="48"/>
        <v>4500</v>
      </c>
      <c r="N767" s="589" t="s">
        <v>251</v>
      </c>
      <c r="O767" s="594">
        <v>45343</v>
      </c>
      <c r="P767" s="593">
        <f t="shared" si="49"/>
        <v>-130</v>
      </c>
      <c r="Q767" s="594">
        <v>45473</v>
      </c>
      <c r="R767" s="593">
        <f t="shared" ca="1" si="50"/>
        <v>-32</v>
      </c>
      <c r="S767" s="589" t="str">
        <f>VLOOKUP(Q767,Mapping!L:M,2,0)</f>
        <v>W27_2024</v>
      </c>
      <c r="T767" s="589" t="str">
        <f t="shared" ca="1" si="51"/>
        <v>Not Due</v>
      </c>
      <c r="W767" s="591"/>
    </row>
    <row r="768" spans="1:23" s="589" customFormat="1" x14ac:dyDescent="0.2">
      <c r="A768" s="589" t="s">
        <v>56</v>
      </c>
      <c r="B768" s="589" t="s">
        <v>572</v>
      </c>
      <c r="C768" s="590" t="s">
        <v>3537</v>
      </c>
      <c r="D768" s="589" t="s">
        <v>100</v>
      </c>
      <c r="E768" s="589" t="s">
        <v>104</v>
      </c>
      <c r="F768" s="589" t="s">
        <v>112</v>
      </c>
      <c r="G768" s="589" t="s">
        <v>51</v>
      </c>
      <c r="H768" s="589" t="s">
        <v>242</v>
      </c>
      <c r="I768" s="589" t="s">
        <v>3687</v>
      </c>
      <c r="J768" s="589" t="s">
        <v>35</v>
      </c>
      <c r="K768" s="591">
        <v>205.18600000000001</v>
      </c>
      <c r="L768" s="592">
        <f>IF(J768="TND",1,IF(J768="EUR",Vertical_Cash_flow!$C$16,IF(J768="USD",Vertical_Cash_flow!$F$16,0)))</f>
        <v>1</v>
      </c>
      <c r="M768" s="593">
        <f t="shared" si="48"/>
        <v>205.18600000000001</v>
      </c>
      <c r="N768" s="589" t="s">
        <v>251</v>
      </c>
      <c r="O768" s="594">
        <v>45426</v>
      </c>
      <c r="P768" s="593">
        <f t="shared" si="49"/>
        <v>-47</v>
      </c>
      <c r="Q768" s="594">
        <v>45473</v>
      </c>
      <c r="R768" s="593">
        <f t="shared" ca="1" si="50"/>
        <v>-32</v>
      </c>
      <c r="S768" s="589" t="str">
        <f>VLOOKUP(Q768,Mapping!L:M,2,0)</f>
        <v>W27_2024</v>
      </c>
      <c r="T768" s="589" t="str">
        <f t="shared" ca="1" si="51"/>
        <v>Not Due</v>
      </c>
      <c r="W768" s="591"/>
    </row>
    <row r="769" spans="1:23" s="589" customFormat="1" x14ac:dyDescent="0.2">
      <c r="A769" s="589" t="s">
        <v>56</v>
      </c>
      <c r="B769" s="589" t="s">
        <v>3009</v>
      </c>
      <c r="C769" s="590" t="s">
        <v>3171</v>
      </c>
      <c r="D769" s="589" t="s">
        <v>100</v>
      </c>
      <c r="E769" s="589" t="s">
        <v>104</v>
      </c>
      <c r="F769" s="589" t="s">
        <v>112</v>
      </c>
      <c r="G769" s="589" t="s">
        <v>51</v>
      </c>
      <c r="H769" s="589" t="s">
        <v>242</v>
      </c>
      <c r="I769" s="589" t="s">
        <v>3355</v>
      </c>
      <c r="J769" s="589" t="s">
        <v>35</v>
      </c>
      <c r="K769" s="591">
        <v>209.577</v>
      </c>
      <c r="L769" s="592">
        <f>IF(J769="TND",1,IF(J769="EUR",Vertical_Cash_flow!$C$16,IF(J769="USD",Vertical_Cash_flow!$F$16,0)))</f>
        <v>1</v>
      </c>
      <c r="M769" s="593">
        <f t="shared" si="48"/>
        <v>209.577</v>
      </c>
      <c r="N769" s="589" t="s">
        <v>251</v>
      </c>
      <c r="O769" s="594">
        <v>45418</v>
      </c>
      <c r="P769" s="593">
        <f t="shared" si="49"/>
        <v>-55</v>
      </c>
      <c r="Q769" s="594">
        <v>45473</v>
      </c>
      <c r="R769" s="593">
        <f t="shared" ca="1" si="50"/>
        <v>-32</v>
      </c>
      <c r="S769" s="589" t="str">
        <f>VLOOKUP(Q769,Mapping!L:M,2,0)</f>
        <v>W27_2024</v>
      </c>
      <c r="T769" s="589" t="str">
        <f t="shared" ca="1" si="51"/>
        <v>Not Due</v>
      </c>
      <c r="W769" s="591"/>
    </row>
    <row r="770" spans="1:23" s="589" customFormat="1" x14ac:dyDescent="0.2">
      <c r="A770" s="589" t="s">
        <v>56</v>
      </c>
      <c r="B770" s="589" t="s">
        <v>322</v>
      </c>
      <c r="C770" s="590" t="s">
        <v>1608</v>
      </c>
      <c r="D770" s="589" t="s">
        <v>100</v>
      </c>
      <c r="E770" s="589" t="s">
        <v>104</v>
      </c>
      <c r="F770" s="589" t="s">
        <v>112</v>
      </c>
      <c r="G770" s="589" t="s">
        <v>51</v>
      </c>
      <c r="H770" s="589" t="s">
        <v>242</v>
      </c>
      <c r="I770" s="589" t="s">
        <v>2011</v>
      </c>
      <c r="J770" s="589" t="s">
        <v>35</v>
      </c>
      <c r="K770" s="591">
        <v>3913.8870000000002</v>
      </c>
      <c r="L770" s="592">
        <f>IF(J770="TND",1,IF(J770="EUR",Vertical_Cash_flow!$C$16,IF(J770="USD",Vertical_Cash_flow!$F$16,0)))</f>
        <v>1</v>
      </c>
      <c r="M770" s="593">
        <f t="shared" si="48"/>
        <v>3913.8870000000002</v>
      </c>
      <c r="N770" s="589" t="s">
        <v>251</v>
      </c>
      <c r="O770" s="594">
        <v>45379</v>
      </c>
      <c r="P770" s="593">
        <f t="shared" si="49"/>
        <v>-94</v>
      </c>
      <c r="Q770" s="594">
        <v>45473</v>
      </c>
      <c r="R770" s="593">
        <f t="shared" ca="1" si="50"/>
        <v>-32</v>
      </c>
      <c r="S770" s="589" t="str">
        <f>VLOOKUP(Q770,Mapping!L:M,2,0)</f>
        <v>W27_2024</v>
      </c>
      <c r="T770" s="589" t="str">
        <f t="shared" ca="1" si="51"/>
        <v>Not Due</v>
      </c>
      <c r="W770" s="591"/>
    </row>
    <row r="771" spans="1:23" s="589" customFormat="1" x14ac:dyDescent="0.2">
      <c r="A771" s="589" t="s">
        <v>56</v>
      </c>
      <c r="B771" s="589" t="s">
        <v>1243</v>
      </c>
      <c r="C771" s="590" t="s">
        <v>1609</v>
      </c>
      <c r="D771" s="589" t="s">
        <v>100</v>
      </c>
      <c r="E771" s="589" t="s">
        <v>104</v>
      </c>
      <c r="F771" s="589" t="s">
        <v>112</v>
      </c>
      <c r="G771" s="589" t="s">
        <v>51</v>
      </c>
      <c r="H771" s="589" t="s">
        <v>242</v>
      </c>
      <c r="I771" s="589" t="s">
        <v>2012</v>
      </c>
      <c r="J771" s="589" t="s">
        <v>35</v>
      </c>
      <c r="K771" s="591">
        <v>2770</v>
      </c>
      <c r="L771" s="592">
        <f>IF(J771="TND",1,IF(J771="EUR",Vertical_Cash_flow!$C$16,IF(J771="USD",Vertical_Cash_flow!$F$16,0)))</f>
        <v>1</v>
      </c>
      <c r="M771" s="593">
        <f t="shared" si="48"/>
        <v>2770</v>
      </c>
      <c r="N771" s="589" t="s">
        <v>251</v>
      </c>
      <c r="O771" s="594">
        <v>45372</v>
      </c>
      <c r="P771" s="593">
        <f t="shared" si="49"/>
        <v>-101</v>
      </c>
      <c r="Q771" s="594">
        <v>45473</v>
      </c>
      <c r="R771" s="593">
        <f t="shared" ca="1" si="50"/>
        <v>-32</v>
      </c>
      <c r="S771" s="589" t="str">
        <f>VLOOKUP(Q771,Mapping!L:M,2,0)</f>
        <v>W27_2024</v>
      </c>
      <c r="T771" s="589" t="str">
        <f t="shared" ca="1" si="51"/>
        <v>Not Due</v>
      </c>
      <c r="W771" s="591"/>
    </row>
    <row r="772" spans="1:23" s="589" customFormat="1" x14ac:dyDescent="0.2">
      <c r="A772" s="589" t="s">
        <v>56</v>
      </c>
      <c r="B772" s="589" t="s">
        <v>373</v>
      </c>
      <c r="C772" s="590" t="s">
        <v>2494</v>
      </c>
      <c r="D772" s="589" t="s">
        <v>100</v>
      </c>
      <c r="E772" s="589" t="s">
        <v>104</v>
      </c>
      <c r="F772" s="589" t="s">
        <v>112</v>
      </c>
      <c r="G772" s="589" t="s">
        <v>51</v>
      </c>
      <c r="H772" s="589" t="s">
        <v>242</v>
      </c>
      <c r="I772" s="589" t="s">
        <v>2816</v>
      </c>
      <c r="J772" s="589" t="s">
        <v>35</v>
      </c>
      <c r="K772" s="591">
        <v>1706.643</v>
      </c>
      <c r="L772" s="592">
        <f>IF(J772="TND",1,IF(J772="EUR",Vertical_Cash_flow!$C$16,IF(J772="USD",Vertical_Cash_flow!$F$16,0)))</f>
        <v>1</v>
      </c>
      <c r="M772" s="593">
        <f t="shared" si="48"/>
        <v>1706.643</v>
      </c>
      <c r="N772" s="589" t="s">
        <v>251</v>
      </c>
      <c r="O772" s="594">
        <v>45408</v>
      </c>
      <c r="P772" s="593">
        <f t="shared" si="49"/>
        <v>-65</v>
      </c>
      <c r="Q772" s="594">
        <v>45473</v>
      </c>
      <c r="R772" s="593">
        <f t="shared" ca="1" si="50"/>
        <v>-32</v>
      </c>
      <c r="S772" s="589" t="str">
        <f>VLOOKUP(Q772,Mapping!L:M,2,0)</f>
        <v>W27_2024</v>
      </c>
      <c r="T772" s="589" t="str">
        <f t="shared" ca="1" si="51"/>
        <v>Not Due</v>
      </c>
      <c r="W772" s="591"/>
    </row>
    <row r="773" spans="1:23" s="589" customFormat="1" x14ac:dyDescent="0.2">
      <c r="A773" s="589" t="s">
        <v>56</v>
      </c>
      <c r="B773" s="589" t="s">
        <v>324</v>
      </c>
      <c r="C773" s="590" t="s">
        <v>2493</v>
      </c>
      <c r="D773" s="589" t="s">
        <v>100</v>
      </c>
      <c r="E773" s="589" t="s">
        <v>104</v>
      </c>
      <c r="F773" s="589" t="s">
        <v>112</v>
      </c>
      <c r="G773" s="589" t="s">
        <v>51</v>
      </c>
      <c r="H773" s="589" t="s">
        <v>242</v>
      </c>
      <c r="I773" s="589" t="s">
        <v>2815</v>
      </c>
      <c r="J773" s="589" t="s">
        <v>35</v>
      </c>
      <c r="K773" s="591">
        <v>2448.5329999999999</v>
      </c>
      <c r="L773" s="592">
        <f>IF(J773="TND",1,IF(J773="EUR",Vertical_Cash_flow!$C$16,IF(J773="USD",Vertical_Cash_flow!$F$16,0)))</f>
        <v>1</v>
      </c>
      <c r="M773" s="593">
        <f t="shared" si="48"/>
        <v>2448.5329999999999</v>
      </c>
      <c r="N773" s="589" t="s">
        <v>251</v>
      </c>
      <c r="O773" s="594">
        <v>45408</v>
      </c>
      <c r="P773" s="593">
        <f t="shared" si="49"/>
        <v>-65</v>
      </c>
      <c r="Q773" s="594">
        <v>45473</v>
      </c>
      <c r="R773" s="593">
        <f t="shared" ca="1" si="50"/>
        <v>-32</v>
      </c>
      <c r="S773" s="589" t="str">
        <f>VLOOKUP(Q773,Mapping!L:M,2,0)</f>
        <v>W27_2024</v>
      </c>
      <c r="T773" s="589" t="str">
        <f t="shared" ca="1" si="51"/>
        <v>Not Due</v>
      </c>
      <c r="W773" s="591"/>
    </row>
    <row r="774" spans="1:23" s="589" customFormat="1" x14ac:dyDescent="0.2">
      <c r="A774" s="589" t="s">
        <v>56</v>
      </c>
      <c r="B774" s="589" t="s">
        <v>2333</v>
      </c>
      <c r="C774" s="590" t="s">
        <v>2495</v>
      </c>
      <c r="D774" s="589" t="s">
        <v>100</v>
      </c>
      <c r="E774" s="589" t="s">
        <v>104</v>
      </c>
      <c r="F774" s="589" t="s">
        <v>112</v>
      </c>
      <c r="G774" s="589" t="s">
        <v>51</v>
      </c>
      <c r="H774" s="589" t="s">
        <v>242</v>
      </c>
      <c r="I774" s="589" t="s">
        <v>2817</v>
      </c>
      <c r="J774" s="589" t="s">
        <v>35</v>
      </c>
      <c r="K774" s="591">
        <v>329.976</v>
      </c>
      <c r="L774" s="592">
        <f>IF(J774="TND",1,IF(J774="EUR",Vertical_Cash_flow!$C$16,IF(J774="USD",Vertical_Cash_flow!$F$16,0)))</f>
        <v>1</v>
      </c>
      <c r="M774" s="593">
        <f t="shared" si="48"/>
        <v>329.976</v>
      </c>
      <c r="N774" s="589" t="s">
        <v>251</v>
      </c>
      <c r="O774" s="594">
        <v>45397</v>
      </c>
      <c r="P774" s="593">
        <f t="shared" si="49"/>
        <v>-76</v>
      </c>
      <c r="Q774" s="594">
        <v>45473</v>
      </c>
      <c r="R774" s="593">
        <f t="shared" ca="1" si="50"/>
        <v>-32</v>
      </c>
      <c r="S774" s="589" t="str">
        <f>VLOOKUP(Q774,Mapping!L:M,2,0)</f>
        <v>W27_2024</v>
      </c>
      <c r="T774" s="589" t="str">
        <f t="shared" ca="1" si="51"/>
        <v>Not Due</v>
      </c>
      <c r="W774" s="591"/>
    </row>
    <row r="775" spans="1:23" s="589" customFormat="1" x14ac:dyDescent="0.2">
      <c r="A775" s="589" t="s">
        <v>56</v>
      </c>
      <c r="B775" s="589" t="s">
        <v>323</v>
      </c>
      <c r="C775" s="590" t="s">
        <v>2496</v>
      </c>
      <c r="D775" s="589" t="s">
        <v>100</v>
      </c>
      <c r="E775" s="589" t="s">
        <v>104</v>
      </c>
      <c r="F775" s="589" t="s">
        <v>112</v>
      </c>
      <c r="G775" s="589" t="s">
        <v>51</v>
      </c>
      <c r="H775" s="589" t="s">
        <v>242</v>
      </c>
      <c r="I775" s="589" t="s">
        <v>2818</v>
      </c>
      <c r="J775" s="589" t="s">
        <v>35</v>
      </c>
      <c r="K775" s="591">
        <v>5569.8220000000001</v>
      </c>
      <c r="L775" s="592">
        <f>IF(J775="TND",1,IF(J775="EUR",Vertical_Cash_flow!$C$16,IF(J775="USD",Vertical_Cash_flow!$F$16,0)))</f>
        <v>1</v>
      </c>
      <c r="M775" s="593">
        <f t="shared" si="48"/>
        <v>5569.8220000000001</v>
      </c>
      <c r="N775" s="589" t="s">
        <v>251</v>
      </c>
      <c r="O775" s="594">
        <v>45395</v>
      </c>
      <c r="P775" s="593">
        <f t="shared" si="49"/>
        <v>-78</v>
      </c>
      <c r="Q775" s="594">
        <v>45473</v>
      </c>
      <c r="R775" s="593">
        <f t="shared" ca="1" si="50"/>
        <v>-32</v>
      </c>
      <c r="S775" s="589" t="str">
        <f>VLOOKUP(Q775,Mapping!L:M,2,0)</f>
        <v>W27_2024</v>
      </c>
      <c r="T775" s="589" t="str">
        <f t="shared" ca="1" si="51"/>
        <v>Not Due</v>
      </c>
      <c r="W775" s="591"/>
    </row>
    <row r="776" spans="1:23" s="589" customFormat="1" x14ac:dyDescent="0.2">
      <c r="A776" s="589" t="s">
        <v>56</v>
      </c>
      <c r="B776" s="589" t="s">
        <v>375</v>
      </c>
      <c r="C776" s="590" t="s">
        <v>1607</v>
      </c>
      <c r="D776" s="589" t="s">
        <v>100</v>
      </c>
      <c r="E776" s="589" t="s">
        <v>104</v>
      </c>
      <c r="F776" s="589" t="s">
        <v>112</v>
      </c>
      <c r="G776" s="589" t="s">
        <v>51</v>
      </c>
      <c r="H776" s="589" t="s">
        <v>242</v>
      </c>
      <c r="I776" s="589" t="s">
        <v>2010</v>
      </c>
      <c r="J776" s="589" t="s">
        <v>35</v>
      </c>
      <c r="K776" s="591">
        <v>2547</v>
      </c>
      <c r="L776" s="592">
        <f>IF(J776="TND",1,IF(J776="EUR",Vertical_Cash_flow!$C$16,IF(J776="USD",Vertical_Cash_flow!$F$16,0)))</f>
        <v>1</v>
      </c>
      <c r="M776" s="593">
        <f t="shared" si="48"/>
        <v>2547</v>
      </c>
      <c r="N776" s="589" t="s">
        <v>251</v>
      </c>
      <c r="O776" s="594">
        <v>45373</v>
      </c>
      <c r="P776" s="593">
        <f t="shared" si="49"/>
        <v>-100</v>
      </c>
      <c r="Q776" s="594">
        <v>45473</v>
      </c>
      <c r="R776" s="593">
        <f t="shared" ca="1" si="50"/>
        <v>-32</v>
      </c>
      <c r="S776" s="589" t="str">
        <f>VLOOKUP(Q776,Mapping!L:M,2,0)</f>
        <v>W27_2024</v>
      </c>
      <c r="T776" s="589" t="str">
        <f t="shared" ca="1" si="51"/>
        <v>Not Due</v>
      </c>
      <c r="W776" s="591"/>
    </row>
    <row r="777" spans="1:23" s="589" customFormat="1" x14ac:dyDescent="0.2">
      <c r="A777" s="589" t="s">
        <v>56</v>
      </c>
      <c r="B777" s="589" t="s">
        <v>587</v>
      </c>
      <c r="C777" s="590" t="s">
        <v>2487</v>
      </c>
      <c r="D777" s="589" t="s">
        <v>100</v>
      </c>
      <c r="E777" s="589" t="s">
        <v>104</v>
      </c>
      <c r="F777" s="589" t="s">
        <v>112</v>
      </c>
      <c r="G777" s="589" t="s">
        <v>51</v>
      </c>
      <c r="H777" s="589" t="s">
        <v>242</v>
      </c>
      <c r="I777" s="589" t="s">
        <v>2811</v>
      </c>
      <c r="J777" s="589" t="s">
        <v>35</v>
      </c>
      <c r="K777" s="591">
        <v>3457.7719999999999</v>
      </c>
      <c r="L777" s="592">
        <f>IF(J777="TND",1,IF(J777="EUR",Vertical_Cash_flow!$C$16,IF(J777="USD",Vertical_Cash_flow!$F$16,0)))</f>
        <v>1</v>
      </c>
      <c r="M777" s="593">
        <f t="shared" si="48"/>
        <v>3457.7719999999999</v>
      </c>
      <c r="N777" s="589" t="s">
        <v>251</v>
      </c>
      <c r="O777" s="594">
        <v>45408</v>
      </c>
      <c r="P777" s="593">
        <f t="shared" si="49"/>
        <v>-65</v>
      </c>
      <c r="Q777" s="594">
        <v>45473</v>
      </c>
      <c r="R777" s="593">
        <f t="shared" ca="1" si="50"/>
        <v>-32</v>
      </c>
      <c r="S777" s="589" t="str">
        <f>VLOOKUP(Q777,Mapping!L:M,2,0)</f>
        <v>W27_2024</v>
      </c>
      <c r="T777" s="589" t="str">
        <f t="shared" ca="1" si="51"/>
        <v>Not Due</v>
      </c>
      <c r="W777" s="591"/>
    </row>
    <row r="778" spans="1:23" s="589" customFormat="1" x14ac:dyDescent="0.2">
      <c r="A778" s="589" t="s">
        <v>56</v>
      </c>
      <c r="B778" s="589" t="s">
        <v>573</v>
      </c>
      <c r="C778" s="590" t="s">
        <v>2492</v>
      </c>
      <c r="D778" s="589" t="s">
        <v>100</v>
      </c>
      <c r="E778" s="589" t="s">
        <v>104</v>
      </c>
      <c r="F778" s="589" t="s">
        <v>112</v>
      </c>
      <c r="G778" s="589" t="s">
        <v>51</v>
      </c>
      <c r="H778" s="589" t="s">
        <v>242</v>
      </c>
      <c r="I778" s="589" t="s">
        <v>861</v>
      </c>
      <c r="J778" s="589" t="s">
        <v>35</v>
      </c>
      <c r="K778" s="591">
        <v>2323.047</v>
      </c>
      <c r="L778" s="592">
        <f>IF(J778="TND",1,IF(J778="EUR",Vertical_Cash_flow!$C$16,IF(J778="USD",Vertical_Cash_flow!$F$16,0)))</f>
        <v>1</v>
      </c>
      <c r="M778" s="593">
        <f t="shared" si="48"/>
        <v>2323.047</v>
      </c>
      <c r="N778" s="589" t="s">
        <v>251</v>
      </c>
      <c r="O778" s="594">
        <v>45384</v>
      </c>
      <c r="P778" s="593">
        <f t="shared" si="49"/>
        <v>-89</v>
      </c>
      <c r="Q778" s="594">
        <v>45473</v>
      </c>
      <c r="R778" s="593">
        <f t="shared" ca="1" si="50"/>
        <v>-32</v>
      </c>
      <c r="S778" s="589" t="str">
        <f>VLOOKUP(Q778,Mapping!L:M,2,0)</f>
        <v>W27_2024</v>
      </c>
      <c r="T778" s="589" t="str">
        <f t="shared" ca="1" si="51"/>
        <v>Not Due</v>
      </c>
      <c r="W778" s="591"/>
    </row>
    <row r="779" spans="1:23" s="589" customFormat="1" x14ac:dyDescent="0.2">
      <c r="A779" s="589" t="s">
        <v>56</v>
      </c>
      <c r="B779" s="589" t="s">
        <v>376</v>
      </c>
      <c r="C779" s="590" t="s">
        <v>3170</v>
      </c>
      <c r="D779" s="589" t="s">
        <v>100</v>
      </c>
      <c r="E779" s="589" t="s">
        <v>104</v>
      </c>
      <c r="F779" s="589" t="s">
        <v>112</v>
      </c>
      <c r="G779" s="589" t="s">
        <v>51</v>
      </c>
      <c r="H779" s="589" t="s">
        <v>242</v>
      </c>
      <c r="I779" s="589" t="s">
        <v>3354</v>
      </c>
      <c r="J779" s="589" t="s">
        <v>35</v>
      </c>
      <c r="K779" s="591">
        <v>2601.15</v>
      </c>
      <c r="L779" s="592">
        <f>IF(J779="TND",1,IF(J779="EUR",Vertical_Cash_flow!$C$16,IF(J779="USD",Vertical_Cash_flow!$F$16,0)))</f>
        <v>1</v>
      </c>
      <c r="M779" s="593">
        <f t="shared" si="48"/>
        <v>2601.15</v>
      </c>
      <c r="N779" s="589" t="s">
        <v>251</v>
      </c>
      <c r="O779" s="594">
        <v>45412</v>
      </c>
      <c r="P779" s="593">
        <f t="shared" si="49"/>
        <v>-61</v>
      </c>
      <c r="Q779" s="594">
        <v>45473</v>
      </c>
      <c r="R779" s="593">
        <f t="shared" ca="1" si="50"/>
        <v>-32</v>
      </c>
      <c r="S779" s="589" t="str">
        <f>VLOOKUP(Q779,Mapping!L:M,2,0)</f>
        <v>W27_2024</v>
      </c>
      <c r="T779" s="589" t="str">
        <f t="shared" ca="1" si="51"/>
        <v>Not Due</v>
      </c>
      <c r="W779" s="591"/>
    </row>
    <row r="780" spans="1:23" s="589" customFormat="1" x14ac:dyDescent="0.2">
      <c r="A780" s="589" t="s">
        <v>56</v>
      </c>
      <c r="B780" s="589" t="s">
        <v>333</v>
      </c>
      <c r="C780" s="590" t="s">
        <v>2491</v>
      </c>
      <c r="D780" s="589" t="s">
        <v>100</v>
      </c>
      <c r="E780" s="589" t="s">
        <v>104</v>
      </c>
      <c r="F780" s="589" t="s">
        <v>112</v>
      </c>
      <c r="G780" s="589" t="s">
        <v>51</v>
      </c>
      <c r="H780" s="589" t="s">
        <v>242</v>
      </c>
      <c r="I780" s="589" t="s">
        <v>907</v>
      </c>
      <c r="J780" s="589" t="s">
        <v>35</v>
      </c>
      <c r="K780" s="591">
        <v>7319.701</v>
      </c>
      <c r="L780" s="592">
        <f>IF(J780="TND",1,IF(J780="EUR",Vertical_Cash_flow!$C$16,IF(J780="USD",Vertical_Cash_flow!$F$16,0)))</f>
        <v>1</v>
      </c>
      <c r="M780" s="593">
        <f t="shared" si="48"/>
        <v>7319.701</v>
      </c>
      <c r="N780" s="589" t="s">
        <v>251</v>
      </c>
      <c r="O780" s="594">
        <v>45384</v>
      </c>
      <c r="P780" s="593">
        <f t="shared" si="49"/>
        <v>-89</v>
      </c>
      <c r="Q780" s="594">
        <v>45473</v>
      </c>
      <c r="R780" s="593">
        <f t="shared" ca="1" si="50"/>
        <v>-32</v>
      </c>
      <c r="S780" s="589" t="str">
        <f>VLOOKUP(Q780,Mapping!L:M,2,0)</f>
        <v>W27_2024</v>
      </c>
      <c r="T780" s="589" t="str">
        <f t="shared" ca="1" si="51"/>
        <v>Not Due</v>
      </c>
      <c r="W780" s="591"/>
    </row>
    <row r="781" spans="1:23" s="589" customFormat="1" x14ac:dyDescent="0.2">
      <c r="A781" s="589" t="s">
        <v>56</v>
      </c>
      <c r="B781" s="589" t="s">
        <v>377</v>
      </c>
      <c r="C781" s="590" t="s">
        <v>2488</v>
      </c>
      <c r="D781" s="589" t="s">
        <v>100</v>
      </c>
      <c r="E781" s="589" t="s">
        <v>104</v>
      </c>
      <c r="F781" s="589" t="s">
        <v>112</v>
      </c>
      <c r="G781" s="589" t="s">
        <v>51</v>
      </c>
      <c r="H781" s="589" t="s">
        <v>242</v>
      </c>
      <c r="I781" s="589" t="s">
        <v>2812</v>
      </c>
      <c r="J781" s="589" t="s">
        <v>35</v>
      </c>
      <c r="K781" s="591">
        <v>4068.3359999999998</v>
      </c>
      <c r="L781" s="592">
        <f>IF(J781="TND",1,IF(J781="EUR",Vertical_Cash_flow!$C$16,IF(J781="USD",Vertical_Cash_flow!$F$16,0)))</f>
        <v>1</v>
      </c>
      <c r="M781" s="593">
        <f t="shared" si="48"/>
        <v>4068.3359999999998</v>
      </c>
      <c r="N781" s="589" t="s">
        <v>251</v>
      </c>
      <c r="O781" s="594">
        <v>45399</v>
      </c>
      <c r="P781" s="593">
        <f t="shared" si="49"/>
        <v>-74</v>
      </c>
      <c r="Q781" s="594">
        <v>45473</v>
      </c>
      <c r="R781" s="593">
        <f t="shared" ca="1" si="50"/>
        <v>-32</v>
      </c>
      <c r="S781" s="589" t="str">
        <f>VLOOKUP(Q781,Mapping!L:M,2,0)</f>
        <v>W27_2024</v>
      </c>
      <c r="T781" s="589" t="str">
        <f t="shared" ca="1" si="51"/>
        <v>Not Due</v>
      </c>
      <c r="W781" s="591"/>
    </row>
    <row r="782" spans="1:23" s="589" customFormat="1" x14ac:dyDescent="0.2">
      <c r="A782" s="589" t="s">
        <v>56</v>
      </c>
      <c r="B782" s="589" t="s">
        <v>330</v>
      </c>
      <c r="C782" s="590" t="s">
        <v>2489</v>
      </c>
      <c r="D782" s="589" t="s">
        <v>100</v>
      </c>
      <c r="E782" s="589" t="s">
        <v>104</v>
      </c>
      <c r="F782" s="589" t="s">
        <v>112</v>
      </c>
      <c r="G782" s="589" t="s">
        <v>51</v>
      </c>
      <c r="H782" s="589" t="s">
        <v>242</v>
      </c>
      <c r="I782" s="589" t="s">
        <v>2813</v>
      </c>
      <c r="J782" s="589" t="s">
        <v>35</v>
      </c>
      <c r="K782" s="591">
        <v>4000</v>
      </c>
      <c r="L782" s="592">
        <f>IF(J782="TND",1,IF(J782="EUR",Vertical_Cash_flow!$C$16,IF(J782="USD",Vertical_Cash_flow!$F$16,0)))</f>
        <v>1</v>
      </c>
      <c r="M782" s="593">
        <f t="shared" si="48"/>
        <v>4000</v>
      </c>
      <c r="N782" s="589" t="s">
        <v>251</v>
      </c>
      <c r="O782" s="594">
        <v>45384</v>
      </c>
      <c r="P782" s="593">
        <f t="shared" si="49"/>
        <v>-89</v>
      </c>
      <c r="Q782" s="594">
        <v>45473</v>
      </c>
      <c r="R782" s="593">
        <f t="shared" ca="1" si="50"/>
        <v>-32</v>
      </c>
      <c r="S782" s="589" t="str">
        <f>VLOOKUP(Q782,Mapping!L:M,2,0)</f>
        <v>W27_2024</v>
      </c>
      <c r="T782" s="589" t="str">
        <f t="shared" ca="1" si="51"/>
        <v>Not Due</v>
      </c>
      <c r="W782" s="591"/>
    </row>
    <row r="783" spans="1:23" s="589" customFormat="1" x14ac:dyDescent="0.2">
      <c r="A783" s="589" t="s">
        <v>56</v>
      </c>
      <c r="B783" s="589" t="s">
        <v>331</v>
      </c>
      <c r="C783" s="590" t="s">
        <v>2490</v>
      </c>
      <c r="D783" s="589" t="s">
        <v>100</v>
      </c>
      <c r="E783" s="589" t="s">
        <v>104</v>
      </c>
      <c r="F783" s="589" t="s">
        <v>112</v>
      </c>
      <c r="G783" s="589" t="s">
        <v>51</v>
      </c>
      <c r="H783" s="589" t="s">
        <v>242</v>
      </c>
      <c r="I783" s="589" t="s">
        <v>2814</v>
      </c>
      <c r="J783" s="589" t="s">
        <v>35</v>
      </c>
      <c r="K783" s="591">
        <v>2636</v>
      </c>
      <c r="L783" s="592">
        <f>IF(J783="TND",1,IF(J783="EUR",Vertical_Cash_flow!$C$16,IF(J783="USD",Vertical_Cash_flow!$F$16,0)))</f>
        <v>1</v>
      </c>
      <c r="M783" s="593">
        <f t="shared" si="48"/>
        <v>2636</v>
      </c>
      <c r="N783" s="589" t="s">
        <v>251</v>
      </c>
      <c r="O783" s="594">
        <v>45384</v>
      </c>
      <c r="P783" s="593">
        <f t="shared" si="49"/>
        <v>-89</v>
      </c>
      <c r="Q783" s="594">
        <v>45473</v>
      </c>
      <c r="R783" s="593">
        <f t="shared" ca="1" si="50"/>
        <v>-32</v>
      </c>
      <c r="S783" s="589" t="str">
        <f>VLOOKUP(Q783,Mapping!L:M,2,0)</f>
        <v>W27_2024</v>
      </c>
      <c r="T783" s="589" t="str">
        <f t="shared" ca="1" si="51"/>
        <v>Not Due</v>
      </c>
      <c r="W783" s="591"/>
    </row>
    <row r="784" spans="1:23" s="589" customFormat="1" x14ac:dyDescent="0.2">
      <c r="A784" s="589" t="s">
        <v>56</v>
      </c>
      <c r="B784" s="589" t="s">
        <v>3405</v>
      </c>
      <c r="C784" s="590" t="s">
        <v>3536</v>
      </c>
      <c r="D784" s="589" t="s">
        <v>100</v>
      </c>
      <c r="E784" s="589" t="s">
        <v>104</v>
      </c>
      <c r="F784" s="589" t="s">
        <v>112</v>
      </c>
      <c r="G784" s="589" t="s">
        <v>51</v>
      </c>
      <c r="H784" s="589" t="s">
        <v>242</v>
      </c>
      <c r="I784" s="589" t="s">
        <v>3686</v>
      </c>
      <c r="J784" s="589" t="s">
        <v>35</v>
      </c>
      <c r="K784" s="591">
        <v>7699.375</v>
      </c>
      <c r="L784" s="592">
        <f>IF(J784="TND",1,IF(J784="EUR",Vertical_Cash_flow!$C$16,IF(J784="USD",Vertical_Cash_flow!$F$16,0)))</f>
        <v>1</v>
      </c>
      <c r="M784" s="593">
        <f t="shared" si="48"/>
        <v>7699.375</v>
      </c>
      <c r="N784" s="589" t="s">
        <v>251</v>
      </c>
      <c r="O784" s="594">
        <v>45427</v>
      </c>
      <c r="P784" s="593">
        <f t="shared" si="49"/>
        <v>-46</v>
      </c>
      <c r="Q784" s="594">
        <v>45473</v>
      </c>
      <c r="R784" s="593">
        <f t="shared" ca="1" si="50"/>
        <v>-32</v>
      </c>
      <c r="S784" s="589" t="str">
        <f>VLOOKUP(Q784,Mapping!L:M,2,0)</f>
        <v>W27_2024</v>
      </c>
      <c r="T784" s="589" t="str">
        <f t="shared" ca="1" si="51"/>
        <v>Not Due</v>
      </c>
      <c r="W784" s="591"/>
    </row>
    <row r="785" spans="1:23" s="589" customFormat="1" x14ac:dyDescent="0.2">
      <c r="A785" s="589" t="s">
        <v>56</v>
      </c>
      <c r="B785" s="589" t="s">
        <v>576</v>
      </c>
      <c r="C785" s="590" t="s">
        <v>2486</v>
      </c>
      <c r="D785" s="589" t="s">
        <v>100</v>
      </c>
      <c r="E785" s="589" t="s">
        <v>104</v>
      </c>
      <c r="F785" s="589" t="s">
        <v>112</v>
      </c>
      <c r="G785" s="589" t="s">
        <v>51</v>
      </c>
      <c r="H785" s="589" t="s">
        <v>242</v>
      </c>
      <c r="I785" s="589" t="s">
        <v>2810</v>
      </c>
      <c r="J785" s="589" t="s">
        <v>35</v>
      </c>
      <c r="K785" s="591">
        <v>2896.348</v>
      </c>
      <c r="L785" s="592">
        <f>IF(J785="TND",1,IF(J785="EUR",Vertical_Cash_flow!$C$16,IF(J785="USD",Vertical_Cash_flow!$F$16,0)))</f>
        <v>1</v>
      </c>
      <c r="M785" s="593">
        <f t="shared" si="48"/>
        <v>2896.348</v>
      </c>
      <c r="N785" s="589" t="s">
        <v>251</v>
      </c>
      <c r="O785" s="594">
        <v>45385</v>
      </c>
      <c r="P785" s="593">
        <f t="shared" si="49"/>
        <v>-88</v>
      </c>
      <c r="Q785" s="594">
        <v>45473</v>
      </c>
      <c r="R785" s="593">
        <f t="shared" ca="1" si="50"/>
        <v>-32</v>
      </c>
      <c r="S785" s="589" t="str">
        <f>VLOOKUP(Q785,Mapping!L:M,2,0)</f>
        <v>W27_2024</v>
      </c>
      <c r="T785" s="589" t="str">
        <f t="shared" ca="1" si="51"/>
        <v>Not Due</v>
      </c>
      <c r="W785" s="591"/>
    </row>
    <row r="786" spans="1:23" s="589" customFormat="1" x14ac:dyDescent="0.2">
      <c r="A786" s="589" t="s">
        <v>56</v>
      </c>
      <c r="B786" s="589" t="s">
        <v>336</v>
      </c>
      <c r="C786" s="590" t="s">
        <v>1605</v>
      </c>
      <c r="D786" s="589" t="s">
        <v>100</v>
      </c>
      <c r="E786" s="589" t="s">
        <v>104</v>
      </c>
      <c r="F786" s="589" t="s">
        <v>112</v>
      </c>
      <c r="G786" s="589" t="s">
        <v>51</v>
      </c>
      <c r="H786" s="589" t="s">
        <v>242</v>
      </c>
      <c r="I786" s="589" t="s">
        <v>2008</v>
      </c>
      <c r="J786" s="589" t="s">
        <v>35</v>
      </c>
      <c r="K786" s="591">
        <v>5011.4849999999997</v>
      </c>
      <c r="L786" s="592">
        <f>IF(J786="TND",1,IF(J786="EUR",Vertical_Cash_flow!$C$16,IF(J786="USD",Vertical_Cash_flow!$F$16,0)))</f>
        <v>1</v>
      </c>
      <c r="M786" s="593">
        <f t="shared" si="48"/>
        <v>5011.4849999999997</v>
      </c>
      <c r="N786" s="589" t="s">
        <v>251</v>
      </c>
      <c r="O786" s="594">
        <v>45365</v>
      </c>
      <c r="P786" s="593">
        <f t="shared" si="49"/>
        <v>-108</v>
      </c>
      <c r="Q786" s="594">
        <v>45473</v>
      </c>
      <c r="R786" s="593">
        <f t="shared" ca="1" si="50"/>
        <v>-32</v>
      </c>
      <c r="S786" s="589" t="str">
        <f>VLOOKUP(Q786,Mapping!L:M,2,0)</f>
        <v>W27_2024</v>
      </c>
      <c r="T786" s="589" t="str">
        <f t="shared" ca="1" si="51"/>
        <v>Not Due</v>
      </c>
      <c r="W786" s="591"/>
    </row>
    <row r="787" spans="1:23" s="589" customFormat="1" x14ac:dyDescent="0.2">
      <c r="A787" s="589" t="s">
        <v>56</v>
      </c>
      <c r="B787" s="589" t="s">
        <v>334</v>
      </c>
      <c r="C787" s="590" t="s">
        <v>1604</v>
      </c>
      <c r="D787" s="589" t="s">
        <v>100</v>
      </c>
      <c r="E787" s="589" t="s">
        <v>104</v>
      </c>
      <c r="F787" s="589" t="s">
        <v>112</v>
      </c>
      <c r="G787" s="589" t="s">
        <v>51</v>
      </c>
      <c r="H787" s="589" t="s">
        <v>242</v>
      </c>
      <c r="I787" s="589" t="s">
        <v>2007</v>
      </c>
      <c r="J787" s="589" t="s">
        <v>35</v>
      </c>
      <c r="K787" s="591">
        <v>913.39200000000005</v>
      </c>
      <c r="L787" s="592">
        <f>IF(J787="TND",1,IF(J787="EUR",Vertical_Cash_flow!$C$16,IF(J787="USD",Vertical_Cash_flow!$F$16,0)))</f>
        <v>1</v>
      </c>
      <c r="M787" s="593">
        <f t="shared" si="48"/>
        <v>913.39200000000005</v>
      </c>
      <c r="N787" s="589" t="s">
        <v>251</v>
      </c>
      <c r="O787" s="594">
        <v>45364</v>
      </c>
      <c r="P787" s="593">
        <f t="shared" si="49"/>
        <v>-109</v>
      </c>
      <c r="Q787" s="594">
        <v>45473</v>
      </c>
      <c r="R787" s="593">
        <f t="shared" ca="1" si="50"/>
        <v>-32</v>
      </c>
      <c r="S787" s="589" t="str">
        <f>VLOOKUP(Q787,Mapping!L:M,2,0)</f>
        <v>W27_2024</v>
      </c>
      <c r="T787" s="589" t="str">
        <f t="shared" ca="1" si="51"/>
        <v>Not Due</v>
      </c>
      <c r="W787" s="591"/>
    </row>
    <row r="788" spans="1:23" s="589" customFormat="1" x14ac:dyDescent="0.2">
      <c r="A788" s="589" t="s">
        <v>56</v>
      </c>
      <c r="B788" s="589" t="s">
        <v>335</v>
      </c>
      <c r="C788" s="590" t="s">
        <v>1606</v>
      </c>
      <c r="D788" s="589" t="s">
        <v>100</v>
      </c>
      <c r="E788" s="589" t="s">
        <v>104</v>
      </c>
      <c r="F788" s="589" t="s">
        <v>112</v>
      </c>
      <c r="G788" s="589" t="s">
        <v>51</v>
      </c>
      <c r="H788" s="589" t="s">
        <v>242</v>
      </c>
      <c r="I788" s="589" t="s">
        <v>2009</v>
      </c>
      <c r="J788" s="589" t="s">
        <v>35</v>
      </c>
      <c r="K788" s="591">
        <v>4315.8050000000003</v>
      </c>
      <c r="L788" s="592">
        <f>IF(J788="TND",1,IF(J788="EUR",Vertical_Cash_flow!$C$16,IF(J788="USD",Vertical_Cash_flow!$F$16,0)))</f>
        <v>1</v>
      </c>
      <c r="M788" s="593">
        <f t="shared" si="48"/>
        <v>4315.8050000000003</v>
      </c>
      <c r="N788" s="589" t="s">
        <v>251</v>
      </c>
      <c r="O788" s="594">
        <v>45374</v>
      </c>
      <c r="P788" s="593">
        <f t="shared" si="49"/>
        <v>-99</v>
      </c>
      <c r="Q788" s="594">
        <v>45473</v>
      </c>
      <c r="R788" s="593">
        <f t="shared" ca="1" si="50"/>
        <v>-32</v>
      </c>
      <c r="S788" s="589" t="str">
        <f>VLOOKUP(Q788,Mapping!L:M,2,0)</f>
        <v>W27_2024</v>
      </c>
      <c r="T788" s="589" t="str">
        <f t="shared" ca="1" si="51"/>
        <v>Not Due</v>
      </c>
      <c r="W788" s="591"/>
    </row>
    <row r="789" spans="1:23" s="589" customFormat="1" x14ac:dyDescent="0.2">
      <c r="A789" s="589" t="s">
        <v>56</v>
      </c>
      <c r="B789" s="589" t="s">
        <v>828</v>
      </c>
      <c r="C789" s="590" t="s">
        <v>3169</v>
      </c>
      <c r="D789" s="589" t="s">
        <v>100</v>
      </c>
      <c r="E789" s="589" t="s">
        <v>104</v>
      </c>
      <c r="F789" s="589" t="s">
        <v>112</v>
      </c>
      <c r="G789" s="589" t="s">
        <v>51</v>
      </c>
      <c r="H789" s="589" t="s">
        <v>242</v>
      </c>
      <c r="I789" s="589" t="s">
        <v>3353</v>
      </c>
      <c r="J789" s="589" t="s">
        <v>35</v>
      </c>
      <c r="K789" s="591">
        <v>1038.5550000000001</v>
      </c>
      <c r="L789" s="592">
        <f>IF(J789="TND",1,IF(J789="EUR",Vertical_Cash_flow!$C$16,IF(J789="USD",Vertical_Cash_flow!$F$16,0)))</f>
        <v>1</v>
      </c>
      <c r="M789" s="593">
        <f t="shared" ref="M789:M852" si="52">K789/L789</f>
        <v>1038.5550000000001</v>
      </c>
      <c r="N789" s="589" t="s">
        <v>251</v>
      </c>
      <c r="O789" s="594">
        <v>45418</v>
      </c>
      <c r="P789" s="593">
        <f t="shared" ref="P789:P852" si="53">O789-Q789</f>
        <v>-55</v>
      </c>
      <c r="Q789" s="594">
        <v>45473</v>
      </c>
      <c r="R789" s="593">
        <f t="shared" ref="R789:R852" ca="1" si="54">$W$1-Q789</f>
        <v>-32</v>
      </c>
      <c r="S789" s="589" t="str">
        <f>VLOOKUP(Q789,Mapping!L:M,2,0)</f>
        <v>W27_2024</v>
      </c>
      <c r="T789" s="589" t="str">
        <f t="shared" ref="T789:T852" ca="1" si="55">IF(R789="","",IF(R789&lt;0,"Not Due",IF(AND(R789&gt;=0,R789&lt;=30),"up to 30 days",IF(AND(R789&gt;30,R789&lt;=60),"30-60 days",IF(AND(R789&gt;60,R789&lt;=90),"60-90 days",IF(AND(R789&gt;90,R789&lt;=120),"90-120 days",IF(AND(R789&gt;120,R789&lt;=180),"120-180 days",IF(AND(R789&gt;180,R789&lt;=360),"180-360 days",IF(R789&gt;360,"more than 360 days","ok")))))))))</f>
        <v>Not Due</v>
      </c>
      <c r="W789" s="591"/>
    </row>
    <row r="790" spans="1:23" s="589" customFormat="1" x14ac:dyDescent="0.2">
      <c r="A790" s="589" t="s">
        <v>56</v>
      </c>
      <c r="B790" s="589" t="s">
        <v>3410</v>
      </c>
      <c r="C790" s="590" t="s">
        <v>3535</v>
      </c>
      <c r="D790" s="589" t="s">
        <v>100</v>
      </c>
      <c r="E790" s="589" t="s">
        <v>104</v>
      </c>
      <c r="F790" s="589" t="s">
        <v>112</v>
      </c>
      <c r="G790" s="589" t="s">
        <v>51</v>
      </c>
      <c r="H790" s="589" t="s">
        <v>242</v>
      </c>
      <c r="I790" s="589" t="s">
        <v>3685</v>
      </c>
      <c r="J790" s="589" t="s">
        <v>35</v>
      </c>
      <c r="K790" s="591">
        <v>2240.9609999999998</v>
      </c>
      <c r="L790" s="592">
        <f>IF(J790="TND",1,IF(J790="EUR",Vertical_Cash_flow!$C$16,IF(J790="USD",Vertical_Cash_flow!$F$16,0)))</f>
        <v>1</v>
      </c>
      <c r="M790" s="593">
        <f t="shared" si="52"/>
        <v>2240.9609999999998</v>
      </c>
      <c r="N790" s="589" t="s">
        <v>251</v>
      </c>
      <c r="O790" s="594">
        <v>45421</v>
      </c>
      <c r="P790" s="593">
        <f t="shared" si="53"/>
        <v>-52</v>
      </c>
      <c r="Q790" s="594">
        <v>45473</v>
      </c>
      <c r="R790" s="593">
        <f t="shared" ca="1" si="54"/>
        <v>-32</v>
      </c>
      <c r="S790" s="589" t="str">
        <f>VLOOKUP(Q790,Mapping!L:M,2,0)</f>
        <v>W27_2024</v>
      </c>
      <c r="T790" s="589" t="str">
        <f t="shared" ca="1" si="55"/>
        <v>Not Due</v>
      </c>
      <c r="W790" s="591"/>
    </row>
    <row r="791" spans="1:23" s="589" customFormat="1" x14ac:dyDescent="0.2">
      <c r="A791" s="589" t="s">
        <v>56</v>
      </c>
      <c r="B791" s="589" t="s">
        <v>337</v>
      </c>
      <c r="C791" s="590" t="s">
        <v>3534</v>
      </c>
      <c r="D791" s="589" t="s">
        <v>100</v>
      </c>
      <c r="E791" s="589" t="s">
        <v>104</v>
      </c>
      <c r="F791" s="589" t="s">
        <v>112</v>
      </c>
      <c r="G791" s="589" t="s">
        <v>51</v>
      </c>
      <c r="H791" s="589" t="s">
        <v>242</v>
      </c>
      <c r="I791" s="589" t="s">
        <v>3684</v>
      </c>
      <c r="J791" s="589" t="s">
        <v>35</v>
      </c>
      <c r="K791" s="591">
        <v>12535.739</v>
      </c>
      <c r="L791" s="592">
        <f>IF(J791="TND",1,IF(J791="EUR",Vertical_Cash_flow!$C$16,IF(J791="USD",Vertical_Cash_flow!$F$16,0)))</f>
        <v>1</v>
      </c>
      <c r="M791" s="593">
        <f t="shared" si="52"/>
        <v>12535.739</v>
      </c>
      <c r="N791" s="589" t="s">
        <v>251</v>
      </c>
      <c r="O791" s="594">
        <v>45427</v>
      </c>
      <c r="P791" s="593">
        <f t="shared" si="53"/>
        <v>-46</v>
      </c>
      <c r="Q791" s="594">
        <v>45473</v>
      </c>
      <c r="R791" s="593">
        <f t="shared" ca="1" si="54"/>
        <v>-32</v>
      </c>
      <c r="S791" s="589" t="str">
        <f>VLOOKUP(Q791,Mapping!L:M,2,0)</f>
        <v>W27_2024</v>
      </c>
      <c r="T791" s="589" t="str">
        <f t="shared" ca="1" si="55"/>
        <v>Not Due</v>
      </c>
      <c r="W791" s="591"/>
    </row>
    <row r="792" spans="1:23" s="589" customFormat="1" x14ac:dyDescent="0.2">
      <c r="A792" s="589" t="s">
        <v>56</v>
      </c>
      <c r="B792" s="589" t="s">
        <v>486</v>
      </c>
      <c r="C792" s="590" t="s">
        <v>2485</v>
      </c>
      <c r="D792" s="589" t="s">
        <v>100</v>
      </c>
      <c r="E792" s="589" t="s">
        <v>104</v>
      </c>
      <c r="F792" s="589" t="s">
        <v>112</v>
      </c>
      <c r="G792" s="589" t="s">
        <v>51</v>
      </c>
      <c r="H792" s="589" t="s">
        <v>242</v>
      </c>
      <c r="I792" s="589" t="s">
        <v>643</v>
      </c>
      <c r="J792" s="589" t="s">
        <v>35</v>
      </c>
      <c r="K792" s="591">
        <v>1452.49</v>
      </c>
      <c r="L792" s="592">
        <f>IF(J792="TND",1,IF(J792="EUR",Vertical_Cash_flow!$C$16,IF(J792="USD",Vertical_Cash_flow!$F$16,0)))</f>
        <v>1</v>
      </c>
      <c r="M792" s="593">
        <f t="shared" si="52"/>
        <v>1452.49</v>
      </c>
      <c r="N792" s="589" t="s">
        <v>251</v>
      </c>
      <c r="O792" s="594">
        <v>45387</v>
      </c>
      <c r="P792" s="593">
        <f t="shared" si="53"/>
        <v>-87</v>
      </c>
      <c r="Q792" s="594">
        <v>45474</v>
      </c>
      <c r="R792" s="593">
        <f t="shared" ca="1" si="54"/>
        <v>-33</v>
      </c>
      <c r="S792" s="589" t="str">
        <f>VLOOKUP(Q792,Mapping!L:M,2,0)</f>
        <v>W27_2024</v>
      </c>
      <c r="T792" s="589" t="str">
        <f t="shared" ca="1" si="55"/>
        <v>Not Due</v>
      </c>
      <c r="W792" s="591"/>
    </row>
    <row r="793" spans="1:23" s="589" customFormat="1" x14ac:dyDescent="0.2">
      <c r="A793" s="589" t="s">
        <v>56</v>
      </c>
      <c r="B793" s="589" t="s">
        <v>927</v>
      </c>
      <c r="C793" s="590" t="s">
        <v>2484</v>
      </c>
      <c r="D793" s="589" t="s">
        <v>100</v>
      </c>
      <c r="E793" s="589" t="s">
        <v>104</v>
      </c>
      <c r="F793" s="589" t="s">
        <v>112</v>
      </c>
      <c r="G793" s="589" t="s">
        <v>51</v>
      </c>
      <c r="H793" s="589" t="s">
        <v>242</v>
      </c>
      <c r="I793" s="589" t="s">
        <v>2809</v>
      </c>
      <c r="J793" s="589" t="s">
        <v>35</v>
      </c>
      <c r="K793" s="591">
        <v>1981.895</v>
      </c>
      <c r="L793" s="592">
        <f>IF(J793="TND",1,IF(J793="EUR",Vertical_Cash_flow!$C$16,IF(J793="USD",Vertical_Cash_flow!$F$16,0)))</f>
        <v>1</v>
      </c>
      <c r="M793" s="593">
        <f t="shared" si="52"/>
        <v>1981.895</v>
      </c>
      <c r="N793" s="589" t="s">
        <v>251</v>
      </c>
      <c r="O793" s="594">
        <v>45407</v>
      </c>
      <c r="P793" s="593">
        <f t="shared" si="53"/>
        <v>-67</v>
      </c>
      <c r="Q793" s="594">
        <v>45474</v>
      </c>
      <c r="R793" s="593">
        <f t="shared" ca="1" si="54"/>
        <v>-33</v>
      </c>
      <c r="S793" s="589" t="str">
        <f>VLOOKUP(Q793,Mapping!L:M,2,0)</f>
        <v>W27_2024</v>
      </c>
      <c r="T793" s="589" t="str">
        <f t="shared" ca="1" si="55"/>
        <v>Not Due</v>
      </c>
      <c r="W793" s="591"/>
    </row>
    <row r="794" spans="1:23" s="589" customFormat="1" x14ac:dyDescent="0.2">
      <c r="A794" s="589" t="s">
        <v>56</v>
      </c>
      <c r="B794" s="589" t="s">
        <v>570</v>
      </c>
      <c r="C794" s="590" t="s">
        <v>1267</v>
      </c>
      <c r="D794" s="589" t="s">
        <v>100</v>
      </c>
      <c r="E794" s="589" t="s">
        <v>104</v>
      </c>
      <c r="F794" s="589" t="s">
        <v>112</v>
      </c>
      <c r="G794" s="589" t="s">
        <v>51</v>
      </c>
      <c r="H794" s="589" t="s">
        <v>242</v>
      </c>
      <c r="I794" s="589" t="s">
        <v>1378</v>
      </c>
      <c r="J794" s="589" t="s">
        <v>35</v>
      </c>
      <c r="K794" s="591">
        <v>28587.714</v>
      </c>
      <c r="L794" s="592">
        <f>IF(J794="TND",1,IF(J794="EUR",Vertical_Cash_flow!$C$16,IF(J794="USD",Vertical_Cash_flow!$F$16,0)))</f>
        <v>1</v>
      </c>
      <c r="M794" s="593">
        <f t="shared" si="52"/>
        <v>28587.714</v>
      </c>
      <c r="N794" s="589" t="s">
        <v>251</v>
      </c>
      <c r="O794" s="594">
        <v>45334</v>
      </c>
      <c r="P794" s="593">
        <f t="shared" si="53"/>
        <v>-140</v>
      </c>
      <c r="Q794" s="594">
        <v>45474</v>
      </c>
      <c r="R794" s="593">
        <f t="shared" ca="1" si="54"/>
        <v>-33</v>
      </c>
      <c r="S794" s="589" t="str">
        <f>VLOOKUP(Q794,Mapping!L:M,2,0)</f>
        <v>W27_2024</v>
      </c>
      <c r="T794" s="589" t="str">
        <f t="shared" ca="1" si="55"/>
        <v>Not Due</v>
      </c>
      <c r="W794" s="591"/>
    </row>
    <row r="795" spans="1:23" s="589" customFormat="1" x14ac:dyDescent="0.2">
      <c r="A795" s="589" t="s">
        <v>56</v>
      </c>
      <c r="B795" s="589" t="s">
        <v>1247</v>
      </c>
      <c r="C795" s="590" t="s">
        <v>1603</v>
      </c>
      <c r="D795" s="589" t="s">
        <v>100</v>
      </c>
      <c r="E795" s="589" t="s">
        <v>104</v>
      </c>
      <c r="F795" s="589" t="s">
        <v>112</v>
      </c>
      <c r="G795" s="589" t="s">
        <v>51</v>
      </c>
      <c r="H795" s="589" t="s">
        <v>242</v>
      </c>
      <c r="I795" s="589" t="s">
        <v>2006</v>
      </c>
      <c r="J795" s="589" t="s">
        <v>35</v>
      </c>
      <c r="K795" s="591">
        <v>2420.5</v>
      </c>
      <c r="L795" s="592">
        <f>IF(J795="TND",1,IF(J795="EUR",Vertical_Cash_flow!$C$16,IF(J795="USD",Vertical_Cash_flow!$F$16,0)))</f>
        <v>1</v>
      </c>
      <c r="M795" s="593">
        <f t="shared" si="52"/>
        <v>2420.5</v>
      </c>
      <c r="N795" s="589" t="s">
        <v>251</v>
      </c>
      <c r="O795" s="594">
        <v>45380</v>
      </c>
      <c r="P795" s="593">
        <f t="shared" si="53"/>
        <v>-94</v>
      </c>
      <c r="Q795" s="594">
        <v>45474</v>
      </c>
      <c r="R795" s="593">
        <f t="shared" ca="1" si="54"/>
        <v>-33</v>
      </c>
      <c r="S795" s="589" t="str">
        <f>VLOOKUP(Q795,Mapping!L:M,2,0)</f>
        <v>W27_2024</v>
      </c>
      <c r="T795" s="589" t="str">
        <f t="shared" ca="1" si="55"/>
        <v>Not Due</v>
      </c>
      <c r="W795" s="591"/>
    </row>
    <row r="796" spans="1:23" s="589" customFormat="1" x14ac:dyDescent="0.2">
      <c r="A796" s="589" t="s">
        <v>56</v>
      </c>
      <c r="B796" s="589" t="s">
        <v>520</v>
      </c>
      <c r="C796" s="590" t="s">
        <v>1602</v>
      </c>
      <c r="D796" s="589" t="s">
        <v>100</v>
      </c>
      <c r="E796" s="589" t="s">
        <v>104</v>
      </c>
      <c r="F796" s="589" t="s">
        <v>112</v>
      </c>
      <c r="G796" s="589" t="s">
        <v>51</v>
      </c>
      <c r="H796" s="589" t="s">
        <v>242</v>
      </c>
      <c r="I796" s="589" t="s">
        <v>2005</v>
      </c>
      <c r="J796" s="589" t="s">
        <v>35</v>
      </c>
      <c r="K796" s="591">
        <v>2125</v>
      </c>
      <c r="L796" s="592">
        <f>IF(J796="TND",1,IF(J796="EUR",Vertical_Cash_flow!$C$16,IF(J796="USD",Vertical_Cash_flow!$F$16,0)))</f>
        <v>1</v>
      </c>
      <c r="M796" s="593">
        <f t="shared" si="52"/>
        <v>2125</v>
      </c>
      <c r="N796" s="589" t="s">
        <v>251</v>
      </c>
      <c r="O796" s="594">
        <v>45376</v>
      </c>
      <c r="P796" s="593">
        <f t="shared" si="53"/>
        <v>-98</v>
      </c>
      <c r="Q796" s="594">
        <v>45474</v>
      </c>
      <c r="R796" s="593">
        <f t="shared" ca="1" si="54"/>
        <v>-33</v>
      </c>
      <c r="S796" s="589" t="str">
        <f>VLOOKUP(Q796,Mapping!L:M,2,0)</f>
        <v>W27_2024</v>
      </c>
      <c r="T796" s="589" t="str">
        <f t="shared" ca="1" si="55"/>
        <v>Not Due</v>
      </c>
      <c r="W796" s="591"/>
    </row>
    <row r="797" spans="1:23" s="589" customFormat="1" x14ac:dyDescent="0.2">
      <c r="A797" s="589" t="s">
        <v>56</v>
      </c>
      <c r="B797" s="589" t="s">
        <v>351</v>
      </c>
      <c r="C797" s="590" t="s">
        <v>2483</v>
      </c>
      <c r="D797" s="589" t="s">
        <v>100</v>
      </c>
      <c r="E797" s="589" t="s">
        <v>104</v>
      </c>
      <c r="F797" s="589" t="s">
        <v>112</v>
      </c>
      <c r="G797" s="589" t="s">
        <v>51</v>
      </c>
      <c r="H797" s="589" t="s">
        <v>242</v>
      </c>
      <c r="I797" s="589" t="s">
        <v>2808</v>
      </c>
      <c r="J797" s="589" t="s">
        <v>35</v>
      </c>
      <c r="K797" s="591">
        <v>2100</v>
      </c>
      <c r="L797" s="592">
        <f>IF(J797="TND",1,IF(J797="EUR",Vertical_Cash_flow!$C$16,IF(J797="USD",Vertical_Cash_flow!$F$16,0)))</f>
        <v>1</v>
      </c>
      <c r="M797" s="593">
        <f t="shared" si="52"/>
        <v>2100</v>
      </c>
      <c r="N797" s="589" t="s">
        <v>251</v>
      </c>
      <c r="O797" s="594">
        <v>45401</v>
      </c>
      <c r="P797" s="593">
        <f t="shared" si="53"/>
        <v>-73</v>
      </c>
      <c r="Q797" s="594">
        <v>45474</v>
      </c>
      <c r="R797" s="593">
        <f t="shared" ca="1" si="54"/>
        <v>-33</v>
      </c>
      <c r="S797" s="589" t="str">
        <f>VLOOKUP(Q797,Mapping!L:M,2,0)</f>
        <v>W27_2024</v>
      </c>
      <c r="T797" s="589" t="str">
        <f t="shared" ca="1" si="55"/>
        <v>Not Due</v>
      </c>
      <c r="W797" s="591"/>
    </row>
    <row r="798" spans="1:23" s="589" customFormat="1" x14ac:dyDescent="0.2">
      <c r="A798" s="589" t="s">
        <v>56</v>
      </c>
      <c r="B798" s="589" t="s">
        <v>1496</v>
      </c>
      <c r="C798" s="590" t="s">
        <v>2482</v>
      </c>
      <c r="D798" s="589" t="s">
        <v>100</v>
      </c>
      <c r="E798" s="589" t="s">
        <v>104</v>
      </c>
      <c r="F798" s="589" t="s">
        <v>112</v>
      </c>
      <c r="G798" s="589" t="s">
        <v>51</v>
      </c>
      <c r="H798" s="589" t="s">
        <v>242</v>
      </c>
      <c r="I798" s="589" t="s">
        <v>2807</v>
      </c>
      <c r="J798" s="589" t="s">
        <v>35</v>
      </c>
      <c r="K798" s="591">
        <v>871.50900000000001</v>
      </c>
      <c r="L798" s="592">
        <f>IF(J798="TND",1,IF(J798="EUR",Vertical_Cash_flow!$C$16,IF(J798="USD",Vertical_Cash_flow!$F$16,0)))</f>
        <v>1</v>
      </c>
      <c r="M798" s="593">
        <f t="shared" si="52"/>
        <v>871.50900000000001</v>
      </c>
      <c r="N798" s="589" t="s">
        <v>251</v>
      </c>
      <c r="O798" s="594">
        <v>45408</v>
      </c>
      <c r="P798" s="593">
        <f t="shared" si="53"/>
        <v>-66</v>
      </c>
      <c r="Q798" s="594">
        <v>45474</v>
      </c>
      <c r="R798" s="593">
        <f t="shared" ca="1" si="54"/>
        <v>-33</v>
      </c>
      <c r="S798" s="589" t="str">
        <f>VLOOKUP(Q798,Mapping!L:M,2,0)</f>
        <v>W27_2024</v>
      </c>
      <c r="T798" s="589" t="str">
        <f t="shared" ca="1" si="55"/>
        <v>Not Due</v>
      </c>
      <c r="W798" s="591"/>
    </row>
    <row r="799" spans="1:23" s="589" customFormat="1" x14ac:dyDescent="0.2">
      <c r="A799" s="589" t="s">
        <v>56</v>
      </c>
      <c r="B799" s="589" t="s">
        <v>603</v>
      </c>
      <c r="C799" s="590" t="s">
        <v>3168</v>
      </c>
      <c r="D799" s="589" t="s">
        <v>100</v>
      </c>
      <c r="E799" s="589" t="s">
        <v>104</v>
      </c>
      <c r="F799" s="589" t="s">
        <v>112</v>
      </c>
      <c r="G799" s="589" t="s">
        <v>51</v>
      </c>
      <c r="H799" s="589" t="s">
        <v>242</v>
      </c>
      <c r="I799" s="589" t="s">
        <v>3352</v>
      </c>
      <c r="J799" s="589" t="s">
        <v>35</v>
      </c>
      <c r="K799" s="591">
        <v>6163.848</v>
      </c>
      <c r="L799" s="592">
        <f>IF(J799="TND",1,IF(J799="EUR",Vertical_Cash_flow!$C$16,IF(J799="USD",Vertical_Cash_flow!$F$16,0)))</f>
        <v>1</v>
      </c>
      <c r="M799" s="593">
        <f t="shared" si="52"/>
        <v>6163.848</v>
      </c>
      <c r="N799" s="589" t="s">
        <v>251</v>
      </c>
      <c r="O799" s="594">
        <v>45416</v>
      </c>
      <c r="P799" s="593">
        <f t="shared" si="53"/>
        <v>-58</v>
      </c>
      <c r="Q799" s="594">
        <v>45474</v>
      </c>
      <c r="R799" s="593">
        <f t="shared" ca="1" si="54"/>
        <v>-33</v>
      </c>
      <c r="S799" s="589" t="str">
        <f>VLOOKUP(Q799,Mapping!L:M,2,0)</f>
        <v>W27_2024</v>
      </c>
      <c r="T799" s="589" t="str">
        <f t="shared" ca="1" si="55"/>
        <v>Not Due</v>
      </c>
      <c r="W799" s="591"/>
    </row>
    <row r="800" spans="1:23" s="589" customFormat="1" x14ac:dyDescent="0.2">
      <c r="A800" s="589" t="s">
        <v>56</v>
      </c>
      <c r="B800" s="589" t="s">
        <v>285</v>
      </c>
      <c r="C800" s="590" t="s">
        <v>1601</v>
      </c>
      <c r="D800" s="589" t="s">
        <v>100</v>
      </c>
      <c r="E800" s="589" t="s">
        <v>104</v>
      </c>
      <c r="F800" s="589" t="s">
        <v>112</v>
      </c>
      <c r="G800" s="589" t="s">
        <v>51</v>
      </c>
      <c r="H800" s="589" t="s">
        <v>242</v>
      </c>
      <c r="I800" s="589" t="s">
        <v>2004</v>
      </c>
      <c r="J800" s="589" t="s">
        <v>35</v>
      </c>
      <c r="K800" s="591">
        <v>1237.2719999999999</v>
      </c>
      <c r="L800" s="592">
        <f>IF(J800="TND",1,IF(J800="EUR",Vertical_Cash_flow!$C$16,IF(J800="USD",Vertical_Cash_flow!$F$16,0)))</f>
        <v>1</v>
      </c>
      <c r="M800" s="593">
        <f t="shared" si="52"/>
        <v>1237.2719999999999</v>
      </c>
      <c r="N800" s="589" t="s">
        <v>251</v>
      </c>
      <c r="O800" s="594">
        <v>45351</v>
      </c>
      <c r="P800" s="593">
        <f t="shared" si="53"/>
        <v>-124</v>
      </c>
      <c r="Q800" s="594">
        <v>45475</v>
      </c>
      <c r="R800" s="593">
        <f t="shared" ca="1" si="54"/>
        <v>-34</v>
      </c>
      <c r="S800" s="589" t="str">
        <f>VLOOKUP(Q800,Mapping!L:M,2,0)</f>
        <v>W27_2024</v>
      </c>
      <c r="T800" s="589" t="str">
        <f t="shared" ca="1" si="55"/>
        <v>Not Due</v>
      </c>
      <c r="W800" s="591"/>
    </row>
    <row r="801" spans="1:23" s="589" customFormat="1" x14ac:dyDescent="0.2">
      <c r="A801" s="589" t="s">
        <v>56</v>
      </c>
      <c r="B801" s="589" t="s">
        <v>2326</v>
      </c>
      <c r="C801" s="590" t="s">
        <v>3167</v>
      </c>
      <c r="D801" s="589" t="s">
        <v>100</v>
      </c>
      <c r="E801" s="589" t="s">
        <v>104</v>
      </c>
      <c r="F801" s="589" t="s">
        <v>112</v>
      </c>
      <c r="G801" s="589" t="s">
        <v>51</v>
      </c>
      <c r="H801" s="589" t="s">
        <v>242</v>
      </c>
      <c r="I801" s="589" t="s">
        <v>3351</v>
      </c>
      <c r="J801" s="589" t="s">
        <v>35</v>
      </c>
      <c r="K801" s="591">
        <v>442.57299999999998</v>
      </c>
      <c r="L801" s="592">
        <f>IF(J801="TND",1,IF(J801="EUR",Vertical_Cash_flow!$C$16,IF(J801="USD",Vertical_Cash_flow!$F$16,0)))</f>
        <v>1</v>
      </c>
      <c r="M801" s="593">
        <f t="shared" si="52"/>
        <v>442.57299999999998</v>
      </c>
      <c r="N801" s="589" t="s">
        <v>251</v>
      </c>
      <c r="O801" s="594">
        <v>45419</v>
      </c>
      <c r="P801" s="593">
        <f t="shared" si="53"/>
        <v>-56</v>
      </c>
      <c r="Q801" s="594">
        <v>45475</v>
      </c>
      <c r="R801" s="593">
        <f t="shared" ca="1" si="54"/>
        <v>-34</v>
      </c>
      <c r="S801" s="589" t="str">
        <f>VLOOKUP(Q801,Mapping!L:M,2,0)</f>
        <v>W27_2024</v>
      </c>
      <c r="T801" s="589" t="str">
        <f t="shared" ca="1" si="55"/>
        <v>Not Due</v>
      </c>
      <c r="W801" s="591"/>
    </row>
    <row r="802" spans="1:23" s="589" customFormat="1" x14ac:dyDescent="0.2">
      <c r="A802" s="589" t="s">
        <v>56</v>
      </c>
      <c r="B802" s="589" t="s">
        <v>273</v>
      </c>
      <c r="C802" s="590" t="s">
        <v>3533</v>
      </c>
      <c r="D802" s="589" t="s">
        <v>100</v>
      </c>
      <c r="E802" s="589" t="s">
        <v>104</v>
      </c>
      <c r="F802" s="589" t="s">
        <v>112</v>
      </c>
      <c r="G802" s="589" t="s">
        <v>51</v>
      </c>
      <c r="H802" s="589" t="s">
        <v>242</v>
      </c>
      <c r="I802" s="589" t="s">
        <v>2942</v>
      </c>
      <c r="J802" s="589" t="s">
        <v>35</v>
      </c>
      <c r="K802" s="591">
        <v>2500</v>
      </c>
      <c r="L802" s="592">
        <f>IF(J802="TND",1,IF(J802="EUR",Vertical_Cash_flow!$C$16,IF(J802="USD",Vertical_Cash_flow!$F$16,0)))</f>
        <v>1</v>
      </c>
      <c r="M802" s="593">
        <f t="shared" si="52"/>
        <v>2500</v>
      </c>
      <c r="N802" s="589" t="s">
        <v>251</v>
      </c>
      <c r="O802" s="594">
        <v>45427</v>
      </c>
      <c r="P802" s="593">
        <f t="shared" si="53"/>
        <v>-48</v>
      </c>
      <c r="Q802" s="594">
        <v>45475</v>
      </c>
      <c r="R802" s="593">
        <f t="shared" ca="1" si="54"/>
        <v>-34</v>
      </c>
      <c r="S802" s="589" t="str">
        <f>VLOOKUP(Q802,Mapping!L:M,2,0)</f>
        <v>W27_2024</v>
      </c>
      <c r="T802" s="589" t="str">
        <f t="shared" ca="1" si="55"/>
        <v>Not Due</v>
      </c>
      <c r="W802" s="591"/>
    </row>
    <row r="803" spans="1:23" s="589" customFormat="1" x14ac:dyDescent="0.2">
      <c r="A803" s="589" t="s">
        <v>56</v>
      </c>
      <c r="B803" s="589" t="s">
        <v>371</v>
      </c>
      <c r="C803" s="590" t="s">
        <v>1600</v>
      </c>
      <c r="D803" s="589" t="s">
        <v>100</v>
      </c>
      <c r="E803" s="589" t="s">
        <v>104</v>
      </c>
      <c r="F803" s="589" t="s">
        <v>112</v>
      </c>
      <c r="G803" s="589" t="s">
        <v>51</v>
      </c>
      <c r="H803" s="589" t="s">
        <v>242</v>
      </c>
      <c r="I803" s="589" t="s">
        <v>2003</v>
      </c>
      <c r="J803" s="589" t="s">
        <v>35</v>
      </c>
      <c r="K803" s="591">
        <v>531.274</v>
      </c>
      <c r="L803" s="592">
        <f>IF(J803="TND",1,IF(J803="EUR",Vertical_Cash_flow!$C$16,IF(J803="USD",Vertical_Cash_flow!$F$16,0)))</f>
        <v>1</v>
      </c>
      <c r="M803" s="593">
        <f t="shared" si="52"/>
        <v>531.274</v>
      </c>
      <c r="N803" s="589" t="s">
        <v>251</v>
      </c>
      <c r="O803" s="594">
        <v>45359</v>
      </c>
      <c r="P803" s="593">
        <f t="shared" si="53"/>
        <v>-116</v>
      </c>
      <c r="Q803" s="594">
        <v>45475</v>
      </c>
      <c r="R803" s="593">
        <f t="shared" ca="1" si="54"/>
        <v>-34</v>
      </c>
      <c r="S803" s="589" t="str">
        <f>VLOOKUP(Q803,Mapping!L:M,2,0)</f>
        <v>W27_2024</v>
      </c>
      <c r="T803" s="589" t="str">
        <f t="shared" ca="1" si="55"/>
        <v>Not Due</v>
      </c>
      <c r="W803" s="591"/>
    </row>
    <row r="804" spans="1:23" s="589" customFormat="1" x14ac:dyDescent="0.2">
      <c r="A804" s="589" t="s">
        <v>56</v>
      </c>
      <c r="B804" s="589" t="s">
        <v>1497</v>
      </c>
      <c r="C804" s="590" t="s">
        <v>2481</v>
      </c>
      <c r="D804" s="589" t="s">
        <v>100</v>
      </c>
      <c r="E804" s="589" t="s">
        <v>104</v>
      </c>
      <c r="F804" s="589" t="s">
        <v>112</v>
      </c>
      <c r="G804" s="589" t="s">
        <v>51</v>
      </c>
      <c r="H804" s="589" t="s">
        <v>242</v>
      </c>
      <c r="I804" s="589" t="s">
        <v>2806</v>
      </c>
      <c r="J804" s="589" t="s">
        <v>35</v>
      </c>
      <c r="K804" s="591">
        <v>1200</v>
      </c>
      <c r="L804" s="592">
        <f>IF(J804="TND",1,IF(J804="EUR",Vertical_Cash_flow!$C$16,IF(J804="USD",Vertical_Cash_flow!$F$16,0)))</f>
        <v>1</v>
      </c>
      <c r="M804" s="593">
        <f t="shared" si="52"/>
        <v>1200</v>
      </c>
      <c r="N804" s="589" t="s">
        <v>251</v>
      </c>
      <c r="O804" s="594">
        <v>45402</v>
      </c>
      <c r="P804" s="593">
        <f t="shared" si="53"/>
        <v>-73</v>
      </c>
      <c r="Q804" s="594">
        <v>45475</v>
      </c>
      <c r="R804" s="593">
        <f t="shared" ca="1" si="54"/>
        <v>-34</v>
      </c>
      <c r="S804" s="589" t="str">
        <f>VLOOKUP(Q804,Mapping!L:M,2,0)</f>
        <v>W27_2024</v>
      </c>
      <c r="T804" s="589" t="str">
        <f t="shared" ca="1" si="55"/>
        <v>Not Due</v>
      </c>
      <c r="W804" s="591"/>
    </row>
    <row r="805" spans="1:23" s="589" customFormat="1" x14ac:dyDescent="0.2">
      <c r="A805" s="589" t="s">
        <v>56</v>
      </c>
      <c r="B805" s="589" t="s">
        <v>1247</v>
      </c>
      <c r="C805" s="590" t="s">
        <v>1598</v>
      </c>
      <c r="D805" s="589" t="s">
        <v>100</v>
      </c>
      <c r="E805" s="589" t="s">
        <v>104</v>
      </c>
      <c r="F805" s="589" t="s">
        <v>112</v>
      </c>
      <c r="G805" s="589" t="s">
        <v>51</v>
      </c>
      <c r="H805" s="589" t="s">
        <v>242</v>
      </c>
      <c r="I805" s="589" t="s">
        <v>2001</v>
      </c>
      <c r="J805" s="589" t="s">
        <v>35</v>
      </c>
      <c r="K805" s="591">
        <v>2420.5</v>
      </c>
      <c r="L805" s="592">
        <f>IF(J805="TND",1,IF(J805="EUR",Vertical_Cash_flow!$C$16,IF(J805="USD",Vertical_Cash_flow!$F$16,0)))</f>
        <v>1</v>
      </c>
      <c r="M805" s="593">
        <f t="shared" si="52"/>
        <v>2420.5</v>
      </c>
      <c r="N805" s="589" t="s">
        <v>251</v>
      </c>
      <c r="O805" s="594">
        <v>45380</v>
      </c>
      <c r="P805" s="593">
        <f t="shared" si="53"/>
        <v>-96</v>
      </c>
      <c r="Q805" s="594">
        <v>45476</v>
      </c>
      <c r="R805" s="593">
        <f t="shared" ca="1" si="54"/>
        <v>-35</v>
      </c>
      <c r="S805" s="589" t="str">
        <f>VLOOKUP(Q805,Mapping!L:M,2,0)</f>
        <v>W27_2024</v>
      </c>
      <c r="T805" s="589" t="str">
        <f t="shared" ca="1" si="55"/>
        <v>Not Due</v>
      </c>
      <c r="W805" s="591"/>
    </row>
    <row r="806" spans="1:23" s="589" customFormat="1" x14ac:dyDescent="0.2">
      <c r="A806" s="589" t="s">
        <v>56</v>
      </c>
      <c r="B806" s="589" t="s">
        <v>611</v>
      </c>
      <c r="C806" s="590" t="s">
        <v>1599</v>
      </c>
      <c r="D806" s="589" t="s">
        <v>100</v>
      </c>
      <c r="E806" s="589" t="s">
        <v>104</v>
      </c>
      <c r="F806" s="589" t="s">
        <v>112</v>
      </c>
      <c r="G806" s="589" t="s">
        <v>51</v>
      </c>
      <c r="H806" s="589" t="s">
        <v>242</v>
      </c>
      <c r="I806" s="589" t="s">
        <v>2002</v>
      </c>
      <c r="J806" s="589" t="s">
        <v>35</v>
      </c>
      <c r="K806" s="591">
        <v>500</v>
      </c>
      <c r="L806" s="592">
        <f>IF(J806="TND",1,IF(J806="EUR",Vertical_Cash_flow!$C$16,IF(J806="USD",Vertical_Cash_flow!$F$16,0)))</f>
        <v>1</v>
      </c>
      <c r="M806" s="593">
        <f t="shared" si="52"/>
        <v>500</v>
      </c>
      <c r="N806" s="589" t="s">
        <v>251</v>
      </c>
      <c r="O806" s="594">
        <v>45380</v>
      </c>
      <c r="P806" s="593">
        <f t="shared" si="53"/>
        <v>-96</v>
      </c>
      <c r="Q806" s="594">
        <v>45476</v>
      </c>
      <c r="R806" s="593">
        <f t="shared" ca="1" si="54"/>
        <v>-35</v>
      </c>
      <c r="S806" s="589" t="str">
        <f>VLOOKUP(Q806,Mapping!L:M,2,0)</f>
        <v>W27_2024</v>
      </c>
      <c r="T806" s="589" t="str">
        <f t="shared" ca="1" si="55"/>
        <v>Not Due</v>
      </c>
      <c r="W806" s="591"/>
    </row>
    <row r="807" spans="1:23" s="589" customFormat="1" x14ac:dyDescent="0.2">
      <c r="A807" s="589" t="s">
        <v>56</v>
      </c>
      <c r="B807" s="589" t="s">
        <v>481</v>
      </c>
      <c r="C807" s="590" t="s">
        <v>2480</v>
      </c>
      <c r="D807" s="589" t="s">
        <v>100</v>
      </c>
      <c r="E807" s="589" t="s">
        <v>104</v>
      </c>
      <c r="F807" s="589" t="s">
        <v>112</v>
      </c>
      <c r="G807" s="589" t="s">
        <v>51</v>
      </c>
      <c r="H807" s="589" t="s">
        <v>242</v>
      </c>
      <c r="I807" s="589" t="s">
        <v>2805</v>
      </c>
      <c r="J807" s="589" t="s">
        <v>35</v>
      </c>
      <c r="K807" s="591">
        <v>5400</v>
      </c>
      <c r="L807" s="592">
        <f>IF(J807="TND",1,IF(J807="EUR",Vertical_Cash_flow!$C$16,IF(J807="USD",Vertical_Cash_flow!$F$16,0)))</f>
        <v>1</v>
      </c>
      <c r="M807" s="593">
        <f t="shared" si="52"/>
        <v>5400</v>
      </c>
      <c r="N807" s="589" t="s">
        <v>251</v>
      </c>
      <c r="O807" s="594">
        <v>45383</v>
      </c>
      <c r="P807" s="593">
        <f t="shared" si="53"/>
        <v>-93</v>
      </c>
      <c r="Q807" s="594">
        <v>45476</v>
      </c>
      <c r="R807" s="593">
        <f t="shared" ca="1" si="54"/>
        <v>-35</v>
      </c>
      <c r="S807" s="589" t="str">
        <f>VLOOKUP(Q807,Mapping!L:M,2,0)</f>
        <v>W27_2024</v>
      </c>
      <c r="T807" s="589" t="str">
        <f t="shared" ca="1" si="55"/>
        <v>Not Due</v>
      </c>
      <c r="W807" s="591"/>
    </row>
    <row r="808" spans="1:23" s="589" customFormat="1" x14ac:dyDescent="0.2">
      <c r="A808" s="589" t="s">
        <v>56</v>
      </c>
      <c r="B808" s="589" t="s">
        <v>736</v>
      </c>
      <c r="C808" s="590" t="s">
        <v>2479</v>
      </c>
      <c r="D808" s="589" t="s">
        <v>100</v>
      </c>
      <c r="E808" s="589" t="s">
        <v>104</v>
      </c>
      <c r="F808" s="589" t="s">
        <v>112</v>
      </c>
      <c r="G808" s="589" t="s">
        <v>51</v>
      </c>
      <c r="H808" s="589" t="s">
        <v>242</v>
      </c>
      <c r="I808" s="589" t="s">
        <v>2804</v>
      </c>
      <c r="J808" s="589" t="s">
        <v>35</v>
      </c>
      <c r="K808" s="591">
        <v>332</v>
      </c>
      <c r="L808" s="592">
        <f>IF(J808="TND",1,IF(J808="EUR",Vertical_Cash_flow!$C$16,IF(J808="USD",Vertical_Cash_flow!$F$16,0)))</f>
        <v>1</v>
      </c>
      <c r="M808" s="593">
        <f t="shared" si="52"/>
        <v>332</v>
      </c>
      <c r="N808" s="589" t="s">
        <v>251</v>
      </c>
      <c r="O808" s="594">
        <v>45388</v>
      </c>
      <c r="P808" s="593">
        <f t="shared" si="53"/>
        <v>-88</v>
      </c>
      <c r="Q808" s="594">
        <v>45476</v>
      </c>
      <c r="R808" s="593">
        <f t="shared" ca="1" si="54"/>
        <v>-35</v>
      </c>
      <c r="S808" s="589" t="str">
        <f>VLOOKUP(Q808,Mapping!L:M,2,0)</f>
        <v>W27_2024</v>
      </c>
      <c r="T808" s="589" t="str">
        <f t="shared" ca="1" si="55"/>
        <v>Not Due</v>
      </c>
      <c r="W808" s="591"/>
    </row>
    <row r="809" spans="1:23" s="589" customFormat="1" x14ac:dyDescent="0.2">
      <c r="A809" s="589" t="s">
        <v>56</v>
      </c>
      <c r="B809" s="589" t="s">
        <v>381</v>
      </c>
      <c r="C809" s="590" t="s">
        <v>3532</v>
      </c>
      <c r="D809" s="589" t="s">
        <v>100</v>
      </c>
      <c r="E809" s="589" t="s">
        <v>104</v>
      </c>
      <c r="F809" s="589" t="s">
        <v>112</v>
      </c>
      <c r="G809" s="589" t="s">
        <v>51</v>
      </c>
      <c r="H809" s="589" t="s">
        <v>242</v>
      </c>
      <c r="I809" s="589" t="s">
        <v>3683</v>
      </c>
      <c r="J809" s="589" t="s">
        <v>35</v>
      </c>
      <c r="K809" s="591">
        <v>2808.6379999999999</v>
      </c>
      <c r="L809" s="592">
        <f>IF(J809="TND",1,IF(J809="EUR",Vertical_Cash_flow!$C$16,IF(J809="USD",Vertical_Cash_flow!$F$16,0)))</f>
        <v>1</v>
      </c>
      <c r="M809" s="593">
        <f t="shared" si="52"/>
        <v>2808.6379999999999</v>
      </c>
      <c r="N809" s="589" t="s">
        <v>251</v>
      </c>
      <c r="O809" s="594">
        <v>45423</v>
      </c>
      <c r="P809" s="593">
        <f t="shared" si="53"/>
        <v>-53</v>
      </c>
      <c r="Q809" s="594">
        <v>45476</v>
      </c>
      <c r="R809" s="593">
        <f t="shared" ca="1" si="54"/>
        <v>-35</v>
      </c>
      <c r="S809" s="589" t="str">
        <f>VLOOKUP(Q809,Mapping!L:M,2,0)</f>
        <v>W27_2024</v>
      </c>
      <c r="T809" s="589" t="str">
        <f t="shared" ca="1" si="55"/>
        <v>Not Due</v>
      </c>
      <c r="W809" s="591"/>
    </row>
    <row r="810" spans="1:23" s="589" customFormat="1" x14ac:dyDescent="0.2">
      <c r="A810" s="589" t="s">
        <v>56</v>
      </c>
      <c r="B810" s="589" t="s">
        <v>1497</v>
      </c>
      <c r="C810" s="590" t="s">
        <v>2478</v>
      </c>
      <c r="D810" s="589" t="s">
        <v>100</v>
      </c>
      <c r="E810" s="589" t="s">
        <v>104</v>
      </c>
      <c r="F810" s="589" t="s">
        <v>112</v>
      </c>
      <c r="G810" s="589" t="s">
        <v>51</v>
      </c>
      <c r="H810" s="589" t="s">
        <v>242</v>
      </c>
      <c r="I810" s="589" t="s">
        <v>2803</v>
      </c>
      <c r="J810" s="589" t="s">
        <v>35</v>
      </c>
      <c r="K810" s="591">
        <v>1219.606</v>
      </c>
      <c r="L810" s="592">
        <f>IF(J810="TND",1,IF(J810="EUR",Vertical_Cash_flow!$C$16,IF(J810="USD",Vertical_Cash_flow!$F$16,0)))</f>
        <v>1</v>
      </c>
      <c r="M810" s="593">
        <f t="shared" si="52"/>
        <v>1219.606</v>
      </c>
      <c r="N810" s="589" t="s">
        <v>251</v>
      </c>
      <c r="O810" s="594">
        <v>45402</v>
      </c>
      <c r="P810" s="593">
        <f t="shared" si="53"/>
        <v>-74</v>
      </c>
      <c r="Q810" s="594">
        <v>45476</v>
      </c>
      <c r="R810" s="593">
        <f t="shared" ca="1" si="54"/>
        <v>-35</v>
      </c>
      <c r="S810" s="589" t="str">
        <f>VLOOKUP(Q810,Mapping!L:M,2,0)</f>
        <v>W27_2024</v>
      </c>
      <c r="T810" s="589" t="str">
        <f t="shared" ca="1" si="55"/>
        <v>Not Due</v>
      </c>
      <c r="W810" s="591"/>
    </row>
    <row r="811" spans="1:23" s="589" customFormat="1" x14ac:dyDescent="0.2">
      <c r="A811" s="589" t="s">
        <v>56</v>
      </c>
      <c r="B811" s="589" t="s">
        <v>570</v>
      </c>
      <c r="C811" s="590" t="s">
        <v>1266</v>
      </c>
      <c r="D811" s="589" t="s">
        <v>100</v>
      </c>
      <c r="E811" s="589" t="s">
        <v>104</v>
      </c>
      <c r="F811" s="589" t="s">
        <v>112</v>
      </c>
      <c r="G811" s="589" t="s">
        <v>51</v>
      </c>
      <c r="H811" s="589" t="s">
        <v>242</v>
      </c>
      <c r="I811" s="589" t="s">
        <v>1377</v>
      </c>
      <c r="J811" s="589" t="s">
        <v>35</v>
      </c>
      <c r="K811" s="591">
        <v>28687.714</v>
      </c>
      <c r="L811" s="592">
        <f>IF(J811="TND",1,IF(J811="EUR",Vertical_Cash_flow!$C$16,IF(J811="USD",Vertical_Cash_flow!$F$16,0)))</f>
        <v>1</v>
      </c>
      <c r="M811" s="593">
        <f t="shared" si="52"/>
        <v>28687.714</v>
      </c>
      <c r="N811" s="589" t="s">
        <v>251</v>
      </c>
      <c r="O811" s="594">
        <v>45334</v>
      </c>
      <c r="P811" s="593">
        <f t="shared" si="53"/>
        <v>-143</v>
      </c>
      <c r="Q811" s="594">
        <v>45477</v>
      </c>
      <c r="R811" s="593">
        <f t="shared" ca="1" si="54"/>
        <v>-36</v>
      </c>
      <c r="S811" s="589" t="str">
        <f>VLOOKUP(Q811,Mapping!L:M,2,0)</f>
        <v>W27_2024</v>
      </c>
      <c r="T811" s="589" t="str">
        <f t="shared" ca="1" si="55"/>
        <v>Not Due</v>
      </c>
      <c r="W811" s="591"/>
    </row>
    <row r="812" spans="1:23" s="589" customFormat="1" x14ac:dyDescent="0.2">
      <c r="A812" s="589" t="s">
        <v>56</v>
      </c>
      <c r="B812" s="589" t="s">
        <v>520</v>
      </c>
      <c r="C812" s="590" t="s">
        <v>1597</v>
      </c>
      <c r="D812" s="589" t="s">
        <v>100</v>
      </c>
      <c r="E812" s="589" t="s">
        <v>104</v>
      </c>
      <c r="F812" s="589" t="s">
        <v>112</v>
      </c>
      <c r="G812" s="589" t="s">
        <v>51</v>
      </c>
      <c r="H812" s="589" t="s">
        <v>242</v>
      </c>
      <c r="I812" s="589" t="s">
        <v>2000</v>
      </c>
      <c r="J812" s="589" t="s">
        <v>35</v>
      </c>
      <c r="K812" s="591">
        <v>2126.134</v>
      </c>
      <c r="L812" s="592">
        <f>IF(J812="TND",1,IF(J812="EUR",Vertical_Cash_flow!$C$16,IF(J812="USD",Vertical_Cash_flow!$F$16,0)))</f>
        <v>1</v>
      </c>
      <c r="M812" s="593">
        <f t="shared" si="52"/>
        <v>2126.134</v>
      </c>
      <c r="N812" s="589" t="s">
        <v>251</v>
      </c>
      <c r="O812" s="594">
        <v>45376</v>
      </c>
      <c r="P812" s="593">
        <f t="shared" si="53"/>
        <v>-101</v>
      </c>
      <c r="Q812" s="594">
        <v>45477</v>
      </c>
      <c r="R812" s="593">
        <f t="shared" ca="1" si="54"/>
        <v>-36</v>
      </c>
      <c r="S812" s="589" t="str">
        <f>VLOOKUP(Q812,Mapping!L:M,2,0)</f>
        <v>W27_2024</v>
      </c>
      <c r="T812" s="589" t="str">
        <f t="shared" ca="1" si="55"/>
        <v>Not Due</v>
      </c>
      <c r="W812" s="591"/>
    </row>
    <row r="813" spans="1:23" s="589" customFormat="1" x14ac:dyDescent="0.2">
      <c r="A813" s="589" t="s">
        <v>56</v>
      </c>
      <c r="B813" s="589" t="s">
        <v>498</v>
      </c>
      <c r="C813" s="590" t="s">
        <v>1596</v>
      </c>
      <c r="D813" s="589" t="s">
        <v>100</v>
      </c>
      <c r="E813" s="589" t="s">
        <v>104</v>
      </c>
      <c r="F813" s="589" t="s">
        <v>112</v>
      </c>
      <c r="G813" s="589" t="s">
        <v>51</v>
      </c>
      <c r="H813" s="589" t="s">
        <v>242</v>
      </c>
      <c r="I813" s="589" t="s">
        <v>1999</v>
      </c>
      <c r="J813" s="589" t="s">
        <v>35</v>
      </c>
      <c r="K813" s="591">
        <v>6875</v>
      </c>
      <c r="L813" s="592">
        <f>IF(J813="TND",1,IF(J813="EUR",Vertical_Cash_flow!$C$16,IF(J813="USD",Vertical_Cash_flow!$F$16,0)))</f>
        <v>1</v>
      </c>
      <c r="M813" s="593">
        <f t="shared" si="52"/>
        <v>6875</v>
      </c>
      <c r="N813" s="589" t="s">
        <v>251</v>
      </c>
      <c r="O813" s="594">
        <v>45351</v>
      </c>
      <c r="P813" s="593">
        <f t="shared" si="53"/>
        <v>-126</v>
      </c>
      <c r="Q813" s="594">
        <v>45477</v>
      </c>
      <c r="R813" s="593">
        <f t="shared" ca="1" si="54"/>
        <v>-36</v>
      </c>
      <c r="S813" s="589" t="str">
        <f>VLOOKUP(Q813,Mapping!L:M,2,0)</f>
        <v>W27_2024</v>
      </c>
      <c r="T813" s="589" t="str">
        <f t="shared" ca="1" si="55"/>
        <v>Not Due</v>
      </c>
      <c r="W813" s="591"/>
    </row>
    <row r="814" spans="1:23" s="589" customFormat="1" x14ac:dyDescent="0.2">
      <c r="A814" s="589" t="s">
        <v>56</v>
      </c>
      <c r="B814" s="589" t="s">
        <v>360</v>
      </c>
      <c r="C814" s="590" t="s">
        <v>2476</v>
      </c>
      <c r="D814" s="589" t="s">
        <v>100</v>
      </c>
      <c r="E814" s="589" t="s">
        <v>104</v>
      </c>
      <c r="F814" s="589" t="s">
        <v>112</v>
      </c>
      <c r="G814" s="589" t="s">
        <v>51</v>
      </c>
      <c r="H814" s="589" t="s">
        <v>242</v>
      </c>
      <c r="I814" s="589" t="s">
        <v>2802</v>
      </c>
      <c r="J814" s="589" t="s">
        <v>35</v>
      </c>
      <c r="K814" s="591">
        <v>3200.0259999999998</v>
      </c>
      <c r="L814" s="592">
        <f>IF(J814="TND",1,IF(J814="EUR",Vertical_Cash_flow!$C$16,IF(J814="USD",Vertical_Cash_flow!$F$16,0)))</f>
        <v>1</v>
      </c>
      <c r="M814" s="593">
        <f t="shared" si="52"/>
        <v>3200.0259999999998</v>
      </c>
      <c r="N814" s="589" t="s">
        <v>251</v>
      </c>
      <c r="O814" s="594">
        <v>45387</v>
      </c>
      <c r="P814" s="593">
        <f t="shared" si="53"/>
        <v>-91</v>
      </c>
      <c r="Q814" s="594">
        <v>45478</v>
      </c>
      <c r="R814" s="593">
        <f t="shared" ca="1" si="54"/>
        <v>-37</v>
      </c>
      <c r="S814" s="589" t="str">
        <f>VLOOKUP(Q814,Mapping!L:M,2,0)</f>
        <v>W27_2024</v>
      </c>
      <c r="T814" s="589" t="str">
        <f t="shared" ca="1" si="55"/>
        <v>Not Due</v>
      </c>
      <c r="W814" s="591"/>
    </row>
    <row r="815" spans="1:23" s="589" customFormat="1" x14ac:dyDescent="0.2">
      <c r="A815" s="589" t="s">
        <v>56</v>
      </c>
      <c r="B815" s="589" t="s">
        <v>628</v>
      </c>
      <c r="C815" s="590" t="s">
        <v>2477</v>
      </c>
      <c r="D815" s="589" t="s">
        <v>100</v>
      </c>
      <c r="E815" s="589" t="s">
        <v>104</v>
      </c>
      <c r="F815" s="589" t="s">
        <v>112</v>
      </c>
      <c r="G815" s="589" t="s">
        <v>51</v>
      </c>
      <c r="H815" s="589" t="s">
        <v>242</v>
      </c>
      <c r="I815" s="589" t="s">
        <v>966</v>
      </c>
      <c r="J815" s="589" t="s">
        <v>35</v>
      </c>
      <c r="K815" s="591">
        <v>1630.0519999999999</v>
      </c>
      <c r="L815" s="592">
        <f>IF(J815="TND",1,IF(J815="EUR",Vertical_Cash_flow!$C$16,IF(J815="USD",Vertical_Cash_flow!$F$16,0)))</f>
        <v>1</v>
      </c>
      <c r="M815" s="593">
        <f t="shared" si="52"/>
        <v>1630.0519999999999</v>
      </c>
      <c r="N815" s="589" t="s">
        <v>251</v>
      </c>
      <c r="O815" s="594">
        <v>45387</v>
      </c>
      <c r="P815" s="593">
        <f t="shared" si="53"/>
        <v>-91</v>
      </c>
      <c r="Q815" s="594">
        <v>45478</v>
      </c>
      <c r="R815" s="593">
        <f t="shared" ca="1" si="54"/>
        <v>-37</v>
      </c>
      <c r="S815" s="589" t="str">
        <f>VLOOKUP(Q815,Mapping!L:M,2,0)</f>
        <v>W27_2024</v>
      </c>
      <c r="T815" s="589" t="str">
        <f t="shared" ca="1" si="55"/>
        <v>Not Due</v>
      </c>
      <c r="W815" s="591"/>
    </row>
    <row r="816" spans="1:23" s="589" customFormat="1" x14ac:dyDescent="0.2">
      <c r="A816" s="589" t="s">
        <v>56</v>
      </c>
      <c r="B816" s="589" t="s">
        <v>361</v>
      </c>
      <c r="C816" s="590" t="s">
        <v>1592</v>
      </c>
      <c r="D816" s="589" t="s">
        <v>100</v>
      </c>
      <c r="E816" s="589" t="s">
        <v>104</v>
      </c>
      <c r="F816" s="589" t="s">
        <v>112</v>
      </c>
      <c r="G816" s="589" t="s">
        <v>51</v>
      </c>
      <c r="H816" s="589" t="s">
        <v>242</v>
      </c>
      <c r="I816" s="589" t="s">
        <v>1997</v>
      </c>
      <c r="J816" s="589" t="s">
        <v>35</v>
      </c>
      <c r="K816" s="591">
        <v>2385.0390000000002</v>
      </c>
      <c r="L816" s="592">
        <f>IF(J816="TND",1,IF(J816="EUR",Vertical_Cash_flow!$C$16,IF(J816="USD",Vertical_Cash_flow!$F$16,0)))</f>
        <v>1</v>
      </c>
      <c r="M816" s="593">
        <f t="shared" si="52"/>
        <v>2385.0390000000002</v>
      </c>
      <c r="N816" s="589" t="s">
        <v>251</v>
      </c>
      <c r="O816" s="594">
        <v>45377</v>
      </c>
      <c r="P816" s="593">
        <f t="shared" si="53"/>
        <v>-101</v>
      </c>
      <c r="Q816" s="594">
        <v>45478</v>
      </c>
      <c r="R816" s="593">
        <f t="shared" ca="1" si="54"/>
        <v>-37</v>
      </c>
      <c r="S816" s="589" t="str">
        <f>VLOOKUP(Q816,Mapping!L:M,2,0)</f>
        <v>W27_2024</v>
      </c>
      <c r="T816" s="589" t="str">
        <f t="shared" ca="1" si="55"/>
        <v>Not Due</v>
      </c>
      <c r="W816" s="591"/>
    </row>
    <row r="817" spans="1:23" s="589" customFormat="1" x14ac:dyDescent="0.2">
      <c r="A817" s="589" t="s">
        <v>56</v>
      </c>
      <c r="B817" s="589" t="s">
        <v>365</v>
      </c>
      <c r="C817" s="590" t="s">
        <v>3164</v>
      </c>
      <c r="D817" s="589" t="s">
        <v>100</v>
      </c>
      <c r="E817" s="589" t="s">
        <v>104</v>
      </c>
      <c r="F817" s="589" t="s">
        <v>112</v>
      </c>
      <c r="G817" s="589" t="s">
        <v>51</v>
      </c>
      <c r="H817" s="589" t="s">
        <v>242</v>
      </c>
      <c r="I817" s="589" t="s">
        <v>3348</v>
      </c>
      <c r="J817" s="589" t="s">
        <v>35</v>
      </c>
      <c r="K817" s="591">
        <v>553.16</v>
      </c>
      <c r="L817" s="592">
        <f>IF(J817="TND",1,IF(J817="EUR",Vertical_Cash_flow!$C$16,IF(J817="USD",Vertical_Cash_flow!$F$16,0)))</f>
        <v>1</v>
      </c>
      <c r="M817" s="593">
        <f t="shared" si="52"/>
        <v>553.16</v>
      </c>
      <c r="N817" s="589" t="s">
        <v>251</v>
      </c>
      <c r="O817" s="594">
        <v>45415</v>
      </c>
      <c r="P817" s="593">
        <f t="shared" si="53"/>
        <v>-63</v>
      </c>
      <c r="Q817" s="594">
        <v>45478</v>
      </c>
      <c r="R817" s="593">
        <f t="shared" ca="1" si="54"/>
        <v>-37</v>
      </c>
      <c r="S817" s="589" t="str">
        <f>VLOOKUP(Q817,Mapping!L:M,2,0)</f>
        <v>W27_2024</v>
      </c>
      <c r="T817" s="589" t="str">
        <f t="shared" ca="1" si="55"/>
        <v>Not Due</v>
      </c>
      <c r="W817" s="591"/>
    </row>
    <row r="818" spans="1:23" s="589" customFormat="1" x14ac:dyDescent="0.2">
      <c r="A818" s="589" t="s">
        <v>56</v>
      </c>
      <c r="B818" s="589" t="s">
        <v>318</v>
      </c>
      <c r="C818" s="590" t="s">
        <v>3165</v>
      </c>
      <c r="D818" s="589" t="s">
        <v>100</v>
      </c>
      <c r="E818" s="589" t="s">
        <v>104</v>
      </c>
      <c r="F818" s="589" t="s">
        <v>112</v>
      </c>
      <c r="G818" s="589" t="s">
        <v>51</v>
      </c>
      <c r="H818" s="589" t="s">
        <v>242</v>
      </c>
      <c r="I818" s="589" t="s">
        <v>3349</v>
      </c>
      <c r="J818" s="589" t="s">
        <v>35</v>
      </c>
      <c r="K818" s="591">
        <v>2709.509</v>
      </c>
      <c r="L818" s="592">
        <f>IF(J818="TND",1,IF(J818="EUR",Vertical_Cash_flow!$C$16,IF(J818="USD",Vertical_Cash_flow!$F$16,0)))</f>
        <v>1</v>
      </c>
      <c r="M818" s="593">
        <f t="shared" si="52"/>
        <v>2709.509</v>
      </c>
      <c r="N818" s="589" t="s">
        <v>251</v>
      </c>
      <c r="O818" s="594">
        <v>45411</v>
      </c>
      <c r="P818" s="593">
        <f t="shared" si="53"/>
        <v>-67</v>
      </c>
      <c r="Q818" s="594">
        <v>45478</v>
      </c>
      <c r="R818" s="593">
        <f t="shared" ca="1" si="54"/>
        <v>-37</v>
      </c>
      <c r="S818" s="589" t="str">
        <f>VLOOKUP(Q818,Mapping!L:M,2,0)</f>
        <v>W27_2024</v>
      </c>
      <c r="T818" s="589" t="str">
        <f t="shared" ca="1" si="55"/>
        <v>Not Due</v>
      </c>
      <c r="W818" s="591"/>
    </row>
    <row r="819" spans="1:23" s="589" customFormat="1" x14ac:dyDescent="0.2">
      <c r="A819" s="589" t="s">
        <v>56</v>
      </c>
      <c r="B819" s="589" t="s">
        <v>536</v>
      </c>
      <c r="C819" s="590" t="s">
        <v>1593</v>
      </c>
      <c r="D819" s="589" t="s">
        <v>100</v>
      </c>
      <c r="E819" s="589" t="s">
        <v>104</v>
      </c>
      <c r="F819" s="589" t="s">
        <v>112</v>
      </c>
      <c r="G819" s="589" t="s">
        <v>51</v>
      </c>
      <c r="H819" s="589" t="s">
        <v>242</v>
      </c>
      <c r="I819" s="589" t="s">
        <v>843</v>
      </c>
      <c r="J819" s="589" t="s">
        <v>35</v>
      </c>
      <c r="K819" s="591">
        <v>876.95399999999995</v>
      </c>
      <c r="L819" s="592">
        <f>IF(J819="TND",1,IF(J819="EUR",Vertical_Cash_flow!$C$16,IF(J819="USD",Vertical_Cash_flow!$F$16,0)))</f>
        <v>1</v>
      </c>
      <c r="M819" s="593">
        <f t="shared" si="52"/>
        <v>876.95399999999995</v>
      </c>
      <c r="N819" s="589" t="s">
        <v>251</v>
      </c>
      <c r="O819" s="594">
        <v>45378</v>
      </c>
      <c r="P819" s="593">
        <f t="shared" si="53"/>
        <v>-100</v>
      </c>
      <c r="Q819" s="594">
        <v>45478</v>
      </c>
      <c r="R819" s="593">
        <f t="shared" ca="1" si="54"/>
        <v>-37</v>
      </c>
      <c r="S819" s="589" t="str">
        <f>VLOOKUP(Q819,Mapping!L:M,2,0)</f>
        <v>W27_2024</v>
      </c>
      <c r="T819" s="589" t="str">
        <f t="shared" ca="1" si="55"/>
        <v>Not Due</v>
      </c>
      <c r="W819" s="591"/>
    </row>
    <row r="820" spans="1:23" s="589" customFormat="1" x14ac:dyDescent="0.2">
      <c r="A820" s="589" t="s">
        <v>56</v>
      </c>
      <c r="B820" s="589" t="s">
        <v>486</v>
      </c>
      <c r="C820" s="590" t="s">
        <v>2475</v>
      </c>
      <c r="D820" s="589" t="s">
        <v>100</v>
      </c>
      <c r="E820" s="589" t="s">
        <v>104</v>
      </c>
      <c r="F820" s="589" t="s">
        <v>112</v>
      </c>
      <c r="G820" s="589" t="s">
        <v>51</v>
      </c>
      <c r="H820" s="589" t="s">
        <v>242</v>
      </c>
      <c r="I820" s="589" t="s">
        <v>643</v>
      </c>
      <c r="J820" s="589" t="s">
        <v>35</v>
      </c>
      <c r="K820" s="591">
        <v>1452.49</v>
      </c>
      <c r="L820" s="592">
        <f>IF(J820="TND",1,IF(J820="EUR",Vertical_Cash_flow!$C$16,IF(J820="USD",Vertical_Cash_flow!$F$16,0)))</f>
        <v>1</v>
      </c>
      <c r="M820" s="593">
        <f t="shared" si="52"/>
        <v>1452.49</v>
      </c>
      <c r="N820" s="589" t="s">
        <v>251</v>
      </c>
      <c r="O820" s="594">
        <v>45387</v>
      </c>
      <c r="P820" s="593">
        <f t="shared" si="53"/>
        <v>-91</v>
      </c>
      <c r="Q820" s="594">
        <v>45478</v>
      </c>
      <c r="R820" s="593">
        <f t="shared" ca="1" si="54"/>
        <v>-37</v>
      </c>
      <c r="S820" s="589" t="str">
        <f>VLOOKUP(Q820,Mapping!L:M,2,0)</f>
        <v>W27_2024</v>
      </c>
      <c r="T820" s="589" t="str">
        <f t="shared" ca="1" si="55"/>
        <v>Not Due</v>
      </c>
      <c r="W820" s="591"/>
    </row>
    <row r="821" spans="1:23" s="589" customFormat="1" x14ac:dyDescent="0.2">
      <c r="A821" s="589" t="s">
        <v>56</v>
      </c>
      <c r="B821" s="589" t="s">
        <v>634</v>
      </c>
      <c r="C821" s="590" t="s">
        <v>3166</v>
      </c>
      <c r="D821" s="589" t="s">
        <v>100</v>
      </c>
      <c r="E821" s="589" t="s">
        <v>104</v>
      </c>
      <c r="F821" s="589" t="s">
        <v>112</v>
      </c>
      <c r="G821" s="589" t="s">
        <v>51</v>
      </c>
      <c r="H821" s="589" t="s">
        <v>242</v>
      </c>
      <c r="I821" s="589" t="s">
        <v>3350</v>
      </c>
      <c r="J821" s="589" t="s">
        <v>35</v>
      </c>
      <c r="K821" s="591">
        <v>811.25</v>
      </c>
      <c r="L821" s="592">
        <f>IF(J821="TND",1,IF(J821="EUR",Vertical_Cash_flow!$C$16,IF(J821="USD",Vertical_Cash_flow!$F$16,0)))</f>
        <v>1</v>
      </c>
      <c r="M821" s="593">
        <f t="shared" si="52"/>
        <v>811.25</v>
      </c>
      <c r="N821" s="589" t="s">
        <v>251</v>
      </c>
      <c r="O821" s="594">
        <v>45418</v>
      </c>
      <c r="P821" s="593">
        <f t="shared" si="53"/>
        <v>-60</v>
      </c>
      <c r="Q821" s="594">
        <v>45478</v>
      </c>
      <c r="R821" s="593">
        <f t="shared" ca="1" si="54"/>
        <v>-37</v>
      </c>
      <c r="S821" s="589" t="str">
        <f>VLOOKUP(Q821,Mapping!L:M,2,0)</f>
        <v>W27_2024</v>
      </c>
      <c r="T821" s="589" t="str">
        <f t="shared" ca="1" si="55"/>
        <v>Not Due</v>
      </c>
      <c r="W821" s="591"/>
    </row>
    <row r="822" spans="1:23" s="589" customFormat="1" x14ac:dyDescent="0.2">
      <c r="A822" s="589" t="s">
        <v>56</v>
      </c>
      <c r="B822" s="589" t="s">
        <v>513</v>
      </c>
      <c r="C822" s="590" t="s">
        <v>2474</v>
      </c>
      <c r="D822" s="589" t="s">
        <v>100</v>
      </c>
      <c r="E822" s="589" t="s">
        <v>104</v>
      </c>
      <c r="F822" s="589" t="s">
        <v>112</v>
      </c>
      <c r="G822" s="589" t="s">
        <v>51</v>
      </c>
      <c r="H822" s="589" t="s">
        <v>242</v>
      </c>
      <c r="I822" s="589" t="s">
        <v>2801</v>
      </c>
      <c r="J822" s="589" t="s">
        <v>35</v>
      </c>
      <c r="K822" s="591">
        <v>995</v>
      </c>
      <c r="L822" s="592">
        <f>IF(J822="TND",1,IF(J822="EUR",Vertical_Cash_flow!$C$16,IF(J822="USD",Vertical_Cash_flow!$F$16,0)))</f>
        <v>1</v>
      </c>
      <c r="M822" s="593">
        <f t="shared" si="52"/>
        <v>995</v>
      </c>
      <c r="N822" s="589" t="s">
        <v>251</v>
      </c>
      <c r="O822" s="594">
        <v>45404</v>
      </c>
      <c r="P822" s="593">
        <f t="shared" si="53"/>
        <v>-74</v>
      </c>
      <c r="Q822" s="594">
        <v>45478</v>
      </c>
      <c r="R822" s="593">
        <f t="shared" ca="1" si="54"/>
        <v>-37</v>
      </c>
      <c r="S822" s="589" t="str">
        <f>VLOOKUP(Q822,Mapping!L:M,2,0)</f>
        <v>W27_2024</v>
      </c>
      <c r="T822" s="589" t="str">
        <f t="shared" ca="1" si="55"/>
        <v>Not Due</v>
      </c>
      <c r="W822" s="591"/>
    </row>
    <row r="823" spans="1:23" s="589" customFormat="1" x14ac:dyDescent="0.2">
      <c r="A823" s="589" t="s">
        <v>56</v>
      </c>
      <c r="B823" s="589" t="s">
        <v>814</v>
      </c>
      <c r="C823" s="590" t="s">
        <v>1595</v>
      </c>
      <c r="D823" s="589" t="s">
        <v>100</v>
      </c>
      <c r="E823" s="589" t="s">
        <v>104</v>
      </c>
      <c r="F823" s="589" t="s">
        <v>112</v>
      </c>
      <c r="G823" s="589" t="s">
        <v>51</v>
      </c>
      <c r="H823" s="589" t="s">
        <v>242</v>
      </c>
      <c r="I823" s="589" t="s">
        <v>1998</v>
      </c>
      <c r="J823" s="589" t="s">
        <v>35</v>
      </c>
      <c r="K823" s="591">
        <v>13620.674000000001</v>
      </c>
      <c r="L823" s="592">
        <f>IF(J823="TND",1,IF(J823="EUR",Vertical_Cash_flow!$C$16,IF(J823="USD",Vertical_Cash_flow!$F$16,0)))</f>
        <v>1</v>
      </c>
      <c r="M823" s="593">
        <f t="shared" si="52"/>
        <v>13620.674000000001</v>
      </c>
      <c r="N823" s="589" t="s">
        <v>251</v>
      </c>
      <c r="O823" s="594">
        <v>45380</v>
      </c>
      <c r="P823" s="593">
        <f t="shared" si="53"/>
        <v>-98</v>
      </c>
      <c r="Q823" s="594">
        <v>45478</v>
      </c>
      <c r="R823" s="593">
        <f t="shared" ca="1" si="54"/>
        <v>-37</v>
      </c>
      <c r="S823" s="589" t="str">
        <f>VLOOKUP(Q823,Mapping!L:M,2,0)</f>
        <v>W27_2024</v>
      </c>
      <c r="T823" s="589" t="str">
        <f t="shared" ca="1" si="55"/>
        <v>Not Due</v>
      </c>
      <c r="W823" s="591"/>
    </row>
    <row r="824" spans="1:23" s="589" customFormat="1" x14ac:dyDescent="0.2">
      <c r="A824" s="589" t="s">
        <v>56</v>
      </c>
      <c r="B824" s="589" t="s">
        <v>631</v>
      </c>
      <c r="C824" s="590" t="s">
        <v>1594</v>
      </c>
      <c r="D824" s="589" t="s">
        <v>100</v>
      </c>
      <c r="E824" s="589" t="s">
        <v>104</v>
      </c>
      <c r="F824" s="589" t="s">
        <v>112</v>
      </c>
      <c r="G824" s="589" t="s">
        <v>51</v>
      </c>
      <c r="H824" s="589" t="s">
        <v>242</v>
      </c>
      <c r="I824" s="589" t="s">
        <v>1940</v>
      </c>
      <c r="J824" s="589" t="s">
        <v>35</v>
      </c>
      <c r="K824" s="591">
        <v>10627.894</v>
      </c>
      <c r="L824" s="592">
        <f>IF(J824="TND",1,IF(J824="EUR",Vertical_Cash_flow!$C$16,IF(J824="USD",Vertical_Cash_flow!$F$16,0)))</f>
        <v>1</v>
      </c>
      <c r="M824" s="593">
        <f t="shared" si="52"/>
        <v>10627.894</v>
      </c>
      <c r="N824" s="589" t="s">
        <v>251</v>
      </c>
      <c r="O824" s="594">
        <v>45350</v>
      </c>
      <c r="P824" s="593">
        <f t="shared" si="53"/>
        <v>-128</v>
      </c>
      <c r="Q824" s="594">
        <v>45478</v>
      </c>
      <c r="R824" s="593">
        <f t="shared" ca="1" si="54"/>
        <v>-37</v>
      </c>
      <c r="S824" s="589" t="str">
        <f>VLOOKUP(Q824,Mapping!L:M,2,0)</f>
        <v>W27_2024</v>
      </c>
      <c r="T824" s="589" t="str">
        <f t="shared" ca="1" si="55"/>
        <v>Not Due</v>
      </c>
      <c r="W824" s="591"/>
    </row>
    <row r="825" spans="1:23" s="589" customFormat="1" x14ac:dyDescent="0.2">
      <c r="A825" s="589" t="s">
        <v>56</v>
      </c>
      <c r="B825" s="589" t="s">
        <v>808</v>
      </c>
      <c r="C825" s="590" t="s">
        <v>2473</v>
      </c>
      <c r="D825" s="589" t="s">
        <v>100</v>
      </c>
      <c r="E825" s="589" t="s">
        <v>104</v>
      </c>
      <c r="F825" s="589" t="s">
        <v>112</v>
      </c>
      <c r="G825" s="589" t="s">
        <v>51</v>
      </c>
      <c r="H825" s="589" t="s">
        <v>242</v>
      </c>
      <c r="I825" s="589" t="s">
        <v>2800</v>
      </c>
      <c r="J825" s="589" t="s">
        <v>35</v>
      </c>
      <c r="K825" s="591">
        <v>2600</v>
      </c>
      <c r="L825" s="592">
        <f>IF(J825="TND",1,IF(J825="EUR",Vertical_Cash_flow!$C$16,IF(J825="USD",Vertical_Cash_flow!$F$16,0)))</f>
        <v>1</v>
      </c>
      <c r="M825" s="593">
        <f t="shared" si="52"/>
        <v>2600</v>
      </c>
      <c r="N825" s="589" t="s">
        <v>251</v>
      </c>
      <c r="O825" s="594">
        <v>45400</v>
      </c>
      <c r="P825" s="593">
        <f t="shared" si="53"/>
        <v>-78</v>
      </c>
      <c r="Q825" s="594">
        <v>45478</v>
      </c>
      <c r="R825" s="593">
        <f t="shared" ca="1" si="54"/>
        <v>-37</v>
      </c>
      <c r="S825" s="589" t="str">
        <f>VLOOKUP(Q825,Mapping!L:M,2,0)</f>
        <v>W27_2024</v>
      </c>
      <c r="T825" s="589" t="str">
        <f t="shared" ca="1" si="55"/>
        <v>Not Due</v>
      </c>
      <c r="W825" s="591"/>
    </row>
    <row r="826" spans="1:23" s="589" customFormat="1" x14ac:dyDescent="0.2">
      <c r="A826" s="589" t="s">
        <v>56</v>
      </c>
      <c r="B826" s="589" t="s">
        <v>848</v>
      </c>
      <c r="C826" s="590" t="s">
        <v>3531</v>
      </c>
      <c r="D826" s="589" t="s">
        <v>100</v>
      </c>
      <c r="E826" s="589" t="s">
        <v>104</v>
      </c>
      <c r="F826" s="589" t="s">
        <v>112</v>
      </c>
      <c r="G826" s="589" t="s">
        <v>51</v>
      </c>
      <c r="H826" s="589" t="s">
        <v>242</v>
      </c>
      <c r="I826" s="589" t="s">
        <v>3682</v>
      </c>
      <c r="J826" s="589" t="s">
        <v>35</v>
      </c>
      <c r="K826" s="591">
        <v>2000</v>
      </c>
      <c r="L826" s="592">
        <f>IF(J826="TND",1,IF(J826="EUR",Vertical_Cash_flow!$C$16,IF(J826="USD",Vertical_Cash_flow!$F$16,0)))</f>
        <v>1</v>
      </c>
      <c r="M826" s="593">
        <f t="shared" si="52"/>
        <v>2000</v>
      </c>
      <c r="N826" s="589" t="s">
        <v>251</v>
      </c>
      <c r="O826" s="594">
        <v>45429</v>
      </c>
      <c r="P826" s="593">
        <f t="shared" si="53"/>
        <v>-49</v>
      </c>
      <c r="Q826" s="594">
        <v>45478</v>
      </c>
      <c r="R826" s="593">
        <f t="shared" ca="1" si="54"/>
        <v>-37</v>
      </c>
      <c r="S826" s="589" t="str">
        <f>VLOOKUP(Q826,Mapping!L:M,2,0)</f>
        <v>W27_2024</v>
      </c>
      <c r="T826" s="589" t="str">
        <f t="shared" ca="1" si="55"/>
        <v>Not Due</v>
      </c>
      <c r="W826" s="591"/>
    </row>
    <row r="827" spans="1:23" s="589" customFormat="1" x14ac:dyDescent="0.2">
      <c r="A827" s="589" t="s">
        <v>56</v>
      </c>
      <c r="B827" s="589" t="s">
        <v>808</v>
      </c>
      <c r="C827" s="590" t="s">
        <v>1265</v>
      </c>
      <c r="D827" s="589" t="s">
        <v>100</v>
      </c>
      <c r="E827" s="589" t="s">
        <v>104</v>
      </c>
      <c r="F827" s="589" t="s">
        <v>112</v>
      </c>
      <c r="G827" s="589" t="s">
        <v>51</v>
      </c>
      <c r="H827" s="589" t="s">
        <v>242</v>
      </c>
      <c r="I827" s="589" t="s">
        <v>1376</v>
      </c>
      <c r="J827" s="589" t="s">
        <v>35</v>
      </c>
      <c r="K827" s="591">
        <v>4000</v>
      </c>
      <c r="L827" s="592">
        <f>IF(J827="TND",1,IF(J827="EUR",Vertical_Cash_flow!$C$16,IF(J827="USD",Vertical_Cash_flow!$F$16,0)))</f>
        <v>1</v>
      </c>
      <c r="M827" s="593">
        <f t="shared" si="52"/>
        <v>4000</v>
      </c>
      <c r="N827" s="589" t="s">
        <v>251</v>
      </c>
      <c r="O827" s="594">
        <v>45328</v>
      </c>
      <c r="P827" s="593">
        <f t="shared" si="53"/>
        <v>-150</v>
      </c>
      <c r="Q827" s="594">
        <v>45478</v>
      </c>
      <c r="R827" s="593">
        <f t="shared" ca="1" si="54"/>
        <v>-37</v>
      </c>
      <c r="S827" s="589" t="str">
        <f>VLOOKUP(Q827,Mapping!L:M,2,0)</f>
        <v>W27_2024</v>
      </c>
      <c r="T827" s="589" t="str">
        <f t="shared" ca="1" si="55"/>
        <v>Not Due</v>
      </c>
      <c r="W827" s="591"/>
    </row>
    <row r="828" spans="1:23" s="589" customFormat="1" x14ac:dyDescent="0.2">
      <c r="A828" s="589" t="s">
        <v>56</v>
      </c>
      <c r="B828" s="589" t="s">
        <v>398</v>
      </c>
      <c r="C828" s="590" t="s">
        <v>1591</v>
      </c>
      <c r="D828" s="589" t="s">
        <v>100</v>
      </c>
      <c r="E828" s="589" t="s">
        <v>104</v>
      </c>
      <c r="F828" s="589" t="s">
        <v>112</v>
      </c>
      <c r="G828" s="589" t="s">
        <v>51</v>
      </c>
      <c r="H828" s="589" t="s">
        <v>242</v>
      </c>
      <c r="I828" s="589" t="s">
        <v>1996</v>
      </c>
      <c r="J828" s="589" t="s">
        <v>35</v>
      </c>
      <c r="K828" s="591">
        <v>3294.7930000000001</v>
      </c>
      <c r="L828" s="592">
        <f>IF(J828="TND",1,IF(J828="EUR",Vertical_Cash_flow!$C$16,IF(J828="USD",Vertical_Cash_flow!$F$16,0)))</f>
        <v>1</v>
      </c>
      <c r="M828" s="593">
        <f t="shared" si="52"/>
        <v>3294.7930000000001</v>
      </c>
      <c r="N828" s="589" t="s">
        <v>251</v>
      </c>
      <c r="O828" s="594">
        <v>45364</v>
      </c>
      <c r="P828" s="593">
        <f t="shared" si="53"/>
        <v>-114</v>
      </c>
      <c r="Q828" s="594">
        <v>45478</v>
      </c>
      <c r="R828" s="593">
        <f t="shared" ca="1" si="54"/>
        <v>-37</v>
      </c>
      <c r="S828" s="589" t="str">
        <f>VLOOKUP(Q828,Mapping!L:M,2,0)</f>
        <v>W27_2024</v>
      </c>
      <c r="T828" s="589" t="str">
        <f t="shared" ca="1" si="55"/>
        <v>Not Due</v>
      </c>
      <c r="W828" s="591"/>
    </row>
    <row r="829" spans="1:23" s="589" customFormat="1" x14ac:dyDescent="0.2">
      <c r="A829" s="589" t="s">
        <v>56</v>
      </c>
      <c r="B829" s="589" t="s">
        <v>345</v>
      </c>
      <c r="C829" s="590" t="s">
        <v>1589</v>
      </c>
      <c r="D829" s="589" t="s">
        <v>100</v>
      </c>
      <c r="E829" s="589" t="s">
        <v>104</v>
      </c>
      <c r="F829" s="589" t="s">
        <v>112</v>
      </c>
      <c r="G829" s="589" t="s">
        <v>51</v>
      </c>
      <c r="H829" s="589" t="s">
        <v>242</v>
      </c>
      <c r="I829" s="589" t="s">
        <v>1995</v>
      </c>
      <c r="J829" s="589" t="s">
        <v>35</v>
      </c>
      <c r="K829" s="591">
        <v>6000</v>
      </c>
      <c r="L829" s="592">
        <f>IF(J829="TND",1,IF(J829="EUR",Vertical_Cash_flow!$C$16,IF(J829="USD",Vertical_Cash_flow!$F$16,0)))</f>
        <v>1</v>
      </c>
      <c r="M829" s="593">
        <f t="shared" si="52"/>
        <v>6000</v>
      </c>
      <c r="N829" s="589" t="s">
        <v>251</v>
      </c>
      <c r="O829" s="594">
        <v>45380</v>
      </c>
      <c r="P829" s="593">
        <f t="shared" si="53"/>
        <v>-98</v>
      </c>
      <c r="Q829" s="594">
        <v>45478</v>
      </c>
      <c r="R829" s="593">
        <f t="shared" ca="1" si="54"/>
        <v>-37</v>
      </c>
      <c r="S829" s="589" t="str">
        <f>VLOOKUP(Q829,Mapping!L:M,2,0)</f>
        <v>W27_2024</v>
      </c>
      <c r="T829" s="589" t="str">
        <f t="shared" ca="1" si="55"/>
        <v>Not Due</v>
      </c>
      <c r="W829" s="591"/>
    </row>
    <row r="830" spans="1:23" s="589" customFormat="1" x14ac:dyDescent="0.2">
      <c r="A830" s="589" t="s">
        <v>56</v>
      </c>
      <c r="B830" s="589" t="s">
        <v>387</v>
      </c>
      <c r="C830" s="590" t="s">
        <v>1590</v>
      </c>
      <c r="D830" s="589" t="s">
        <v>100</v>
      </c>
      <c r="E830" s="589" t="s">
        <v>104</v>
      </c>
      <c r="F830" s="589" t="s">
        <v>112</v>
      </c>
      <c r="G830" s="589" t="s">
        <v>51</v>
      </c>
      <c r="H830" s="589" t="s">
        <v>242</v>
      </c>
      <c r="I830" s="589" t="s">
        <v>999</v>
      </c>
      <c r="J830" s="589" t="s">
        <v>35</v>
      </c>
      <c r="K830" s="591">
        <v>1780.886</v>
      </c>
      <c r="L830" s="592">
        <f>IF(J830="TND",1,IF(J830="EUR",Vertical_Cash_flow!$C$16,IF(J830="USD",Vertical_Cash_flow!$F$16,0)))</f>
        <v>1</v>
      </c>
      <c r="M830" s="593">
        <f t="shared" si="52"/>
        <v>1780.886</v>
      </c>
      <c r="N830" s="589" t="s">
        <v>251</v>
      </c>
      <c r="O830" s="594">
        <v>45349</v>
      </c>
      <c r="P830" s="593">
        <f t="shared" si="53"/>
        <v>-129</v>
      </c>
      <c r="Q830" s="594">
        <v>45478</v>
      </c>
      <c r="R830" s="593">
        <f t="shared" ca="1" si="54"/>
        <v>-37</v>
      </c>
      <c r="S830" s="589" t="str">
        <f>VLOOKUP(Q830,Mapping!L:M,2,0)</f>
        <v>W27_2024</v>
      </c>
      <c r="T830" s="589" t="str">
        <f t="shared" ca="1" si="55"/>
        <v>Not Due</v>
      </c>
      <c r="W830" s="591"/>
    </row>
    <row r="831" spans="1:23" s="589" customFormat="1" x14ac:dyDescent="0.2">
      <c r="A831" s="589" t="s">
        <v>56</v>
      </c>
      <c r="B831" s="589" t="s">
        <v>279</v>
      </c>
      <c r="C831" s="590" t="s">
        <v>1264</v>
      </c>
      <c r="D831" s="589" t="s">
        <v>100</v>
      </c>
      <c r="E831" s="589" t="s">
        <v>104</v>
      </c>
      <c r="F831" s="589" t="s">
        <v>112</v>
      </c>
      <c r="G831" s="589" t="s">
        <v>51</v>
      </c>
      <c r="H831" s="589" t="s">
        <v>242</v>
      </c>
      <c r="I831" s="589" t="s">
        <v>1375</v>
      </c>
      <c r="J831" s="589" t="s">
        <v>35</v>
      </c>
      <c r="K831" s="591">
        <v>3172.297</v>
      </c>
      <c r="L831" s="592">
        <f>IF(J831="TND",1,IF(J831="EUR",Vertical_Cash_flow!$C$16,IF(J831="USD",Vertical_Cash_flow!$F$16,0)))</f>
        <v>1</v>
      </c>
      <c r="M831" s="593">
        <f t="shared" si="52"/>
        <v>3172.297</v>
      </c>
      <c r="N831" s="589" t="s">
        <v>251</v>
      </c>
      <c r="O831" s="594">
        <v>45341</v>
      </c>
      <c r="P831" s="593">
        <f t="shared" si="53"/>
        <v>-137</v>
      </c>
      <c r="Q831" s="594">
        <v>45478</v>
      </c>
      <c r="R831" s="593">
        <f t="shared" ca="1" si="54"/>
        <v>-37</v>
      </c>
      <c r="S831" s="589" t="str">
        <f>VLOOKUP(Q831,Mapping!L:M,2,0)</f>
        <v>W27_2024</v>
      </c>
      <c r="T831" s="589" t="str">
        <f t="shared" ca="1" si="55"/>
        <v>Not Due</v>
      </c>
      <c r="W831" s="591"/>
    </row>
    <row r="832" spans="1:23" s="589" customFormat="1" x14ac:dyDescent="0.2">
      <c r="A832" s="589" t="s">
        <v>56</v>
      </c>
      <c r="B832" s="589" t="s">
        <v>273</v>
      </c>
      <c r="C832" s="590" t="s">
        <v>3530</v>
      </c>
      <c r="D832" s="589" t="s">
        <v>100</v>
      </c>
      <c r="E832" s="589" t="s">
        <v>104</v>
      </c>
      <c r="F832" s="589" t="s">
        <v>112</v>
      </c>
      <c r="G832" s="589" t="s">
        <v>51</v>
      </c>
      <c r="H832" s="589" t="s">
        <v>242</v>
      </c>
      <c r="I832" s="589" t="s">
        <v>3681</v>
      </c>
      <c r="J832" s="589" t="s">
        <v>35</v>
      </c>
      <c r="K832" s="591">
        <v>400</v>
      </c>
      <c r="L832" s="592">
        <f>IF(J832="TND",1,IF(J832="EUR",Vertical_Cash_flow!$C$16,IF(J832="USD",Vertical_Cash_flow!$F$16,0)))</f>
        <v>1</v>
      </c>
      <c r="M832" s="593">
        <f t="shared" si="52"/>
        <v>400</v>
      </c>
      <c r="N832" s="589" t="s">
        <v>251</v>
      </c>
      <c r="O832" s="594">
        <v>45427</v>
      </c>
      <c r="P832" s="593">
        <f t="shared" si="53"/>
        <v>-51</v>
      </c>
      <c r="Q832" s="594">
        <v>45478</v>
      </c>
      <c r="R832" s="593">
        <f t="shared" ca="1" si="54"/>
        <v>-37</v>
      </c>
      <c r="S832" s="589" t="str">
        <f>VLOOKUP(Q832,Mapping!L:M,2,0)</f>
        <v>W27_2024</v>
      </c>
      <c r="T832" s="589" t="str">
        <f t="shared" ca="1" si="55"/>
        <v>Not Due</v>
      </c>
      <c r="W832" s="591"/>
    </row>
    <row r="833" spans="1:23" s="589" customFormat="1" x14ac:dyDescent="0.2">
      <c r="A833" s="589" t="s">
        <v>56</v>
      </c>
      <c r="B833" s="589" t="s">
        <v>482</v>
      </c>
      <c r="C833" s="590" t="s">
        <v>1588</v>
      </c>
      <c r="D833" s="589" t="s">
        <v>100</v>
      </c>
      <c r="E833" s="589" t="s">
        <v>104</v>
      </c>
      <c r="F833" s="589" t="s">
        <v>112</v>
      </c>
      <c r="G833" s="589" t="s">
        <v>51</v>
      </c>
      <c r="H833" s="589" t="s">
        <v>242</v>
      </c>
      <c r="I833" s="589" t="s">
        <v>1994</v>
      </c>
      <c r="J833" s="589" t="s">
        <v>35</v>
      </c>
      <c r="K833" s="591">
        <v>864.27599999999995</v>
      </c>
      <c r="L833" s="592">
        <f>IF(J833="TND",1,IF(J833="EUR",Vertical_Cash_flow!$C$16,IF(J833="USD",Vertical_Cash_flow!$F$16,0)))</f>
        <v>1</v>
      </c>
      <c r="M833" s="593">
        <f t="shared" si="52"/>
        <v>864.27599999999995</v>
      </c>
      <c r="N833" s="589" t="s">
        <v>251</v>
      </c>
      <c r="O833" s="594">
        <v>45350</v>
      </c>
      <c r="P833" s="593">
        <f t="shared" si="53"/>
        <v>-128</v>
      </c>
      <c r="Q833" s="594">
        <v>45478</v>
      </c>
      <c r="R833" s="593">
        <f t="shared" ca="1" si="54"/>
        <v>-37</v>
      </c>
      <c r="S833" s="589" t="str">
        <f>VLOOKUP(Q833,Mapping!L:M,2,0)</f>
        <v>W27_2024</v>
      </c>
      <c r="T833" s="589" t="str">
        <f t="shared" ca="1" si="55"/>
        <v>Not Due</v>
      </c>
      <c r="W833" s="591"/>
    </row>
    <row r="834" spans="1:23" s="589" customFormat="1" x14ac:dyDescent="0.2">
      <c r="A834" s="589" t="s">
        <v>56</v>
      </c>
      <c r="B834" s="589" t="s">
        <v>330</v>
      </c>
      <c r="C834" s="590" t="s">
        <v>2472</v>
      </c>
      <c r="D834" s="589" t="s">
        <v>100</v>
      </c>
      <c r="E834" s="589" t="s">
        <v>104</v>
      </c>
      <c r="F834" s="589" t="s">
        <v>112</v>
      </c>
      <c r="G834" s="589" t="s">
        <v>51</v>
      </c>
      <c r="H834" s="589" t="s">
        <v>242</v>
      </c>
      <c r="I834" s="589" t="s">
        <v>2799</v>
      </c>
      <c r="J834" s="589" t="s">
        <v>35</v>
      </c>
      <c r="K834" s="591">
        <v>3222.0949999999998</v>
      </c>
      <c r="L834" s="592">
        <f>IF(J834="TND",1,IF(J834="EUR",Vertical_Cash_flow!$C$16,IF(J834="USD",Vertical_Cash_flow!$F$16,0)))</f>
        <v>1</v>
      </c>
      <c r="M834" s="593">
        <f t="shared" si="52"/>
        <v>3222.0949999999998</v>
      </c>
      <c r="N834" s="589" t="s">
        <v>251</v>
      </c>
      <c r="O834" s="594">
        <v>45384</v>
      </c>
      <c r="P834" s="593">
        <f t="shared" si="53"/>
        <v>-94</v>
      </c>
      <c r="Q834" s="594">
        <v>45478</v>
      </c>
      <c r="R834" s="593">
        <f t="shared" ca="1" si="54"/>
        <v>-37</v>
      </c>
      <c r="S834" s="589" t="str">
        <f>VLOOKUP(Q834,Mapping!L:M,2,0)</f>
        <v>W27_2024</v>
      </c>
      <c r="T834" s="589" t="str">
        <f t="shared" ca="1" si="55"/>
        <v>Not Due</v>
      </c>
      <c r="W834" s="591"/>
    </row>
    <row r="835" spans="1:23" s="589" customFormat="1" x14ac:dyDescent="0.2">
      <c r="A835" s="589" t="s">
        <v>56</v>
      </c>
      <c r="B835" s="589" t="s">
        <v>328</v>
      </c>
      <c r="C835" s="590" t="s">
        <v>2471</v>
      </c>
      <c r="D835" s="589" t="s">
        <v>100</v>
      </c>
      <c r="E835" s="589" t="s">
        <v>104</v>
      </c>
      <c r="F835" s="589" t="s">
        <v>112</v>
      </c>
      <c r="G835" s="589" t="s">
        <v>51</v>
      </c>
      <c r="H835" s="589" t="s">
        <v>242</v>
      </c>
      <c r="I835" s="589" t="s">
        <v>2798</v>
      </c>
      <c r="J835" s="589" t="s">
        <v>35</v>
      </c>
      <c r="K835" s="591">
        <v>1500</v>
      </c>
      <c r="L835" s="592">
        <f>IF(J835="TND",1,IF(J835="EUR",Vertical_Cash_flow!$C$16,IF(J835="USD",Vertical_Cash_flow!$F$16,0)))</f>
        <v>1</v>
      </c>
      <c r="M835" s="593">
        <f t="shared" si="52"/>
        <v>1500</v>
      </c>
      <c r="N835" s="589" t="s">
        <v>251</v>
      </c>
      <c r="O835" s="594">
        <v>45386</v>
      </c>
      <c r="P835" s="593">
        <f t="shared" si="53"/>
        <v>-92</v>
      </c>
      <c r="Q835" s="594">
        <v>45478</v>
      </c>
      <c r="R835" s="593">
        <f t="shared" ca="1" si="54"/>
        <v>-37</v>
      </c>
      <c r="S835" s="589" t="str">
        <f>VLOOKUP(Q835,Mapping!L:M,2,0)</f>
        <v>W27_2024</v>
      </c>
      <c r="T835" s="589" t="str">
        <f t="shared" ca="1" si="55"/>
        <v>Not Due</v>
      </c>
      <c r="W835" s="591"/>
    </row>
    <row r="836" spans="1:23" s="589" customFormat="1" x14ac:dyDescent="0.2">
      <c r="A836" s="589" t="s">
        <v>56</v>
      </c>
      <c r="B836" s="589" t="s">
        <v>283</v>
      </c>
      <c r="C836" s="590" t="s">
        <v>2469</v>
      </c>
      <c r="D836" s="589" t="s">
        <v>100</v>
      </c>
      <c r="E836" s="589" t="s">
        <v>104</v>
      </c>
      <c r="F836" s="589" t="s">
        <v>112</v>
      </c>
      <c r="G836" s="589" t="s">
        <v>51</v>
      </c>
      <c r="H836" s="589" t="s">
        <v>242</v>
      </c>
      <c r="I836" s="589" t="s">
        <v>2796</v>
      </c>
      <c r="J836" s="589" t="s">
        <v>35</v>
      </c>
      <c r="K836" s="591">
        <v>1677.3320000000001</v>
      </c>
      <c r="L836" s="592">
        <f>IF(J836="TND",1,IF(J836="EUR",Vertical_Cash_flow!$C$16,IF(J836="USD",Vertical_Cash_flow!$F$16,0)))</f>
        <v>1</v>
      </c>
      <c r="M836" s="593">
        <f t="shared" si="52"/>
        <v>1677.3320000000001</v>
      </c>
      <c r="N836" s="589" t="s">
        <v>251</v>
      </c>
      <c r="O836" s="594">
        <v>45407</v>
      </c>
      <c r="P836" s="593">
        <f t="shared" si="53"/>
        <v>-71</v>
      </c>
      <c r="Q836" s="594">
        <v>45478</v>
      </c>
      <c r="R836" s="593">
        <f t="shared" ca="1" si="54"/>
        <v>-37</v>
      </c>
      <c r="S836" s="589" t="str">
        <f>VLOOKUP(Q836,Mapping!L:M,2,0)</f>
        <v>W27_2024</v>
      </c>
      <c r="T836" s="589" t="str">
        <f t="shared" ca="1" si="55"/>
        <v>Not Due</v>
      </c>
      <c r="W836" s="591"/>
    </row>
    <row r="837" spans="1:23" s="589" customFormat="1" x14ac:dyDescent="0.2">
      <c r="A837" s="589" t="s">
        <v>56</v>
      </c>
      <c r="B837" s="589" t="s">
        <v>507</v>
      </c>
      <c r="C837" s="590" t="s">
        <v>2470</v>
      </c>
      <c r="D837" s="589" t="s">
        <v>100</v>
      </c>
      <c r="E837" s="589" t="s">
        <v>104</v>
      </c>
      <c r="F837" s="589" t="s">
        <v>112</v>
      </c>
      <c r="G837" s="589" t="s">
        <v>51</v>
      </c>
      <c r="H837" s="589" t="s">
        <v>242</v>
      </c>
      <c r="I837" s="589" t="s">
        <v>2797</v>
      </c>
      <c r="J837" s="589" t="s">
        <v>35</v>
      </c>
      <c r="K837" s="591">
        <v>1240</v>
      </c>
      <c r="L837" s="592">
        <f>IF(J837="TND",1,IF(J837="EUR",Vertical_Cash_flow!$C$16,IF(J837="USD",Vertical_Cash_flow!$F$16,0)))</f>
        <v>1</v>
      </c>
      <c r="M837" s="593">
        <f t="shared" si="52"/>
        <v>1240</v>
      </c>
      <c r="N837" s="589" t="s">
        <v>251</v>
      </c>
      <c r="O837" s="594">
        <v>45402</v>
      </c>
      <c r="P837" s="593">
        <f t="shared" si="53"/>
        <v>-76</v>
      </c>
      <c r="Q837" s="594">
        <v>45478</v>
      </c>
      <c r="R837" s="593">
        <f t="shared" ca="1" si="54"/>
        <v>-37</v>
      </c>
      <c r="S837" s="589" t="str">
        <f>VLOOKUP(Q837,Mapping!L:M,2,0)</f>
        <v>W27_2024</v>
      </c>
      <c r="T837" s="589" t="str">
        <f t="shared" ca="1" si="55"/>
        <v>Not Due</v>
      </c>
      <c r="W837" s="591"/>
    </row>
    <row r="838" spans="1:23" s="589" customFormat="1" x14ac:dyDescent="0.2">
      <c r="A838" s="589" t="s">
        <v>56</v>
      </c>
      <c r="B838" s="589" t="s">
        <v>274</v>
      </c>
      <c r="C838" s="590" t="s">
        <v>1263</v>
      </c>
      <c r="D838" s="589" t="s">
        <v>100</v>
      </c>
      <c r="E838" s="589" t="s">
        <v>104</v>
      </c>
      <c r="F838" s="589" t="s">
        <v>112</v>
      </c>
      <c r="G838" s="589" t="s">
        <v>51</v>
      </c>
      <c r="H838" s="589" t="s">
        <v>242</v>
      </c>
      <c r="I838" s="589" t="s">
        <v>1374</v>
      </c>
      <c r="J838" s="589" t="s">
        <v>35</v>
      </c>
      <c r="K838" s="591">
        <v>840</v>
      </c>
      <c r="L838" s="592">
        <f>IF(J838="TND",1,IF(J838="EUR",Vertical_Cash_flow!$C$16,IF(J838="USD",Vertical_Cash_flow!$F$16,0)))</f>
        <v>1</v>
      </c>
      <c r="M838" s="593">
        <f t="shared" si="52"/>
        <v>840</v>
      </c>
      <c r="N838" s="589" t="s">
        <v>251</v>
      </c>
      <c r="O838" s="594">
        <v>45343</v>
      </c>
      <c r="P838" s="593">
        <f t="shared" si="53"/>
        <v>-136</v>
      </c>
      <c r="Q838" s="594">
        <v>45479</v>
      </c>
      <c r="R838" s="593">
        <f t="shared" ca="1" si="54"/>
        <v>-38</v>
      </c>
      <c r="S838" s="589" t="str">
        <f>VLOOKUP(Q838,Mapping!L:M,2,0)</f>
        <v>W28_2024</v>
      </c>
      <c r="T838" s="589" t="str">
        <f t="shared" ca="1" si="55"/>
        <v>Not Due</v>
      </c>
      <c r="W838" s="591"/>
    </row>
    <row r="839" spans="1:23" s="589" customFormat="1" x14ac:dyDescent="0.2">
      <c r="A839" s="589" t="s">
        <v>56</v>
      </c>
      <c r="B839" s="589" t="s">
        <v>285</v>
      </c>
      <c r="C839" s="590" t="s">
        <v>1587</v>
      </c>
      <c r="D839" s="589" t="s">
        <v>100</v>
      </c>
      <c r="E839" s="589" t="s">
        <v>104</v>
      </c>
      <c r="F839" s="589" t="s">
        <v>112</v>
      </c>
      <c r="G839" s="589" t="s">
        <v>51</v>
      </c>
      <c r="H839" s="589" t="s">
        <v>242</v>
      </c>
      <c r="I839" s="589" t="s">
        <v>1993</v>
      </c>
      <c r="J839" s="589" t="s">
        <v>35</v>
      </c>
      <c r="K839" s="591">
        <v>1237.2719999999999</v>
      </c>
      <c r="L839" s="592">
        <f>IF(J839="TND",1,IF(J839="EUR",Vertical_Cash_flow!$C$16,IF(J839="USD",Vertical_Cash_flow!$F$16,0)))</f>
        <v>1</v>
      </c>
      <c r="M839" s="593">
        <f t="shared" si="52"/>
        <v>1237.2719999999999</v>
      </c>
      <c r="N839" s="589" t="s">
        <v>251</v>
      </c>
      <c r="O839" s="594">
        <v>45351</v>
      </c>
      <c r="P839" s="593">
        <f t="shared" si="53"/>
        <v>-128</v>
      </c>
      <c r="Q839" s="594">
        <v>45479</v>
      </c>
      <c r="R839" s="593">
        <f t="shared" ca="1" si="54"/>
        <v>-38</v>
      </c>
      <c r="S839" s="589" t="str">
        <f>VLOOKUP(Q839,Mapping!L:M,2,0)</f>
        <v>W28_2024</v>
      </c>
      <c r="T839" s="589" t="str">
        <f t="shared" ca="1" si="55"/>
        <v>Not Due</v>
      </c>
      <c r="W839" s="591"/>
    </row>
    <row r="840" spans="1:23" s="589" customFormat="1" x14ac:dyDescent="0.2">
      <c r="A840" s="589" t="s">
        <v>56</v>
      </c>
      <c r="B840" s="589" t="s">
        <v>493</v>
      </c>
      <c r="C840" s="590" t="s">
        <v>3163</v>
      </c>
      <c r="D840" s="589" t="s">
        <v>100</v>
      </c>
      <c r="E840" s="589" t="s">
        <v>104</v>
      </c>
      <c r="F840" s="589" t="s">
        <v>112</v>
      </c>
      <c r="G840" s="589" t="s">
        <v>51</v>
      </c>
      <c r="H840" s="589" t="s">
        <v>242</v>
      </c>
      <c r="I840" s="589" t="s">
        <v>3347</v>
      </c>
      <c r="J840" s="589" t="s">
        <v>35</v>
      </c>
      <c r="K840" s="591">
        <v>1254.942</v>
      </c>
      <c r="L840" s="592">
        <f>IF(J840="TND",1,IF(J840="EUR",Vertical_Cash_flow!$C$16,IF(J840="USD",Vertical_Cash_flow!$F$16,0)))</f>
        <v>1</v>
      </c>
      <c r="M840" s="593">
        <f t="shared" si="52"/>
        <v>1254.942</v>
      </c>
      <c r="N840" s="589" t="s">
        <v>251</v>
      </c>
      <c r="O840" s="594">
        <v>45415</v>
      </c>
      <c r="P840" s="593">
        <f t="shared" si="53"/>
        <v>-64</v>
      </c>
      <c r="Q840" s="594">
        <v>45479</v>
      </c>
      <c r="R840" s="593">
        <f t="shared" ca="1" si="54"/>
        <v>-38</v>
      </c>
      <c r="S840" s="589" t="str">
        <f>VLOOKUP(Q840,Mapping!L:M,2,0)</f>
        <v>W28_2024</v>
      </c>
      <c r="T840" s="589" t="str">
        <f t="shared" ca="1" si="55"/>
        <v>Not Due</v>
      </c>
      <c r="W840" s="591"/>
    </row>
    <row r="841" spans="1:23" s="589" customFormat="1" x14ac:dyDescent="0.2">
      <c r="A841" s="589" t="s">
        <v>56</v>
      </c>
      <c r="B841" s="589" t="s">
        <v>481</v>
      </c>
      <c r="C841" s="590" t="s">
        <v>2468</v>
      </c>
      <c r="D841" s="589" t="s">
        <v>100</v>
      </c>
      <c r="E841" s="589" t="s">
        <v>104</v>
      </c>
      <c r="F841" s="589" t="s">
        <v>112</v>
      </c>
      <c r="G841" s="589" t="s">
        <v>51</v>
      </c>
      <c r="H841" s="589" t="s">
        <v>242</v>
      </c>
      <c r="I841" s="589" t="s">
        <v>2795</v>
      </c>
      <c r="J841" s="589" t="s">
        <v>35</v>
      </c>
      <c r="K841" s="591">
        <v>5400</v>
      </c>
      <c r="L841" s="592">
        <f>IF(J841="TND",1,IF(J841="EUR",Vertical_Cash_flow!$C$16,IF(J841="USD",Vertical_Cash_flow!$F$16,0)))</f>
        <v>1</v>
      </c>
      <c r="M841" s="593">
        <f t="shared" si="52"/>
        <v>5400</v>
      </c>
      <c r="N841" s="589" t="s">
        <v>251</v>
      </c>
      <c r="O841" s="594">
        <v>45383</v>
      </c>
      <c r="P841" s="593">
        <f t="shared" si="53"/>
        <v>-96</v>
      </c>
      <c r="Q841" s="594">
        <v>45479</v>
      </c>
      <c r="R841" s="593">
        <f t="shared" ca="1" si="54"/>
        <v>-38</v>
      </c>
      <c r="S841" s="589" t="str">
        <f>VLOOKUP(Q841,Mapping!L:M,2,0)</f>
        <v>W28_2024</v>
      </c>
      <c r="T841" s="589" t="str">
        <f t="shared" ca="1" si="55"/>
        <v>Not Due</v>
      </c>
      <c r="W841" s="591"/>
    </row>
    <row r="842" spans="1:23" s="589" customFormat="1" x14ac:dyDescent="0.2">
      <c r="A842" s="589" t="s">
        <v>56</v>
      </c>
      <c r="B842" s="589" t="s">
        <v>589</v>
      </c>
      <c r="C842" s="590" t="s">
        <v>1586</v>
      </c>
      <c r="D842" s="589" t="s">
        <v>100</v>
      </c>
      <c r="E842" s="589" t="s">
        <v>104</v>
      </c>
      <c r="F842" s="589" t="s">
        <v>112</v>
      </c>
      <c r="G842" s="589" t="s">
        <v>51</v>
      </c>
      <c r="H842" s="589" t="s">
        <v>242</v>
      </c>
      <c r="I842" s="589" t="s">
        <v>1992</v>
      </c>
      <c r="J842" s="589" t="s">
        <v>35</v>
      </c>
      <c r="K842" s="591">
        <v>2300</v>
      </c>
      <c r="L842" s="592">
        <f>IF(J842="TND",1,IF(J842="EUR",Vertical_Cash_flow!$C$16,IF(J842="USD",Vertical_Cash_flow!$F$16,0)))</f>
        <v>1</v>
      </c>
      <c r="M842" s="593">
        <f t="shared" si="52"/>
        <v>2300</v>
      </c>
      <c r="N842" s="589" t="s">
        <v>251</v>
      </c>
      <c r="O842" s="594">
        <v>45351</v>
      </c>
      <c r="P842" s="593">
        <f t="shared" si="53"/>
        <v>-128</v>
      </c>
      <c r="Q842" s="594">
        <v>45479</v>
      </c>
      <c r="R842" s="593">
        <f t="shared" ca="1" si="54"/>
        <v>-38</v>
      </c>
      <c r="S842" s="589" t="str">
        <f>VLOOKUP(Q842,Mapping!L:M,2,0)</f>
        <v>W28_2024</v>
      </c>
      <c r="T842" s="589" t="str">
        <f t="shared" ca="1" si="55"/>
        <v>Not Due</v>
      </c>
      <c r="W842" s="591"/>
    </row>
    <row r="843" spans="1:23" s="589" customFormat="1" x14ac:dyDescent="0.2">
      <c r="A843" s="589" t="s">
        <v>56</v>
      </c>
      <c r="B843" s="589" t="s">
        <v>325</v>
      </c>
      <c r="C843" s="590" t="s">
        <v>3162</v>
      </c>
      <c r="D843" s="589" t="s">
        <v>100</v>
      </c>
      <c r="E843" s="589" t="s">
        <v>104</v>
      </c>
      <c r="F843" s="589" t="s">
        <v>112</v>
      </c>
      <c r="G843" s="589" t="s">
        <v>51</v>
      </c>
      <c r="H843" s="589" t="s">
        <v>242</v>
      </c>
      <c r="I843" s="589" t="s">
        <v>3346</v>
      </c>
      <c r="J843" s="589" t="s">
        <v>35</v>
      </c>
      <c r="K843" s="591">
        <v>975</v>
      </c>
      <c r="L843" s="592">
        <f>IF(J843="TND",1,IF(J843="EUR",Vertical_Cash_flow!$C$16,IF(J843="USD",Vertical_Cash_flow!$F$16,0)))</f>
        <v>1</v>
      </c>
      <c r="M843" s="593">
        <f t="shared" si="52"/>
        <v>975</v>
      </c>
      <c r="N843" s="589" t="s">
        <v>251</v>
      </c>
      <c r="O843" s="594">
        <v>45411</v>
      </c>
      <c r="P843" s="593">
        <f t="shared" si="53"/>
        <v>-68</v>
      </c>
      <c r="Q843" s="594">
        <v>45479</v>
      </c>
      <c r="R843" s="593">
        <f t="shared" ca="1" si="54"/>
        <v>-38</v>
      </c>
      <c r="S843" s="589" t="str">
        <f>VLOOKUP(Q843,Mapping!L:M,2,0)</f>
        <v>W28_2024</v>
      </c>
      <c r="T843" s="589" t="str">
        <f t="shared" ca="1" si="55"/>
        <v>Not Due</v>
      </c>
      <c r="W843" s="591"/>
    </row>
    <row r="844" spans="1:23" s="589" customFormat="1" x14ac:dyDescent="0.2">
      <c r="A844" s="589" t="s">
        <v>56</v>
      </c>
      <c r="B844" s="589" t="s">
        <v>274</v>
      </c>
      <c r="C844" s="590" t="s">
        <v>1262</v>
      </c>
      <c r="D844" s="589" t="s">
        <v>100</v>
      </c>
      <c r="E844" s="589" t="s">
        <v>104</v>
      </c>
      <c r="F844" s="589" t="s">
        <v>112</v>
      </c>
      <c r="G844" s="589" t="s">
        <v>51</v>
      </c>
      <c r="H844" s="589" t="s">
        <v>242</v>
      </c>
      <c r="I844" s="589" t="s">
        <v>1373</v>
      </c>
      <c r="J844" s="589" t="s">
        <v>35</v>
      </c>
      <c r="K844" s="591">
        <v>780</v>
      </c>
      <c r="L844" s="592">
        <f>IF(J844="TND",1,IF(J844="EUR",Vertical_Cash_flow!$C$16,IF(J844="USD",Vertical_Cash_flow!$F$16,0)))</f>
        <v>1</v>
      </c>
      <c r="M844" s="593">
        <f t="shared" si="52"/>
        <v>780</v>
      </c>
      <c r="N844" s="589" t="s">
        <v>251</v>
      </c>
      <c r="O844" s="594">
        <v>45343</v>
      </c>
      <c r="P844" s="593">
        <f t="shared" si="53"/>
        <v>-137</v>
      </c>
      <c r="Q844" s="594">
        <v>45480</v>
      </c>
      <c r="R844" s="593">
        <f t="shared" ca="1" si="54"/>
        <v>-39</v>
      </c>
      <c r="S844" s="589" t="str">
        <f>VLOOKUP(Q844,Mapping!L:M,2,0)</f>
        <v>W28_2024</v>
      </c>
      <c r="T844" s="589" t="str">
        <f t="shared" ca="1" si="55"/>
        <v>Not Due</v>
      </c>
      <c r="W844" s="591"/>
    </row>
    <row r="845" spans="1:23" s="589" customFormat="1" x14ac:dyDescent="0.2">
      <c r="A845" s="589" t="s">
        <v>56</v>
      </c>
      <c r="B845" s="589" t="s">
        <v>511</v>
      </c>
      <c r="C845" s="590" t="s">
        <v>1585</v>
      </c>
      <c r="D845" s="589" t="s">
        <v>100</v>
      </c>
      <c r="E845" s="589" t="s">
        <v>104</v>
      </c>
      <c r="F845" s="589" t="s">
        <v>112</v>
      </c>
      <c r="G845" s="589" t="s">
        <v>51</v>
      </c>
      <c r="H845" s="589" t="s">
        <v>242</v>
      </c>
      <c r="I845" s="589" t="s">
        <v>1991</v>
      </c>
      <c r="J845" s="589" t="s">
        <v>35</v>
      </c>
      <c r="K845" s="591">
        <v>3022.8159999999998</v>
      </c>
      <c r="L845" s="592">
        <f>IF(J845="TND",1,IF(J845="EUR",Vertical_Cash_flow!$C$16,IF(J845="USD",Vertical_Cash_flow!$F$16,0)))</f>
        <v>1</v>
      </c>
      <c r="M845" s="593">
        <f t="shared" si="52"/>
        <v>3022.8159999999998</v>
      </c>
      <c r="N845" s="589" t="s">
        <v>251</v>
      </c>
      <c r="O845" s="594">
        <v>45380</v>
      </c>
      <c r="P845" s="593">
        <f t="shared" si="53"/>
        <v>-100</v>
      </c>
      <c r="Q845" s="594">
        <v>45480</v>
      </c>
      <c r="R845" s="593">
        <f t="shared" ca="1" si="54"/>
        <v>-39</v>
      </c>
      <c r="S845" s="589" t="str">
        <f>VLOOKUP(Q845,Mapping!L:M,2,0)</f>
        <v>W28_2024</v>
      </c>
      <c r="T845" s="589" t="str">
        <f t="shared" ca="1" si="55"/>
        <v>Not Due</v>
      </c>
      <c r="W845" s="591"/>
    </row>
    <row r="846" spans="1:23" s="589" customFormat="1" x14ac:dyDescent="0.2">
      <c r="A846" s="589" t="s">
        <v>56</v>
      </c>
      <c r="B846" s="589" t="s">
        <v>288</v>
      </c>
      <c r="C846" s="590" t="s">
        <v>1584</v>
      </c>
      <c r="D846" s="589" t="s">
        <v>100</v>
      </c>
      <c r="E846" s="589" t="s">
        <v>104</v>
      </c>
      <c r="F846" s="589" t="s">
        <v>112</v>
      </c>
      <c r="G846" s="589" t="s">
        <v>51</v>
      </c>
      <c r="H846" s="589" t="s">
        <v>242</v>
      </c>
      <c r="I846" s="589" t="s">
        <v>1990</v>
      </c>
      <c r="J846" s="589" t="s">
        <v>35</v>
      </c>
      <c r="K846" s="591">
        <v>700</v>
      </c>
      <c r="L846" s="592">
        <f>IF(J846="TND",1,IF(J846="EUR",Vertical_Cash_flow!$C$16,IF(J846="USD",Vertical_Cash_flow!$F$16,0)))</f>
        <v>1</v>
      </c>
      <c r="M846" s="593">
        <f t="shared" si="52"/>
        <v>700</v>
      </c>
      <c r="N846" s="589" t="s">
        <v>251</v>
      </c>
      <c r="O846" s="594">
        <v>45379</v>
      </c>
      <c r="P846" s="593">
        <f t="shared" si="53"/>
        <v>-101</v>
      </c>
      <c r="Q846" s="594">
        <v>45480</v>
      </c>
      <c r="R846" s="593">
        <f t="shared" ca="1" si="54"/>
        <v>-39</v>
      </c>
      <c r="S846" s="589" t="str">
        <f>VLOOKUP(Q846,Mapping!L:M,2,0)</f>
        <v>W28_2024</v>
      </c>
      <c r="T846" s="589" t="str">
        <f t="shared" ca="1" si="55"/>
        <v>Not Due</v>
      </c>
      <c r="W846" s="591"/>
    </row>
    <row r="847" spans="1:23" s="589" customFormat="1" x14ac:dyDescent="0.2">
      <c r="A847" s="589" t="s">
        <v>56</v>
      </c>
      <c r="B847" s="589" t="s">
        <v>3409</v>
      </c>
      <c r="C847" s="590" t="s">
        <v>3529</v>
      </c>
      <c r="D847" s="589" t="s">
        <v>100</v>
      </c>
      <c r="E847" s="589" t="s">
        <v>104</v>
      </c>
      <c r="F847" s="589" t="s">
        <v>112</v>
      </c>
      <c r="G847" s="589" t="s">
        <v>51</v>
      </c>
      <c r="H847" s="589" t="s">
        <v>242</v>
      </c>
      <c r="I847" s="589" t="s">
        <v>3680</v>
      </c>
      <c r="J847" s="589" t="s">
        <v>35</v>
      </c>
      <c r="K847" s="591">
        <v>2056.9499999999998</v>
      </c>
      <c r="L847" s="592">
        <f>IF(J847="TND",1,IF(J847="EUR",Vertical_Cash_flow!$C$16,IF(J847="USD",Vertical_Cash_flow!$F$16,0)))</f>
        <v>1</v>
      </c>
      <c r="M847" s="593">
        <f t="shared" si="52"/>
        <v>2056.9499999999998</v>
      </c>
      <c r="N847" s="589" t="s">
        <v>251</v>
      </c>
      <c r="O847" s="594">
        <v>45423</v>
      </c>
      <c r="P847" s="593">
        <f t="shared" si="53"/>
        <v>-57</v>
      </c>
      <c r="Q847" s="594">
        <v>45480</v>
      </c>
      <c r="R847" s="593">
        <f t="shared" ca="1" si="54"/>
        <v>-39</v>
      </c>
      <c r="S847" s="589" t="str">
        <f>VLOOKUP(Q847,Mapping!L:M,2,0)</f>
        <v>W28_2024</v>
      </c>
      <c r="T847" s="589" t="str">
        <f t="shared" ca="1" si="55"/>
        <v>Not Due</v>
      </c>
      <c r="W847" s="591"/>
    </row>
    <row r="848" spans="1:23" s="589" customFormat="1" x14ac:dyDescent="0.2">
      <c r="A848" s="589" t="s">
        <v>56</v>
      </c>
      <c r="B848" s="589" t="s">
        <v>636</v>
      </c>
      <c r="C848" s="590" t="s">
        <v>3528</v>
      </c>
      <c r="D848" s="589" t="s">
        <v>100</v>
      </c>
      <c r="E848" s="589" t="s">
        <v>104</v>
      </c>
      <c r="F848" s="589" t="s">
        <v>112</v>
      </c>
      <c r="G848" s="589" t="s">
        <v>51</v>
      </c>
      <c r="H848" s="589" t="s">
        <v>242</v>
      </c>
      <c r="I848" s="589" t="s">
        <v>645</v>
      </c>
      <c r="J848" s="589" t="s">
        <v>35</v>
      </c>
      <c r="K848" s="591">
        <v>2561.297</v>
      </c>
      <c r="L848" s="592">
        <f>IF(J848="TND",1,IF(J848="EUR",Vertical_Cash_flow!$C$16,IF(J848="USD",Vertical_Cash_flow!$F$16,0)))</f>
        <v>1</v>
      </c>
      <c r="M848" s="593">
        <f t="shared" si="52"/>
        <v>2561.297</v>
      </c>
      <c r="N848" s="589" t="s">
        <v>251</v>
      </c>
      <c r="O848" s="594">
        <v>45427</v>
      </c>
      <c r="P848" s="593">
        <f t="shared" si="53"/>
        <v>-53</v>
      </c>
      <c r="Q848" s="594">
        <v>45480</v>
      </c>
      <c r="R848" s="593">
        <f t="shared" ca="1" si="54"/>
        <v>-39</v>
      </c>
      <c r="S848" s="589" t="str">
        <f>VLOOKUP(Q848,Mapping!L:M,2,0)</f>
        <v>W28_2024</v>
      </c>
      <c r="T848" s="589" t="str">
        <f t="shared" ca="1" si="55"/>
        <v>Not Due</v>
      </c>
      <c r="W848" s="591"/>
    </row>
    <row r="849" spans="1:23" s="589" customFormat="1" x14ac:dyDescent="0.2">
      <c r="A849" s="589" t="s">
        <v>56</v>
      </c>
      <c r="B849" s="589" t="s">
        <v>872</v>
      </c>
      <c r="C849" s="590" t="s">
        <v>2467</v>
      </c>
      <c r="D849" s="589" t="s">
        <v>100</v>
      </c>
      <c r="E849" s="589" t="s">
        <v>104</v>
      </c>
      <c r="F849" s="589" t="s">
        <v>112</v>
      </c>
      <c r="G849" s="589" t="s">
        <v>51</v>
      </c>
      <c r="H849" s="589" t="s">
        <v>242</v>
      </c>
      <c r="I849" s="589" t="s">
        <v>2794</v>
      </c>
      <c r="J849" s="589" t="s">
        <v>35</v>
      </c>
      <c r="K849" s="591">
        <v>1424.896</v>
      </c>
      <c r="L849" s="592">
        <f>IF(J849="TND",1,IF(J849="EUR",Vertical_Cash_flow!$C$16,IF(J849="USD",Vertical_Cash_flow!$F$16,0)))</f>
        <v>1</v>
      </c>
      <c r="M849" s="593">
        <f t="shared" si="52"/>
        <v>1424.896</v>
      </c>
      <c r="N849" s="589" t="s">
        <v>251</v>
      </c>
      <c r="O849" s="594">
        <v>45387</v>
      </c>
      <c r="P849" s="593">
        <f t="shared" si="53"/>
        <v>-94</v>
      </c>
      <c r="Q849" s="594">
        <v>45481</v>
      </c>
      <c r="R849" s="593">
        <f t="shared" ca="1" si="54"/>
        <v>-40</v>
      </c>
      <c r="S849" s="589" t="str">
        <f>VLOOKUP(Q849,Mapping!L:M,2,0)</f>
        <v>W28_2024</v>
      </c>
      <c r="T849" s="589" t="str">
        <f t="shared" ca="1" si="55"/>
        <v>Not Due</v>
      </c>
      <c r="W849" s="591"/>
    </row>
    <row r="850" spans="1:23" s="589" customFormat="1" x14ac:dyDescent="0.2">
      <c r="A850" s="589" t="s">
        <v>56</v>
      </c>
      <c r="B850" s="589" t="s">
        <v>274</v>
      </c>
      <c r="C850" s="590" t="s">
        <v>1261</v>
      </c>
      <c r="D850" s="589" t="s">
        <v>100</v>
      </c>
      <c r="E850" s="589" t="s">
        <v>104</v>
      </c>
      <c r="F850" s="589" t="s">
        <v>112</v>
      </c>
      <c r="G850" s="589" t="s">
        <v>51</v>
      </c>
      <c r="H850" s="589" t="s">
        <v>242</v>
      </c>
      <c r="I850" s="589" t="s">
        <v>1372</v>
      </c>
      <c r="J850" s="589" t="s">
        <v>35</v>
      </c>
      <c r="K850" s="591">
        <v>875</v>
      </c>
      <c r="L850" s="592">
        <f>IF(J850="TND",1,IF(J850="EUR",Vertical_Cash_flow!$C$16,IF(J850="USD",Vertical_Cash_flow!$F$16,0)))</f>
        <v>1</v>
      </c>
      <c r="M850" s="593">
        <f t="shared" si="52"/>
        <v>875</v>
      </c>
      <c r="N850" s="589" t="s">
        <v>251</v>
      </c>
      <c r="O850" s="594">
        <v>45343</v>
      </c>
      <c r="P850" s="593">
        <f t="shared" si="53"/>
        <v>-138</v>
      </c>
      <c r="Q850" s="594">
        <v>45481</v>
      </c>
      <c r="R850" s="593">
        <f t="shared" ca="1" si="54"/>
        <v>-40</v>
      </c>
      <c r="S850" s="589" t="str">
        <f>VLOOKUP(Q850,Mapping!L:M,2,0)</f>
        <v>W28_2024</v>
      </c>
      <c r="T850" s="589" t="str">
        <f t="shared" ca="1" si="55"/>
        <v>Not Due</v>
      </c>
      <c r="W850" s="591"/>
    </row>
    <row r="851" spans="1:23" s="589" customFormat="1" x14ac:dyDescent="0.2">
      <c r="A851" s="589" t="s">
        <v>56</v>
      </c>
      <c r="B851" s="589" t="s">
        <v>1247</v>
      </c>
      <c r="C851" s="590" t="s">
        <v>1583</v>
      </c>
      <c r="D851" s="589" t="s">
        <v>100</v>
      </c>
      <c r="E851" s="589" t="s">
        <v>104</v>
      </c>
      <c r="F851" s="589" t="s">
        <v>112</v>
      </c>
      <c r="G851" s="589" t="s">
        <v>51</v>
      </c>
      <c r="H851" s="589" t="s">
        <v>242</v>
      </c>
      <c r="I851" s="589" t="s">
        <v>1989</v>
      </c>
      <c r="J851" s="589" t="s">
        <v>35</v>
      </c>
      <c r="K851" s="591">
        <v>2420.5</v>
      </c>
      <c r="L851" s="592">
        <f>IF(J851="TND",1,IF(J851="EUR",Vertical_Cash_flow!$C$16,IF(J851="USD",Vertical_Cash_flow!$F$16,0)))</f>
        <v>1</v>
      </c>
      <c r="M851" s="593">
        <f t="shared" si="52"/>
        <v>2420.5</v>
      </c>
      <c r="N851" s="589" t="s">
        <v>251</v>
      </c>
      <c r="O851" s="594">
        <v>45380</v>
      </c>
      <c r="P851" s="593">
        <f t="shared" si="53"/>
        <v>-101</v>
      </c>
      <c r="Q851" s="594">
        <v>45481</v>
      </c>
      <c r="R851" s="593">
        <f t="shared" ca="1" si="54"/>
        <v>-40</v>
      </c>
      <c r="S851" s="589" t="str">
        <f>VLOOKUP(Q851,Mapping!L:M,2,0)</f>
        <v>W28_2024</v>
      </c>
      <c r="T851" s="589" t="str">
        <f t="shared" ca="1" si="55"/>
        <v>Not Due</v>
      </c>
      <c r="W851" s="591"/>
    </row>
    <row r="852" spans="1:23" s="589" customFormat="1" x14ac:dyDescent="0.2">
      <c r="A852" s="589" t="s">
        <v>56</v>
      </c>
      <c r="B852" s="589" t="s">
        <v>348</v>
      </c>
      <c r="C852" s="590" t="s">
        <v>1582</v>
      </c>
      <c r="D852" s="589" t="s">
        <v>100</v>
      </c>
      <c r="E852" s="589" t="s">
        <v>104</v>
      </c>
      <c r="F852" s="589" t="s">
        <v>112</v>
      </c>
      <c r="G852" s="589" t="s">
        <v>51</v>
      </c>
      <c r="H852" s="589" t="s">
        <v>242</v>
      </c>
      <c r="I852" s="589" t="s">
        <v>1988</v>
      </c>
      <c r="J852" s="589" t="s">
        <v>35</v>
      </c>
      <c r="K852" s="591">
        <v>4000</v>
      </c>
      <c r="L852" s="592">
        <f>IF(J852="TND",1,IF(J852="EUR",Vertical_Cash_flow!$C$16,IF(J852="USD",Vertical_Cash_flow!$F$16,0)))</f>
        <v>1</v>
      </c>
      <c r="M852" s="593">
        <f t="shared" si="52"/>
        <v>4000</v>
      </c>
      <c r="N852" s="589" t="s">
        <v>251</v>
      </c>
      <c r="O852" s="594">
        <v>45380</v>
      </c>
      <c r="P852" s="593">
        <f t="shared" si="53"/>
        <v>-101</v>
      </c>
      <c r="Q852" s="594">
        <v>45481</v>
      </c>
      <c r="R852" s="593">
        <f t="shared" ca="1" si="54"/>
        <v>-40</v>
      </c>
      <c r="S852" s="589" t="str">
        <f>VLOOKUP(Q852,Mapping!L:M,2,0)</f>
        <v>W28_2024</v>
      </c>
      <c r="T852" s="589" t="str">
        <f t="shared" ca="1" si="55"/>
        <v>Not Due</v>
      </c>
      <c r="W852" s="591"/>
    </row>
    <row r="853" spans="1:23" s="589" customFormat="1" x14ac:dyDescent="0.2">
      <c r="A853" s="589" t="s">
        <v>56</v>
      </c>
      <c r="B853" s="589" t="s">
        <v>289</v>
      </c>
      <c r="C853" s="590" t="s">
        <v>2466</v>
      </c>
      <c r="D853" s="589" t="s">
        <v>100</v>
      </c>
      <c r="E853" s="589" t="s">
        <v>104</v>
      </c>
      <c r="F853" s="589" t="s">
        <v>112</v>
      </c>
      <c r="G853" s="589" t="s">
        <v>51</v>
      </c>
      <c r="H853" s="589" t="s">
        <v>242</v>
      </c>
      <c r="I853" s="589" t="s">
        <v>2793</v>
      </c>
      <c r="J853" s="589" t="s">
        <v>35</v>
      </c>
      <c r="K853" s="591">
        <v>2659.0790000000002</v>
      </c>
      <c r="L853" s="592">
        <f>IF(J853="TND",1,IF(J853="EUR",Vertical_Cash_flow!$C$16,IF(J853="USD",Vertical_Cash_flow!$F$16,0)))</f>
        <v>1</v>
      </c>
      <c r="M853" s="593">
        <f t="shared" ref="M853:M916" si="56">K853/L853</f>
        <v>2659.0790000000002</v>
      </c>
      <c r="N853" s="589" t="s">
        <v>251</v>
      </c>
      <c r="O853" s="594">
        <v>45390</v>
      </c>
      <c r="P853" s="593">
        <f t="shared" ref="P853:P916" si="57">O853-Q853</f>
        <v>-91</v>
      </c>
      <c r="Q853" s="594">
        <v>45481</v>
      </c>
      <c r="R853" s="593">
        <f t="shared" ref="R853:R916" ca="1" si="58">$W$1-Q853</f>
        <v>-40</v>
      </c>
      <c r="S853" s="589" t="str">
        <f>VLOOKUP(Q853,Mapping!L:M,2,0)</f>
        <v>W28_2024</v>
      </c>
      <c r="T853" s="589" t="str">
        <f t="shared" ref="T853:T916" ca="1" si="59">IF(R853="","",IF(R853&lt;0,"Not Due",IF(AND(R853&gt;=0,R853&lt;=30),"up to 30 days",IF(AND(R853&gt;30,R853&lt;=60),"30-60 days",IF(AND(R853&gt;60,R853&lt;=90),"60-90 days",IF(AND(R853&gt;90,R853&lt;=120),"90-120 days",IF(AND(R853&gt;120,R853&lt;=180),"120-180 days",IF(AND(R853&gt;180,R853&lt;=360),"180-360 days",IF(R853&gt;360,"more than 360 days","ok")))))))))</f>
        <v>Not Due</v>
      </c>
      <c r="W853" s="591"/>
    </row>
    <row r="854" spans="1:23" s="589" customFormat="1" x14ac:dyDescent="0.2">
      <c r="A854" s="589" t="s">
        <v>56</v>
      </c>
      <c r="B854" s="589" t="s">
        <v>340</v>
      </c>
      <c r="C854" s="590" t="s">
        <v>2465</v>
      </c>
      <c r="D854" s="589" t="s">
        <v>100</v>
      </c>
      <c r="E854" s="589" t="s">
        <v>104</v>
      </c>
      <c r="F854" s="589" t="s">
        <v>112</v>
      </c>
      <c r="G854" s="589" t="s">
        <v>51</v>
      </c>
      <c r="H854" s="589" t="s">
        <v>242</v>
      </c>
      <c r="I854" s="589" t="s">
        <v>2792</v>
      </c>
      <c r="J854" s="589" t="s">
        <v>35</v>
      </c>
      <c r="K854" s="591">
        <v>5286.9359999999997</v>
      </c>
      <c r="L854" s="592">
        <f>IF(J854="TND",1,IF(J854="EUR",Vertical_Cash_flow!$C$16,IF(J854="USD",Vertical_Cash_flow!$F$16,0)))</f>
        <v>1</v>
      </c>
      <c r="M854" s="593">
        <f t="shared" si="56"/>
        <v>5286.9359999999997</v>
      </c>
      <c r="N854" s="589" t="s">
        <v>251</v>
      </c>
      <c r="O854" s="594">
        <v>45402</v>
      </c>
      <c r="P854" s="593">
        <f t="shared" si="57"/>
        <v>-79</v>
      </c>
      <c r="Q854" s="594">
        <v>45481</v>
      </c>
      <c r="R854" s="593">
        <f t="shared" ca="1" si="58"/>
        <v>-40</v>
      </c>
      <c r="S854" s="589" t="str">
        <f>VLOOKUP(Q854,Mapping!L:M,2,0)</f>
        <v>W28_2024</v>
      </c>
      <c r="T854" s="589" t="str">
        <f t="shared" ca="1" si="59"/>
        <v>Not Due</v>
      </c>
      <c r="W854" s="591"/>
    </row>
    <row r="855" spans="1:23" s="589" customFormat="1" x14ac:dyDescent="0.2">
      <c r="A855" s="589" t="s">
        <v>56</v>
      </c>
      <c r="B855" s="589" t="s">
        <v>274</v>
      </c>
      <c r="C855" s="590" t="s">
        <v>1260</v>
      </c>
      <c r="D855" s="589" t="s">
        <v>100</v>
      </c>
      <c r="E855" s="589" t="s">
        <v>104</v>
      </c>
      <c r="F855" s="589" t="s">
        <v>112</v>
      </c>
      <c r="G855" s="589" t="s">
        <v>51</v>
      </c>
      <c r="H855" s="589" t="s">
        <v>242</v>
      </c>
      <c r="I855" s="589" t="s">
        <v>1371</v>
      </c>
      <c r="J855" s="589" t="s">
        <v>35</v>
      </c>
      <c r="K855" s="591">
        <v>870</v>
      </c>
      <c r="L855" s="592">
        <f>IF(J855="TND",1,IF(J855="EUR",Vertical_Cash_flow!$C$16,IF(J855="USD",Vertical_Cash_flow!$F$16,0)))</f>
        <v>1</v>
      </c>
      <c r="M855" s="593">
        <f t="shared" si="56"/>
        <v>870</v>
      </c>
      <c r="N855" s="589" t="s">
        <v>251</v>
      </c>
      <c r="O855" s="594">
        <v>45343</v>
      </c>
      <c r="P855" s="593">
        <f t="shared" si="57"/>
        <v>-139</v>
      </c>
      <c r="Q855" s="594">
        <v>45482</v>
      </c>
      <c r="R855" s="593">
        <f t="shared" ca="1" si="58"/>
        <v>-41</v>
      </c>
      <c r="S855" s="589" t="str">
        <f>VLOOKUP(Q855,Mapping!L:M,2,0)</f>
        <v>W28_2024</v>
      </c>
      <c r="T855" s="589" t="str">
        <f t="shared" ca="1" si="59"/>
        <v>Not Due</v>
      </c>
      <c r="W855" s="591"/>
    </row>
    <row r="856" spans="1:23" s="589" customFormat="1" x14ac:dyDescent="0.2">
      <c r="A856" s="589" t="s">
        <v>56</v>
      </c>
      <c r="B856" s="589" t="s">
        <v>479</v>
      </c>
      <c r="C856" s="590" t="s">
        <v>1581</v>
      </c>
      <c r="D856" s="589" t="s">
        <v>100</v>
      </c>
      <c r="E856" s="589" t="s">
        <v>104</v>
      </c>
      <c r="F856" s="589" t="s">
        <v>112</v>
      </c>
      <c r="G856" s="589" t="s">
        <v>51</v>
      </c>
      <c r="H856" s="589" t="s">
        <v>242</v>
      </c>
      <c r="I856" s="589" t="s">
        <v>1987</v>
      </c>
      <c r="J856" s="589" t="s">
        <v>35</v>
      </c>
      <c r="K856" s="591">
        <v>2982.6669999999999</v>
      </c>
      <c r="L856" s="592">
        <f>IF(J856="TND",1,IF(J856="EUR",Vertical_Cash_flow!$C$16,IF(J856="USD",Vertical_Cash_flow!$F$16,0)))</f>
        <v>1</v>
      </c>
      <c r="M856" s="593">
        <f t="shared" si="56"/>
        <v>2982.6669999999999</v>
      </c>
      <c r="N856" s="589" t="s">
        <v>251</v>
      </c>
      <c r="O856" s="594">
        <v>45376</v>
      </c>
      <c r="P856" s="593">
        <f t="shared" si="57"/>
        <v>-106</v>
      </c>
      <c r="Q856" s="594">
        <v>45482</v>
      </c>
      <c r="R856" s="593">
        <f t="shared" ca="1" si="58"/>
        <v>-41</v>
      </c>
      <c r="S856" s="589" t="str">
        <f>VLOOKUP(Q856,Mapping!L:M,2,0)</f>
        <v>W28_2024</v>
      </c>
      <c r="T856" s="589" t="str">
        <f t="shared" ca="1" si="59"/>
        <v>Not Due</v>
      </c>
      <c r="W856" s="591"/>
    </row>
    <row r="857" spans="1:23" s="589" customFormat="1" x14ac:dyDescent="0.2">
      <c r="A857" s="589" t="s">
        <v>56</v>
      </c>
      <c r="B857" s="589" t="s">
        <v>498</v>
      </c>
      <c r="C857" s="590" t="s">
        <v>1580</v>
      </c>
      <c r="D857" s="589" t="s">
        <v>100</v>
      </c>
      <c r="E857" s="589" t="s">
        <v>104</v>
      </c>
      <c r="F857" s="589" t="s">
        <v>112</v>
      </c>
      <c r="G857" s="589" t="s">
        <v>51</v>
      </c>
      <c r="H857" s="589" t="s">
        <v>242</v>
      </c>
      <c r="I857" s="589" t="s">
        <v>1986</v>
      </c>
      <c r="J857" s="589" t="s">
        <v>35</v>
      </c>
      <c r="K857" s="591">
        <v>6875</v>
      </c>
      <c r="L857" s="592">
        <f>IF(J857="TND",1,IF(J857="EUR",Vertical_Cash_flow!$C$16,IF(J857="USD",Vertical_Cash_flow!$F$16,0)))</f>
        <v>1</v>
      </c>
      <c r="M857" s="593">
        <f t="shared" si="56"/>
        <v>6875</v>
      </c>
      <c r="N857" s="589" t="s">
        <v>251</v>
      </c>
      <c r="O857" s="594">
        <v>45351</v>
      </c>
      <c r="P857" s="593">
        <f t="shared" si="57"/>
        <v>-131</v>
      </c>
      <c r="Q857" s="594">
        <v>45482</v>
      </c>
      <c r="R857" s="593">
        <f t="shared" ca="1" si="58"/>
        <v>-41</v>
      </c>
      <c r="S857" s="589" t="str">
        <f>VLOOKUP(Q857,Mapping!L:M,2,0)</f>
        <v>W28_2024</v>
      </c>
      <c r="T857" s="589" t="str">
        <f t="shared" ca="1" si="59"/>
        <v>Not Due</v>
      </c>
      <c r="W857" s="591"/>
    </row>
    <row r="858" spans="1:23" s="589" customFormat="1" x14ac:dyDescent="0.2">
      <c r="A858" s="589" t="s">
        <v>56</v>
      </c>
      <c r="B858" s="589" t="s">
        <v>371</v>
      </c>
      <c r="C858" s="590" t="s">
        <v>1579</v>
      </c>
      <c r="D858" s="589" t="s">
        <v>100</v>
      </c>
      <c r="E858" s="589" t="s">
        <v>104</v>
      </c>
      <c r="F858" s="589" t="s">
        <v>112</v>
      </c>
      <c r="G858" s="589" t="s">
        <v>51</v>
      </c>
      <c r="H858" s="589" t="s">
        <v>242</v>
      </c>
      <c r="I858" s="589" t="s">
        <v>1985</v>
      </c>
      <c r="J858" s="589" t="s">
        <v>35</v>
      </c>
      <c r="K858" s="591">
        <v>531.274</v>
      </c>
      <c r="L858" s="592">
        <f>IF(J858="TND",1,IF(J858="EUR",Vertical_Cash_flow!$C$16,IF(J858="USD",Vertical_Cash_flow!$F$16,0)))</f>
        <v>1</v>
      </c>
      <c r="M858" s="593">
        <f t="shared" si="56"/>
        <v>531.274</v>
      </c>
      <c r="N858" s="589" t="s">
        <v>251</v>
      </c>
      <c r="O858" s="594">
        <v>45359</v>
      </c>
      <c r="P858" s="593">
        <f t="shared" si="57"/>
        <v>-123</v>
      </c>
      <c r="Q858" s="594">
        <v>45482</v>
      </c>
      <c r="R858" s="593">
        <f t="shared" ca="1" si="58"/>
        <v>-41</v>
      </c>
      <c r="S858" s="589" t="str">
        <f>VLOOKUP(Q858,Mapping!L:M,2,0)</f>
        <v>W28_2024</v>
      </c>
      <c r="T858" s="589" t="str">
        <f t="shared" ca="1" si="59"/>
        <v>Not Due</v>
      </c>
      <c r="W858" s="591"/>
    </row>
    <row r="859" spans="1:23" s="589" customFormat="1" x14ac:dyDescent="0.2">
      <c r="A859" s="589" t="s">
        <v>56</v>
      </c>
      <c r="B859" s="589" t="s">
        <v>570</v>
      </c>
      <c r="C859" s="590" t="s">
        <v>1574</v>
      </c>
      <c r="D859" s="589" t="s">
        <v>100</v>
      </c>
      <c r="E859" s="589" t="s">
        <v>104</v>
      </c>
      <c r="F859" s="589" t="s">
        <v>112</v>
      </c>
      <c r="G859" s="589" t="s">
        <v>51</v>
      </c>
      <c r="H859" s="589" t="s">
        <v>242</v>
      </c>
      <c r="I859" s="589" t="s">
        <v>1980</v>
      </c>
      <c r="J859" s="589" t="s">
        <v>35</v>
      </c>
      <c r="K859" s="591">
        <v>28632.269</v>
      </c>
      <c r="L859" s="592">
        <f>IF(J859="TND",1,IF(J859="EUR",Vertical_Cash_flow!$C$16,IF(J859="USD",Vertical_Cash_flow!$F$16,0)))</f>
        <v>1</v>
      </c>
      <c r="M859" s="593">
        <f t="shared" si="56"/>
        <v>28632.269</v>
      </c>
      <c r="N859" s="589" t="s">
        <v>251</v>
      </c>
      <c r="O859" s="594">
        <v>45370</v>
      </c>
      <c r="P859" s="593">
        <f t="shared" si="57"/>
        <v>-113</v>
      </c>
      <c r="Q859" s="594">
        <v>45483</v>
      </c>
      <c r="R859" s="593">
        <f t="shared" ca="1" si="58"/>
        <v>-42</v>
      </c>
      <c r="S859" s="589" t="str">
        <f>VLOOKUP(Q859,Mapping!L:M,2,0)</f>
        <v>W28_2024</v>
      </c>
      <c r="T859" s="589" t="str">
        <f t="shared" ca="1" si="59"/>
        <v>Not Due</v>
      </c>
      <c r="W859" s="591"/>
    </row>
    <row r="860" spans="1:23" s="589" customFormat="1" x14ac:dyDescent="0.2">
      <c r="A860" s="589" t="s">
        <v>56</v>
      </c>
      <c r="B860" s="589" t="s">
        <v>285</v>
      </c>
      <c r="C860" s="590" t="s">
        <v>1578</v>
      </c>
      <c r="D860" s="589" t="s">
        <v>100</v>
      </c>
      <c r="E860" s="589" t="s">
        <v>104</v>
      </c>
      <c r="F860" s="589" t="s">
        <v>112</v>
      </c>
      <c r="G860" s="589" t="s">
        <v>51</v>
      </c>
      <c r="H860" s="589" t="s">
        <v>242</v>
      </c>
      <c r="I860" s="589" t="s">
        <v>1984</v>
      </c>
      <c r="J860" s="589" t="s">
        <v>35</v>
      </c>
      <c r="K860" s="591">
        <v>1237.2719999999999</v>
      </c>
      <c r="L860" s="592">
        <f>IF(J860="TND",1,IF(J860="EUR",Vertical_Cash_flow!$C$16,IF(J860="USD",Vertical_Cash_flow!$F$16,0)))</f>
        <v>1</v>
      </c>
      <c r="M860" s="593">
        <f t="shared" si="56"/>
        <v>1237.2719999999999</v>
      </c>
      <c r="N860" s="589" t="s">
        <v>251</v>
      </c>
      <c r="O860" s="594">
        <v>45351</v>
      </c>
      <c r="P860" s="593">
        <f t="shared" si="57"/>
        <v>-132</v>
      </c>
      <c r="Q860" s="594">
        <v>45483</v>
      </c>
      <c r="R860" s="593">
        <f t="shared" ca="1" si="58"/>
        <v>-42</v>
      </c>
      <c r="S860" s="589" t="str">
        <f>VLOOKUP(Q860,Mapping!L:M,2,0)</f>
        <v>W28_2024</v>
      </c>
      <c r="T860" s="589" t="str">
        <f t="shared" ca="1" si="59"/>
        <v>Not Due</v>
      </c>
      <c r="W860" s="591"/>
    </row>
    <row r="861" spans="1:23" s="589" customFormat="1" x14ac:dyDescent="0.2">
      <c r="A861" s="589" t="s">
        <v>56</v>
      </c>
      <c r="B861" s="589" t="s">
        <v>310</v>
      </c>
      <c r="C861" s="590" t="s">
        <v>3160</v>
      </c>
      <c r="D861" s="589" t="s">
        <v>100</v>
      </c>
      <c r="E861" s="589" t="s">
        <v>104</v>
      </c>
      <c r="F861" s="589" t="s">
        <v>112</v>
      </c>
      <c r="G861" s="589" t="s">
        <v>51</v>
      </c>
      <c r="H861" s="589" t="s">
        <v>242</v>
      </c>
      <c r="I861" s="589" t="s">
        <v>3344</v>
      </c>
      <c r="J861" s="589" t="s">
        <v>35</v>
      </c>
      <c r="K861" s="591">
        <v>936.33299999999997</v>
      </c>
      <c r="L861" s="592">
        <f>IF(J861="TND",1,IF(J861="EUR",Vertical_Cash_flow!$C$16,IF(J861="USD",Vertical_Cash_flow!$F$16,0)))</f>
        <v>1</v>
      </c>
      <c r="M861" s="593">
        <f t="shared" si="56"/>
        <v>936.33299999999997</v>
      </c>
      <c r="N861" s="589" t="s">
        <v>251</v>
      </c>
      <c r="O861" s="594">
        <v>45412</v>
      </c>
      <c r="P861" s="593">
        <f t="shared" si="57"/>
        <v>-71</v>
      </c>
      <c r="Q861" s="594">
        <v>45483</v>
      </c>
      <c r="R861" s="593">
        <f t="shared" ca="1" si="58"/>
        <v>-42</v>
      </c>
      <c r="S861" s="589" t="str">
        <f>VLOOKUP(Q861,Mapping!L:M,2,0)</f>
        <v>W28_2024</v>
      </c>
      <c r="T861" s="589" t="str">
        <f t="shared" ca="1" si="59"/>
        <v>Not Due</v>
      </c>
      <c r="W861" s="591"/>
    </row>
    <row r="862" spans="1:23" s="589" customFormat="1" x14ac:dyDescent="0.2">
      <c r="A862" s="589" t="s">
        <v>56</v>
      </c>
      <c r="B862" s="589" t="s">
        <v>353</v>
      </c>
      <c r="C862" s="590" t="s">
        <v>1575</v>
      </c>
      <c r="D862" s="589" t="s">
        <v>100</v>
      </c>
      <c r="E862" s="589" t="s">
        <v>104</v>
      </c>
      <c r="F862" s="589" t="s">
        <v>112</v>
      </c>
      <c r="G862" s="589" t="s">
        <v>51</v>
      </c>
      <c r="H862" s="589" t="s">
        <v>242</v>
      </c>
      <c r="I862" s="589" t="s">
        <v>1981</v>
      </c>
      <c r="J862" s="589" t="s">
        <v>35</v>
      </c>
      <c r="K862" s="591">
        <v>772.85400000000004</v>
      </c>
      <c r="L862" s="592">
        <f>IF(J862="TND",1,IF(J862="EUR",Vertical_Cash_flow!$C$16,IF(J862="USD",Vertical_Cash_flow!$F$16,0)))</f>
        <v>1</v>
      </c>
      <c r="M862" s="593">
        <f t="shared" si="56"/>
        <v>772.85400000000004</v>
      </c>
      <c r="N862" s="589" t="s">
        <v>251</v>
      </c>
      <c r="O862" s="594">
        <v>45376</v>
      </c>
      <c r="P862" s="593">
        <f t="shared" si="57"/>
        <v>-107</v>
      </c>
      <c r="Q862" s="594">
        <v>45483</v>
      </c>
      <c r="R862" s="593">
        <f t="shared" ca="1" si="58"/>
        <v>-42</v>
      </c>
      <c r="S862" s="589" t="str">
        <f>VLOOKUP(Q862,Mapping!L:M,2,0)</f>
        <v>W28_2024</v>
      </c>
      <c r="T862" s="589" t="str">
        <f t="shared" ca="1" si="59"/>
        <v>Not Due</v>
      </c>
      <c r="W862" s="591"/>
    </row>
    <row r="863" spans="1:23" s="589" customFormat="1" x14ac:dyDescent="0.2">
      <c r="A863" s="589" t="s">
        <v>56</v>
      </c>
      <c r="B863" s="589" t="s">
        <v>274</v>
      </c>
      <c r="C863" s="590" t="s">
        <v>1259</v>
      </c>
      <c r="D863" s="589" t="s">
        <v>100</v>
      </c>
      <c r="E863" s="589" t="s">
        <v>104</v>
      </c>
      <c r="F863" s="589" t="s">
        <v>112</v>
      </c>
      <c r="G863" s="589" t="s">
        <v>51</v>
      </c>
      <c r="H863" s="589" t="s">
        <v>242</v>
      </c>
      <c r="I863" s="589" t="s">
        <v>1370</v>
      </c>
      <c r="J863" s="589" t="s">
        <v>35</v>
      </c>
      <c r="K863" s="591">
        <v>865</v>
      </c>
      <c r="L863" s="592">
        <f>IF(J863="TND",1,IF(J863="EUR",Vertical_Cash_flow!$C$16,IF(J863="USD",Vertical_Cash_flow!$F$16,0)))</f>
        <v>1</v>
      </c>
      <c r="M863" s="593">
        <f t="shared" si="56"/>
        <v>865</v>
      </c>
      <c r="N863" s="589" t="s">
        <v>251</v>
      </c>
      <c r="O863" s="594">
        <v>45343</v>
      </c>
      <c r="P863" s="593">
        <f t="shared" si="57"/>
        <v>-140</v>
      </c>
      <c r="Q863" s="594">
        <v>45483</v>
      </c>
      <c r="R863" s="593">
        <f t="shared" ca="1" si="58"/>
        <v>-42</v>
      </c>
      <c r="S863" s="589" t="str">
        <f>VLOOKUP(Q863,Mapping!L:M,2,0)</f>
        <v>W28_2024</v>
      </c>
      <c r="T863" s="589" t="str">
        <f t="shared" ca="1" si="59"/>
        <v>Not Due</v>
      </c>
      <c r="W863" s="591"/>
    </row>
    <row r="864" spans="1:23" s="589" customFormat="1" x14ac:dyDescent="0.2">
      <c r="A864" s="589" t="s">
        <v>56</v>
      </c>
      <c r="B864" s="589" t="s">
        <v>294</v>
      </c>
      <c r="C864" s="590" t="s">
        <v>2464</v>
      </c>
      <c r="D864" s="589" t="s">
        <v>100</v>
      </c>
      <c r="E864" s="589" t="s">
        <v>104</v>
      </c>
      <c r="F864" s="589" t="s">
        <v>112</v>
      </c>
      <c r="G864" s="589" t="s">
        <v>51</v>
      </c>
      <c r="H864" s="589" t="s">
        <v>242</v>
      </c>
      <c r="I864" s="589" t="s">
        <v>2791</v>
      </c>
      <c r="J864" s="589" t="s">
        <v>35</v>
      </c>
      <c r="K864" s="591">
        <v>1522.364</v>
      </c>
      <c r="L864" s="592">
        <f>IF(J864="TND",1,IF(J864="EUR",Vertical_Cash_flow!$C$16,IF(J864="USD",Vertical_Cash_flow!$F$16,0)))</f>
        <v>1</v>
      </c>
      <c r="M864" s="593">
        <f t="shared" si="56"/>
        <v>1522.364</v>
      </c>
      <c r="N864" s="589" t="s">
        <v>251</v>
      </c>
      <c r="O864" s="594">
        <v>45399</v>
      </c>
      <c r="P864" s="593">
        <f t="shared" si="57"/>
        <v>-84</v>
      </c>
      <c r="Q864" s="594">
        <v>45483</v>
      </c>
      <c r="R864" s="593">
        <f t="shared" ca="1" si="58"/>
        <v>-42</v>
      </c>
      <c r="S864" s="589" t="str">
        <f>VLOOKUP(Q864,Mapping!L:M,2,0)</f>
        <v>W28_2024</v>
      </c>
      <c r="T864" s="589" t="str">
        <f t="shared" ca="1" si="59"/>
        <v>Not Due</v>
      </c>
      <c r="W864" s="591"/>
    </row>
    <row r="865" spans="1:23" s="589" customFormat="1" x14ac:dyDescent="0.2">
      <c r="A865" s="589" t="s">
        <v>56</v>
      </c>
      <c r="B865" s="589" t="s">
        <v>491</v>
      </c>
      <c r="C865" s="590" t="s">
        <v>3161</v>
      </c>
      <c r="D865" s="589" t="s">
        <v>100</v>
      </c>
      <c r="E865" s="589" t="s">
        <v>104</v>
      </c>
      <c r="F865" s="589" t="s">
        <v>112</v>
      </c>
      <c r="G865" s="589" t="s">
        <v>51</v>
      </c>
      <c r="H865" s="589" t="s">
        <v>242</v>
      </c>
      <c r="I865" s="589" t="s">
        <v>3345</v>
      </c>
      <c r="J865" s="589" t="s">
        <v>35</v>
      </c>
      <c r="K865" s="591">
        <v>1550</v>
      </c>
      <c r="L865" s="592">
        <f>IF(J865="TND",1,IF(J865="EUR",Vertical_Cash_flow!$C$16,IF(J865="USD",Vertical_Cash_flow!$F$16,0)))</f>
        <v>1</v>
      </c>
      <c r="M865" s="593">
        <f t="shared" si="56"/>
        <v>1550</v>
      </c>
      <c r="N865" s="589" t="s">
        <v>251</v>
      </c>
      <c r="O865" s="594">
        <v>45420</v>
      </c>
      <c r="P865" s="593">
        <f t="shared" si="57"/>
        <v>-63</v>
      </c>
      <c r="Q865" s="594">
        <v>45483</v>
      </c>
      <c r="R865" s="593">
        <f t="shared" ca="1" si="58"/>
        <v>-42</v>
      </c>
      <c r="S865" s="589" t="str">
        <f>VLOOKUP(Q865,Mapping!L:M,2,0)</f>
        <v>W28_2024</v>
      </c>
      <c r="T865" s="589" t="str">
        <f t="shared" ca="1" si="59"/>
        <v>Not Due</v>
      </c>
      <c r="W865" s="591"/>
    </row>
    <row r="866" spans="1:23" s="589" customFormat="1" x14ac:dyDescent="0.2">
      <c r="A866" s="589" t="s">
        <v>56</v>
      </c>
      <c r="B866" s="589" t="s">
        <v>537</v>
      </c>
      <c r="C866" s="590" t="s">
        <v>1577</v>
      </c>
      <c r="D866" s="589" t="s">
        <v>100</v>
      </c>
      <c r="E866" s="589" t="s">
        <v>104</v>
      </c>
      <c r="F866" s="589" t="s">
        <v>112</v>
      </c>
      <c r="G866" s="589" t="s">
        <v>51</v>
      </c>
      <c r="H866" s="589" t="s">
        <v>242</v>
      </c>
      <c r="I866" s="589" t="s">
        <v>1983</v>
      </c>
      <c r="J866" s="589" t="s">
        <v>35</v>
      </c>
      <c r="K866" s="591">
        <v>7912.567</v>
      </c>
      <c r="L866" s="592">
        <f>IF(J866="TND",1,IF(J866="EUR",Vertical_Cash_flow!$C$16,IF(J866="USD",Vertical_Cash_flow!$F$16,0)))</f>
        <v>1</v>
      </c>
      <c r="M866" s="593">
        <f t="shared" si="56"/>
        <v>7912.567</v>
      </c>
      <c r="N866" s="589" t="s">
        <v>251</v>
      </c>
      <c r="O866" s="594">
        <v>45380</v>
      </c>
      <c r="P866" s="593">
        <f t="shared" si="57"/>
        <v>-103</v>
      </c>
      <c r="Q866" s="594">
        <v>45483</v>
      </c>
      <c r="R866" s="593">
        <f t="shared" ca="1" si="58"/>
        <v>-42</v>
      </c>
      <c r="S866" s="589" t="str">
        <f>VLOOKUP(Q866,Mapping!L:M,2,0)</f>
        <v>W28_2024</v>
      </c>
      <c r="T866" s="589" t="str">
        <f t="shared" ca="1" si="59"/>
        <v>Not Due</v>
      </c>
      <c r="W866" s="591"/>
    </row>
    <row r="867" spans="1:23" s="589" customFormat="1" x14ac:dyDescent="0.2">
      <c r="A867" s="589" t="s">
        <v>56</v>
      </c>
      <c r="B867" s="589" t="s">
        <v>1247</v>
      </c>
      <c r="C867" s="590" t="s">
        <v>1576</v>
      </c>
      <c r="D867" s="589" t="s">
        <v>100</v>
      </c>
      <c r="E867" s="589" t="s">
        <v>104</v>
      </c>
      <c r="F867" s="589" t="s">
        <v>112</v>
      </c>
      <c r="G867" s="589" t="s">
        <v>51</v>
      </c>
      <c r="H867" s="589" t="s">
        <v>242</v>
      </c>
      <c r="I867" s="589" t="s">
        <v>1982</v>
      </c>
      <c r="J867" s="589" t="s">
        <v>35</v>
      </c>
      <c r="K867" s="591">
        <v>2420.5</v>
      </c>
      <c r="L867" s="592">
        <f>IF(J867="TND",1,IF(J867="EUR",Vertical_Cash_flow!$C$16,IF(J867="USD",Vertical_Cash_flow!$F$16,0)))</f>
        <v>1</v>
      </c>
      <c r="M867" s="593">
        <f t="shared" si="56"/>
        <v>2420.5</v>
      </c>
      <c r="N867" s="589" t="s">
        <v>251</v>
      </c>
      <c r="O867" s="594">
        <v>45380</v>
      </c>
      <c r="P867" s="593">
        <f t="shared" si="57"/>
        <v>-103</v>
      </c>
      <c r="Q867" s="594">
        <v>45483</v>
      </c>
      <c r="R867" s="593">
        <f t="shared" ca="1" si="58"/>
        <v>-42</v>
      </c>
      <c r="S867" s="589" t="str">
        <f>VLOOKUP(Q867,Mapping!L:M,2,0)</f>
        <v>W28_2024</v>
      </c>
      <c r="T867" s="589" t="str">
        <f t="shared" ca="1" si="59"/>
        <v>Not Due</v>
      </c>
      <c r="W867" s="591"/>
    </row>
    <row r="868" spans="1:23" s="589" customFormat="1" x14ac:dyDescent="0.2">
      <c r="A868" s="589" t="s">
        <v>56</v>
      </c>
      <c r="B868" s="589" t="s">
        <v>396</v>
      </c>
      <c r="C868" s="590" t="s">
        <v>2463</v>
      </c>
      <c r="D868" s="589" t="s">
        <v>100</v>
      </c>
      <c r="E868" s="589" t="s">
        <v>104</v>
      </c>
      <c r="F868" s="589" t="s">
        <v>112</v>
      </c>
      <c r="G868" s="589" t="s">
        <v>51</v>
      </c>
      <c r="H868" s="589" t="s">
        <v>242</v>
      </c>
      <c r="I868" s="589" t="s">
        <v>2790</v>
      </c>
      <c r="J868" s="589" t="s">
        <v>35</v>
      </c>
      <c r="K868" s="591">
        <v>360.47399999999999</v>
      </c>
      <c r="L868" s="592">
        <f>IF(J868="TND",1,IF(J868="EUR",Vertical_Cash_flow!$C$16,IF(J868="USD",Vertical_Cash_flow!$F$16,0)))</f>
        <v>1</v>
      </c>
      <c r="M868" s="593">
        <f t="shared" si="56"/>
        <v>360.47399999999999</v>
      </c>
      <c r="N868" s="589" t="s">
        <v>251</v>
      </c>
      <c r="O868" s="594">
        <v>45405</v>
      </c>
      <c r="P868" s="593">
        <f t="shared" si="57"/>
        <v>-78</v>
      </c>
      <c r="Q868" s="594">
        <v>45483</v>
      </c>
      <c r="R868" s="593">
        <f t="shared" ca="1" si="58"/>
        <v>-42</v>
      </c>
      <c r="S868" s="589" t="str">
        <f>VLOOKUP(Q868,Mapping!L:M,2,0)</f>
        <v>W28_2024</v>
      </c>
      <c r="T868" s="589" t="str">
        <f t="shared" ca="1" si="59"/>
        <v>Not Due</v>
      </c>
      <c r="W868" s="591"/>
    </row>
    <row r="869" spans="1:23" s="589" customFormat="1" x14ac:dyDescent="0.2">
      <c r="A869" s="589" t="s">
        <v>56</v>
      </c>
      <c r="B869" s="589" t="s">
        <v>349</v>
      </c>
      <c r="C869" s="590" t="s">
        <v>1573</v>
      </c>
      <c r="D869" s="589" t="s">
        <v>100</v>
      </c>
      <c r="E869" s="589" t="s">
        <v>104</v>
      </c>
      <c r="F869" s="589" t="s">
        <v>112</v>
      </c>
      <c r="G869" s="589" t="s">
        <v>51</v>
      </c>
      <c r="H869" s="589" t="s">
        <v>242</v>
      </c>
      <c r="I869" s="589" t="s">
        <v>1979</v>
      </c>
      <c r="J869" s="589" t="s">
        <v>35</v>
      </c>
      <c r="K869" s="591">
        <v>5000</v>
      </c>
      <c r="L869" s="592">
        <f>IF(J869="TND",1,IF(J869="EUR",Vertical_Cash_flow!$C$16,IF(J869="USD",Vertical_Cash_flow!$F$16,0)))</f>
        <v>1</v>
      </c>
      <c r="M869" s="593">
        <f t="shared" si="56"/>
        <v>5000</v>
      </c>
      <c r="N869" s="589" t="s">
        <v>251</v>
      </c>
      <c r="O869" s="594">
        <v>45369</v>
      </c>
      <c r="P869" s="593">
        <f t="shared" si="57"/>
        <v>-114</v>
      </c>
      <c r="Q869" s="594">
        <v>45483</v>
      </c>
      <c r="R869" s="593">
        <f t="shared" ca="1" si="58"/>
        <v>-42</v>
      </c>
      <c r="S869" s="589" t="str">
        <f>VLOOKUP(Q869,Mapping!L:M,2,0)</f>
        <v>W28_2024</v>
      </c>
      <c r="T869" s="589" t="str">
        <f t="shared" ca="1" si="59"/>
        <v>Not Due</v>
      </c>
      <c r="W869" s="591"/>
    </row>
    <row r="870" spans="1:23" s="589" customFormat="1" x14ac:dyDescent="0.2">
      <c r="A870" s="589" t="s">
        <v>56</v>
      </c>
      <c r="B870" s="589" t="s">
        <v>406</v>
      </c>
      <c r="C870" s="590" t="s">
        <v>3159</v>
      </c>
      <c r="D870" s="589" t="s">
        <v>100</v>
      </c>
      <c r="E870" s="589" t="s">
        <v>104</v>
      </c>
      <c r="F870" s="589" t="s">
        <v>112</v>
      </c>
      <c r="G870" s="589" t="s">
        <v>51</v>
      </c>
      <c r="H870" s="589" t="s">
        <v>242</v>
      </c>
      <c r="I870" s="589" t="s">
        <v>3343</v>
      </c>
      <c r="J870" s="589" t="s">
        <v>35</v>
      </c>
      <c r="K870" s="591">
        <v>1088.848</v>
      </c>
      <c r="L870" s="592">
        <f>IF(J870="TND",1,IF(J870="EUR",Vertical_Cash_flow!$C$16,IF(J870="USD",Vertical_Cash_flow!$F$16,0)))</f>
        <v>1</v>
      </c>
      <c r="M870" s="593">
        <f t="shared" si="56"/>
        <v>1088.848</v>
      </c>
      <c r="N870" s="589" t="s">
        <v>251</v>
      </c>
      <c r="O870" s="594">
        <v>45409</v>
      </c>
      <c r="P870" s="593">
        <f t="shared" si="57"/>
        <v>-74</v>
      </c>
      <c r="Q870" s="594">
        <v>45483</v>
      </c>
      <c r="R870" s="593">
        <f t="shared" ca="1" si="58"/>
        <v>-42</v>
      </c>
      <c r="S870" s="589" t="str">
        <f>VLOOKUP(Q870,Mapping!L:M,2,0)</f>
        <v>W28_2024</v>
      </c>
      <c r="T870" s="589" t="str">
        <f t="shared" ca="1" si="59"/>
        <v>Not Due</v>
      </c>
      <c r="W870" s="591"/>
    </row>
    <row r="871" spans="1:23" s="589" customFormat="1" x14ac:dyDescent="0.2">
      <c r="A871" s="589" t="s">
        <v>56</v>
      </c>
      <c r="B871" s="589" t="s">
        <v>278</v>
      </c>
      <c r="C871" s="590" t="s">
        <v>1055</v>
      </c>
      <c r="D871" s="589" t="s">
        <v>100</v>
      </c>
      <c r="E871" s="589" t="s">
        <v>104</v>
      </c>
      <c r="F871" s="589" t="s">
        <v>112</v>
      </c>
      <c r="G871" s="589" t="s">
        <v>51</v>
      </c>
      <c r="H871" s="589" t="s">
        <v>242</v>
      </c>
      <c r="I871" s="589" t="s">
        <v>1130</v>
      </c>
      <c r="J871" s="589" t="s">
        <v>35</v>
      </c>
      <c r="K871" s="591">
        <v>10000</v>
      </c>
      <c r="L871" s="592">
        <f>IF(J871="TND",1,IF(J871="EUR",Vertical_Cash_flow!$C$16,IF(J871="USD",Vertical_Cash_flow!$F$16,0)))</f>
        <v>1</v>
      </c>
      <c r="M871" s="593">
        <f t="shared" si="56"/>
        <v>10000</v>
      </c>
      <c r="N871" s="589" t="s">
        <v>251</v>
      </c>
      <c r="O871" s="594">
        <v>45320</v>
      </c>
      <c r="P871" s="593">
        <f t="shared" si="57"/>
        <v>-163</v>
      </c>
      <c r="Q871" s="594">
        <v>45483</v>
      </c>
      <c r="R871" s="593">
        <f t="shared" ca="1" si="58"/>
        <v>-42</v>
      </c>
      <c r="S871" s="589" t="str">
        <f>VLOOKUP(Q871,Mapping!L:M,2,0)</f>
        <v>W28_2024</v>
      </c>
      <c r="T871" s="589" t="str">
        <f t="shared" ca="1" si="59"/>
        <v>Not Due</v>
      </c>
      <c r="W871" s="591"/>
    </row>
    <row r="872" spans="1:23" s="589" customFormat="1" x14ac:dyDescent="0.2">
      <c r="A872" s="589" t="s">
        <v>56</v>
      </c>
      <c r="B872" s="589" t="s">
        <v>1244</v>
      </c>
      <c r="C872" s="590" t="s">
        <v>2462</v>
      </c>
      <c r="D872" s="589" t="s">
        <v>100</v>
      </c>
      <c r="E872" s="589" t="s">
        <v>104</v>
      </c>
      <c r="F872" s="589" t="s">
        <v>112</v>
      </c>
      <c r="G872" s="589" t="s">
        <v>51</v>
      </c>
      <c r="H872" s="589" t="s">
        <v>242</v>
      </c>
      <c r="I872" s="589" t="s">
        <v>2789</v>
      </c>
      <c r="J872" s="589" t="s">
        <v>35</v>
      </c>
      <c r="K872" s="591">
        <v>700</v>
      </c>
      <c r="L872" s="592">
        <f>IF(J872="TND",1,IF(J872="EUR",Vertical_Cash_flow!$C$16,IF(J872="USD",Vertical_Cash_flow!$F$16,0)))</f>
        <v>1</v>
      </c>
      <c r="M872" s="593">
        <f t="shared" si="56"/>
        <v>700</v>
      </c>
      <c r="N872" s="589" t="s">
        <v>251</v>
      </c>
      <c r="O872" s="594">
        <v>45399</v>
      </c>
      <c r="P872" s="593">
        <f t="shared" si="57"/>
        <v>-84</v>
      </c>
      <c r="Q872" s="594">
        <v>45483</v>
      </c>
      <c r="R872" s="593">
        <f t="shared" ca="1" si="58"/>
        <v>-42</v>
      </c>
      <c r="S872" s="589" t="str">
        <f>VLOOKUP(Q872,Mapping!L:M,2,0)</f>
        <v>W28_2024</v>
      </c>
      <c r="T872" s="589" t="str">
        <f t="shared" ca="1" si="59"/>
        <v>Not Due</v>
      </c>
      <c r="W872" s="591"/>
    </row>
    <row r="873" spans="1:23" s="589" customFormat="1" x14ac:dyDescent="0.2">
      <c r="A873" s="589" t="s">
        <v>56</v>
      </c>
      <c r="B873" s="589" t="s">
        <v>482</v>
      </c>
      <c r="C873" s="590" t="s">
        <v>1572</v>
      </c>
      <c r="D873" s="589" t="s">
        <v>100</v>
      </c>
      <c r="E873" s="589" t="s">
        <v>104</v>
      </c>
      <c r="F873" s="589" t="s">
        <v>112</v>
      </c>
      <c r="G873" s="589" t="s">
        <v>51</v>
      </c>
      <c r="H873" s="589" t="s">
        <v>242</v>
      </c>
      <c r="I873" s="589" t="s">
        <v>1978</v>
      </c>
      <c r="J873" s="589" t="s">
        <v>35</v>
      </c>
      <c r="K873" s="591">
        <v>1250</v>
      </c>
      <c r="L873" s="592">
        <f>IF(J873="TND",1,IF(J873="EUR",Vertical_Cash_flow!$C$16,IF(J873="USD",Vertical_Cash_flow!$F$16,0)))</f>
        <v>1</v>
      </c>
      <c r="M873" s="593">
        <f t="shared" si="56"/>
        <v>1250</v>
      </c>
      <c r="N873" s="589" t="s">
        <v>251</v>
      </c>
      <c r="O873" s="594">
        <v>45379</v>
      </c>
      <c r="P873" s="593">
        <f t="shared" si="57"/>
        <v>-104</v>
      </c>
      <c r="Q873" s="594">
        <v>45483</v>
      </c>
      <c r="R873" s="593">
        <f t="shared" ca="1" si="58"/>
        <v>-42</v>
      </c>
      <c r="S873" s="589" t="str">
        <f>VLOOKUP(Q873,Mapping!L:M,2,0)</f>
        <v>W28_2024</v>
      </c>
      <c r="T873" s="589" t="str">
        <f t="shared" ca="1" si="59"/>
        <v>Not Due</v>
      </c>
      <c r="W873" s="591"/>
    </row>
    <row r="874" spans="1:23" s="589" customFormat="1" x14ac:dyDescent="0.2">
      <c r="A874" s="589" t="s">
        <v>56</v>
      </c>
      <c r="B874" s="589" t="s">
        <v>1501</v>
      </c>
      <c r="C874" s="590" t="s">
        <v>1570</v>
      </c>
      <c r="D874" s="589" t="s">
        <v>100</v>
      </c>
      <c r="E874" s="589" t="s">
        <v>104</v>
      </c>
      <c r="F874" s="589" t="s">
        <v>112</v>
      </c>
      <c r="G874" s="589" t="s">
        <v>51</v>
      </c>
      <c r="H874" s="589" t="s">
        <v>242</v>
      </c>
      <c r="I874" s="589" t="s">
        <v>1976</v>
      </c>
      <c r="J874" s="589" t="s">
        <v>35</v>
      </c>
      <c r="K874" s="591">
        <v>4816.8270000000002</v>
      </c>
      <c r="L874" s="592">
        <f>IF(J874="TND",1,IF(J874="EUR",Vertical_Cash_flow!$C$16,IF(J874="USD",Vertical_Cash_flow!$F$16,0)))</f>
        <v>1</v>
      </c>
      <c r="M874" s="593">
        <f t="shared" si="56"/>
        <v>4816.8270000000002</v>
      </c>
      <c r="N874" s="589" t="s">
        <v>251</v>
      </c>
      <c r="O874" s="594">
        <v>45372</v>
      </c>
      <c r="P874" s="593">
        <f t="shared" si="57"/>
        <v>-111</v>
      </c>
      <c r="Q874" s="594">
        <v>45483</v>
      </c>
      <c r="R874" s="593">
        <f t="shared" ca="1" si="58"/>
        <v>-42</v>
      </c>
      <c r="S874" s="589" t="str">
        <f>VLOOKUP(Q874,Mapping!L:M,2,0)</f>
        <v>W28_2024</v>
      </c>
      <c r="T874" s="589" t="str">
        <f t="shared" ca="1" si="59"/>
        <v>Not Due</v>
      </c>
      <c r="W874" s="591"/>
    </row>
    <row r="875" spans="1:23" s="589" customFormat="1" x14ac:dyDescent="0.2">
      <c r="A875" s="589" t="s">
        <v>56</v>
      </c>
      <c r="B875" s="589" t="s">
        <v>1496</v>
      </c>
      <c r="C875" s="590" t="s">
        <v>2460</v>
      </c>
      <c r="D875" s="589" t="s">
        <v>100</v>
      </c>
      <c r="E875" s="589" t="s">
        <v>104</v>
      </c>
      <c r="F875" s="589" t="s">
        <v>112</v>
      </c>
      <c r="G875" s="589" t="s">
        <v>51</v>
      </c>
      <c r="H875" s="589" t="s">
        <v>242</v>
      </c>
      <c r="I875" s="589" t="s">
        <v>2787</v>
      </c>
      <c r="J875" s="589" t="s">
        <v>35</v>
      </c>
      <c r="K875" s="591">
        <v>871.50800000000004</v>
      </c>
      <c r="L875" s="592">
        <f>IF(J875="TND",1,IF(J875="EUR",Vertical_Cash_flow!$C$16,IF(J875="USD",Vertical_Cash_flow!$F$16,0)))</f>
        <v>1</v>
      </c>
      <c r="M875" s="593">
        <f t="shared" si="56"/>
        <v>871.50800000000004</v>
      </c>
      <c r="N875" s="589" t="s">
        <v>251</v>
      </c>
      <c r="O875" s="594">
        <v>45408</v>
      </c>
      <c r="P875" s="593">
        <f t="shared" si="57"/>
        <v>-75</v>
      </c>
      <c r="Q875" s="594">
        <v>45483</v>
      </c>
      <c r="R875" s="593">
        <f t="shared" ca="1" si="58"/>
        <v>-42</v>
      </c>
      <c r="S875" s="589" t="str">
        <f>VLOOKUP(Q875,Mapping!L:M,2,0)</f>
        <v>W28_2024</v>
      </c>
      <c r="T875" s="589" t="str">
        <f t="shared" ca="1" si="59"/>
        <v>Not Due</v>
      </c>
      <c r="W875" s="591"/>
    </row>
    <row r="876" spans="1:23" s="589" customFormat="1" x14ac:dyDescent="0.2">
      <c r="A876" s="589" t="s">
        <v>56</v>
      </c>
      <c r="B876" s="589" t="s">
        <v>482</v>
      </c>
      <c r="C876" s="590" t="s">
        <v>1571</v>
      </c>
      <c r="D876" s="589" t="s">
        <v>100</v>
      </c>
      <c r="E876" s="589" t="s">
        <v>104</v>
      </c>
      <c r="F876" s="589" t="s">
        <v>112</v>
      </c>
      <c r="G876" s="589" t="s">
        <v>51</v>
      </c>
      <c r="H876" s="589" t="s">
        <v>242</v>
      </c>
      <c r="I876" s="589" t="s">
        <v>1977</v>
      </c>
      <c r="J876" s="589" t="s">
        <v>35</v>
      </c>
      <c r="K876" s="591">
        <v>1250</v>
      </c>
      <c r="L876" s="592">
        <f>IF(J876="TND",1,IF(J876="EUR",Vertical_Cash_flow!$C$16,IF(J876="USD",Vertical_Cash_flow!$F$16,0)))</f>
        <v>1</v>
      </c>
      <c r="M876" s="593">
        <f t="shared" si="56"/>
        <v>1250</v>
      </c>
      <c r="N876" s="589" t="s">
        <v>251</v>
      </c>
      <c r="O876" s="594">
        <v>45379</v>
      </c>
      <c r="P876" s="593">
        <f t="shared" si="57"/>
        <v>-104</v>
      </c>
      <c r="Q876" s="594">
        <v>45483</v>
      </c>
      <c r="R876" s="593">
        <f t="shared" ca="1" si="58"/>
        <v>-42</v>
      </c>
      <c r="S876" s="589" t="str">
        <f>VLOOKUP(Q876,Mapping!L:M,2,0)</f>
        <v>W28_2024</v>
      </c>
      <c r="T876" s="589" t="str">
        <f t="shared" ca="1" si="59"/>
        <v>Not Due</v>
      </c>
      <c r="W876" s="591"/>
    </row>
    <row r="877" spans="1:23" s="589" customFormat="1" x14ac:dyDescent="0.2">
      <c r="A877" s="589" t="s">
        <v>56</v>
      </c>
      <c r="B877" s="589" t="s">
        <v>635</v>
      </c>
      <c r="C877" s="590" t="s">
        <v>2461</v>
      </c>
      <c r="D877" s="589" t="s">
        <v>100</v>
      </c>
      <c r="E877" s="589" t="s">
        <v>104</v>
      </c>
      <c r="F877" s="589" t="s">
        <v>112</v>
      </c>
      <c r="G877" s="589" t="s">
        <v>51</v>
      </c>
      <c r="H877" s="589" t="s">
        <v>242</v>
      </c>
      <c r="I877" s="589" t="s">
        <v>2788</v>
      </c>
      <c r="J877" s="589" t="s">
        <v>35</v>
      </c>
      <c r="K877" s="591">
        <v>729.60699999999997</v>
      </c>
      <c r="L877" s="592">
        <f>IF(J877="TND",1,IF(J877="EUR",Vertical_Cash_flow!$C$16,IF(J877="USD",Vertical_Cash_flow!$F$16,0)))</f>
        <v>1</v>
      </c>
      <c r="M877" s="593">
        <f t="shared" si="56"/>
        <v>729.60699999999997</v>
      </c>
      <c r="N877" s="589" t="s">
        <v>251</v>
      </c>
      <c r="O877" s="594">
        <v>45397</v>
      </c>
      <c r="P877" s="593">
        <f t="shared" si="57"/>
        <v>-86</v>
      </c>
      <c r="Q877" s="594">
        <v>45483</v>
      </c>
      <c r="R877" s="593">
        <f t="shared" ca="1" si="58"/>
        <v>-42</v>
      </c>
      <c r="S877" s="589" t="str">
        <f>VLOOKUP(Q877,Mapping!L:M,2,0)</f>
        <v>W28_2024</v>
      </c>
      <c r="T877" s="589" t="str">
        <f t="shared" ca="1" si="59"/>
        <v>Not Due</v>
      </c>
      <c r="W877" s="591"/>
    </row>
    <row r="878" spans="1:23" s="589" customFormat="1" x14ac:dyDescent="0.2">
      <c r="A878" s="589" t="s">
        <v>56</v>
      </c>
      <c r="B878" s="589" t="s">
        <v>741</v>
      </c>
      <c r="C878" s="590" t="s">
        <v>1569</v>
      </c>
      <c r="D878" s="589" t="s">
        <v>100</v>
      </c>
      <c r="E878" s="589" t="s">
        <v>104</v>
      </c>
      <c r="F878" s="589" t="s">
        <v>112</v>
      </c>
      <c r="G878" s="589" t="s">
        <v>51</v>
      </c>
      <c r="H878" s="589" t="s">
        <v>242</v>
      </c>
      <c r="I878" s="589" t="s">
        <v>1975</v>
      </c>
      <c r="J878" s="589" t="s">
        <v>35</v>
      </c>
      <c r="K878" s="591">
        <v>2600.3200000000002</v>
      </c>
      <c r="L878" s="592">
        <f>IF(J878="TND",1,IF(J878="EUR",Vertical_Cash_flow!$C$16,IF(J878="USD",Vertical_Cash_flow!$F$16,0)))</f>
        <v>1</v>
      </c>
      <c r="M878" s="593">
        <f t="shared" si="56"/>
        <v>2600.3200000000002</v>
      </c>
      <c r="N878" s="589" t="s">
        <v>251</v>
      </c>
      <c r="O878" s="594">
        <v>45374</v>
      </c>
      <c r="P878" s="593">
        <f t="shared" si="57"/>
        <v>-109</v>
      </c>
      <c r="Q878" s="594">
        <v>45483</v>
      </c>
      <c r="R878" s="593">
        <f t="shared" ca="1" si="58"/>
        <v>-42</v>
      </c>
      <c r="S878" s="589" t="str">
        <f>VLOOKUP(Q878,Mapping!L:M,2,0)</f>
        <v>W28_2024</v>
      </c>
      <c r="T878" s="589" t="str">
        <f t="shared" ca="1" si="59"/>
        <v>Not Due</v>
      </c>
      <c r="W878" s="591"/>
    </row>
    <row r="879" spans="1:23" s="589" customFormat="1" x14ac:dyDescent="0.2">
      <c r="A879" s="589" t="s">
        <v>56</v>
      </c>
      <c r="B879" s="589" t="s">
        <v>331</v>
      </c>
      <c r="C879" s="590" t="s">
        <v>2459</v>
      </c>
      <c r="D879" s="589" t="s">
        <v>100</v>
      </c>
      <c r="E879" s="589" t="s">
        <v>104</v>
      </c>
      <c r="F879" s="589" t="s">
        <v>112</v>
      </c>
      <c r="G879" s="589" t="s">
        <v>51</v>
      </c>
      <c r="H879" s="589" t="s">
        <v>242</v>
      </c>
      <c r="I879" s="589" t="s">
        <v>2786</v>
      </c>
      <c r="J879" s="589" t="s">
        <v>35</v>
      </c>
      <c r="K879" s="591">
        <v>2636</v>
      </c>
      <c r="L879" s="592">
        <f>IF(J879="TND",1,IF(J879="EUR",Vertical_Cash_flow!$C$16,IF(J879="USD",Vertical_Cash_flow!$F$16,0)))</f>
        <v>1</v>
      </c>
      <c r="M879" s="593">
        <f t="shared" si="56"/>
        <v>2636</v>
      </c>
      <c r="N879" s="589" t="s">
        <v>251</v>
      </c>
      <c r="O879" s="594">
        <v>45384</v>
      </c>
      <c r="P879" s="593">
        <f t="shared" si="57"/>
        <v>-99</v>
      </c>
      <c r="Q879" s="594">
        <v>45483</v>
      </c>
      <c r="R879" s="593">
        <f t="shared" ca="1" si="58"/>
        <v>-42</v>
      </c>
      <c r="S879" s="589" t="str">
        <f>VLOOKUP(Q879,Mapping!L:M,2,0)</f>
        <v>W28_2024</v>
      </c>
      <c r="T879" s="589" t="str">
        <f t="shared" ca="1" si="59"/>
        <v>Not Due</v>
      </c>
      <c r="W879" s="591"/>
    </row>
    <row r="880" spans="1:23" s="589" customFormat="1" x14ac:dyDescent="0.2">
      <c r="A880" s="589" t="s">
        <v>56</v>
      </c>
      <c r="B880" s="589" t="s">
        <v>587</v>
      </c>
      <c r="C880" s="590" t="s">
        <v>2458</v>
      </c>
      <c r="D880" s="589" t="s">
        <v>100</v>
      </c>
      <c r="E880" s="589" t="s">
        <v>104</v>
      </c>
      <c r="F880" s="589" t="s">
        <v>112</v>
      </c>
      <c r="G880" s="589" t="s">
        <v>51</v>
      </c>
      <c r="H880" s="589" t="s">
        <v>242</v>
      </c>
      <c r="I880" s="589" t="s">
        <v>2785</v>
      </c>
      <c r="J880" s="589" t="s">
        <v>35</v>
      </c>
      <c r="K880" s="591">
        <v>915.39599999999996</v>
      </c>
      <c r="L880" s="592">
        <f>IF(J880="TND",1,IF(J880="EUR",Vertical_Cash_flow!$C$16,IF(J880="USD",Vertical_Cash_flow!$F$16,0)))</f>
        <v>1</v>
      </c>
      <c r="M880" s="593">
        <f t="shared" si="56"/>
        <v>915.39599999999996</v>
      </c>
      <c r="N880" s="589" t="s">
        <v>251</v>
      </c>
      <c r="O880" s="594">
        <v>45408</v>
      </c>
      <c r="P880" s="593">
        <f t="shared" si="57"/>
        <v>-75</v>
      </c>
      <c r="Q880" s="594">
        <v>45483</v>
      </c>
      <c r="R880" s="593">
        <f t="shared" ca="1" si="58"/>
        <v>-42</v>
      </c>
      <c r="S880" s="589" t="str">
        <f>VLOOKUP(Q880,Mapping!L:M,2,0)</f>
        <v>W28_2024</v>
      </c>
      <c r="T880" s="589" t="str">
        <f t="shared" ca="1" si="59"/>
        <v>Not Due</v>
      </c>
      <c r="W880" s="591"/>
    </row>
    <row r="881" spans="1:23" s="589" customFormat="1" x14ac:dyDescent="0.2">
      <c r="A881" s="589" t="s">
        <v>56</v>
      </c>
      <c r="B881" s="589" t="s">
        <v>608</v>
      </c>
      <c r="C881" s="590" t="s">
        <v>3527</v>
      </c>
      <c r="D881" s="589" t="s">
        <v>100</v>
      </c>
      <c r="E881" s="589" t="s">
        <v>104</v>
      </c>
      <c r="F881" s="589" t="s">
        <v>112</v>
      </c>
      <c r="G881" s="589" t="s">
        <v>51</v>
      </c>
      <c r="H881" s="589" t="s">
        <v>242</v>
      </c>
      <c r="I881" s="589" t="s">
        <v>3679</v>
      </c>
      <c r="J881" s="589" t="s">
        <v>35</v>
      </c>
      <c r="K881" s="591">
        <v>3180.623</v>
      </c>
      <c r="L881" s="592">
        <f>IF(J881="TND",1,IF(J881="EUR",Vertical_Cash_flow!$C$16,IF(J881="USD",Vertical_Cash_flow!$F$16,0)))</f>
        <v>1</v>
      </c>
      <c r="M881" s="593">
        <f t="shared" si="56"/>
        <v>3180.623</v>
      </c>
      <c r="N881" s="589" t="s">
        <v>251</v>
      </c>
      <c r="O881" s="594">
        <v>45427</v>
      </c>
      <c r="P881" s="593">
        <f t="shared" si="57"/>
        <v>-56</v>
      </c>
      <c r="Q881" s="594">
        <v>45483</v>
      </c>
      <c r="R881" s="593">
        <f t="shared" ca="1" si="58"/>
        <v>-42</v>
      </c>
      <c r="S881" s="589" t="str">
        <f>VLOOKUP(Q881,Mapping!L:M,2,0)</f>
        <v>W28_2024</v>
      </c>
      <c r="T881" s="589" t="str">
        <f t="shared" ca="1" si="59"/>
        <v>Not Due</v>
      </c>
      <c r="W881" s="591"/>
    </row>
    <row r="882" spans="1:23" s="589" customFormat="1" x14ac:dyDescent="0.2">
      <c r="A882" s="589" t="s">
        <v>56</v>
      </c>
      <c r="B882" s="589" t="s">
        <v>810</v>
      </c>
      <c r="C882" s="590" t="s">
        <v>2457</v>
      </c>
      <c r="D882" s="589" t="s">
        <v>100</v>
      </c>
      <c r="E882" s="589" t="s">
        <v>104</v>
      </c>
      <c r="F882" s="589" t="s">
        <v>112</v>
      </c>
      <c r="G882" s="589" t="s">
        <v>51</v>
      </c>
      <c r="H882" s="589" t="s">
        <v>242</v>
      </c>
      <c r="I882" s="589" t="s">
        <v>2784</v>
      </c>
      <c r="J882" s="589" t="s">
        <v>35</v>
      </c>
      <c r="K882" s="591">
        <v>2611.8829999999998</v>
      </c>
      <c r="L882" s="592">
        <f>IF(J882="TND",1,IF(J882="EUR",Vertical_Cash_flow!$C$16,IF(J882="USD",Vertical_Cash_flow!$F$16,0)))</f>
        <v>1</v>
      </c>
      <c r="M882" s="593">
        <f t="shared" si="56"/>
        <v>2611.8829999999998</v>
      </c>
      <c r="N882" s="589" t="s">
        <v>251</v>
      </c>
      <c r="O882" s="594">
        <v>45399</v>
      </c>
      <c r="P882" s="593">
        <f t="shared" si="57"/>
        <v>-84</v>
      </c>
      <c r="Q882" s="594">
        <v>45483</v>
      </c>
      <c r="R882" s="593">
        <f t="shared" ca="1" si="58"/>
        <v>-42</v>
      </c>
      <c r="S882" s="589" t="str">
        <f>VLOOKUP(Q882,Mapping!L:M,2,0)</f>
        <v>W28_2024</v>
      </c>
      <c r="T882" s="589" t="str">
        <f t="shared" ca="1" si="59"/>
        <v>Not Due</v>
      </c>
      <c r="W882" s="591"/>
    </row>
    <row r="883" spans="1:23" s="589" customFormat="1" x14ac:dyDescent="0.2">
      <c r="A883" s="589" t="s">
        <v>56</v>
      </c>
      <c r="B883" s="589" t="s">
        <v>274</v>
      </c>
      <c r="C883" s="590" t="s">
        <v>1258</v>
      </c>
      <c r="D883" s="589" t="s">
        <v>100</v>
      </c>
      <c r="E883" s="589" t="s">
        <v>104</v>
      </c>
      <c r="F883" s="589" t="s">
        <v>112</v>
      </c>
      <c r="G883" s="589" t="s">
        <v>51</v>
      </c>
      <c r="H883" s="589" t="s">
        <v>242</v>
      </c>
      <c r="I883" s="589" t="s">
        <v>1369</v>
      </c>
      <c r="J883" s="589" t="s">
        <v>35</v>
      </c>
      <c r="K883" s="591">
        <v>860</v>
      </c>
      <c r="L883" s="592">
        <f>IF(J883="TND",1,IF(J883="EUR",Vertical_Cash_flow!$C$16,IF(J883="USD",Vertical_Cash_flow!$F$16,0)))</f>
        <v>1</v>
      </c>
      <c r="M883" s="593">
        <f t="shared" si="56"/>
        <v>860</v>
      </c>
      <c r="N883" s="589" t="s">
        <v>251</v>
      </c>
      <c r="O883" s="594">
        <v>45343</v>
      </c>
      <c r="P883" s="593">
        <f t="shared" si="57"/>
        <v>-141</v>
      </c>
      <c r="Q883" s="594">
        <v>45484</v>
      </c>
      <c r="R883" s="593">
        <f t="shared" ca="1" si="58"/>
        <v>-43</v>
      </c>
      <c r="S883" s="589" t="str">
        <f>VLOOKUP(Q883,Mapping!L:M,2,0)</f>
        <v>W28_2024</v>
      </c>
      <c r="T883" s="589" t="str">
        <f t="shared" ca="1" si="59"/>
        <v>Not Due</v>
      </c>
      <c r="W883" s="591"/>
    </row>
    <row r="884" spans="1:23" s="589" customFormat="1" x14ac:dyDescent="0.2">
      <c r="A884" s="589" t="s">
        <v>56</v>
      </c>
      <c r="B884" s="589" t="s">
        <v>558</v>
      </c>
      <c r="C884" s="590" t="s">
        <v>3526</v>
      </c>
      <c r="D884" s="589" t="s">
        <v>100</v>
      </c>
      <c r="E884" s="589" t="s">
        <v>104</v>
      </c>
      <c r="F884" s="589" t="s">
        <v>112</v>
      </c>
      <c r="G884" s="589" t="s">
        <v>51</v>
      </c>
      <c r="H884" s="589" t="s">
        <v>242</v>
      </c>
      <c r="I884" s="589" t="s">
        <v>3678</v>
      </c>
      <c r="J884" s="589" t="s">
        <v>35</v>
      </c>
      <c r="K884" s="591">
        <v>257.505</v>
      </c>
      <c r="L884" s="592">
        <f>IF(J884="TND",1,IF(J884="EUR",Vertical_Cash_flow!$C$16,IF(J884="USD",Vertical_Cash_flow!$F$16,0)))</f>
        <v>1</v>
      </c>
      <c r="M884" s="593">
        <f t="shared" si="56"/>
        <v>257.505</v>
      </c>
      <c r="N884" s="589" t="s">
        <v>251</v>
      </c>
      <c r="O884" s="594">
        <v>45427</v>
      </c>
      <c r="P884" s="593">
        <f t="shared" si="57"/>
        <v>-57</v>
      </c>
      <c r="Q884" s="594">
        <v>45484</v>
      </c>
      <c r="R884" s="593">
        <f t="shared" ca="1" si="58"/>
        <v>-43</v>
      </c>
      <c r="S884" s="589" t="str">
        <f>VLOOKUP(Q884,Mapping!L:M,2,0)</f>
        <v>W28_2024</v>
      </c>
      <c r="T884" s="589" t="str">
        <f t="shared" ca="1" si="59"/>
        <v>Not Due</v>
      </c>
      <c r="W884" s="591"/>
    </row>
    <row r="885" spans="1:23" s="589" customFormat="1" x14ac:dyDescent="0.2">
      <c r="A885" s="589" t="s">
        <v>56</v>
      </c>
      <c r="B885" s="589" t="s">
        <v>481</v>
      </c>
      <c r="C885" s="590" t="s">
        <v>2456</v>
      </c>
      <c r="D885" s="589" t="s">
        <v>100</v>
      </c>
      <c r="E885" s="589" t="s">
        <v>104</v>
      </c>
      <c r="F885" s="589" t="s">
        <v>112</v>
      </c>
      <c r="G885" s="589" t="s">
        <v>51</v>
      </c>
      <c r="H885" s="589" t="s">
        <v>242</v>
      </c>
      <c r="I885" s="589" t="s">
        <v>2783</v>
      </c>
      <c r="J885" s="589" t="s">
        <v>35</v>
      </c>
      <c r="K885" s="591">
        <v>5400</v>
      </c>
      <c r="L885" s="592">
        <f>IF(J885="TND",1,IF(J885="EUR",Vertical_Cash_flow!$C$16,IF(J885="USD",Vertical_Cash_flow!$F$16,0)))</f>
        <v>1</v>
      </c>
      <c r="M885" s="593">
        <f t="shared" si="56"/>
        <v>5400</v>
      </c>
      <c r="N885" s="589" t="s">
        <v>251</v>
      </c>
      <c r="O885" s="594">
        <v>45383</v>
      </c>
      <c r="P885" s="593">
        <f t="shared" si="57"/>
        <v>-101</v>
      </c>
      <c r="Q885" s="594">
        <v>45484</v>
      </c>
      <c r="R885" s="593">
        <f t="shared" ca="1" si="58"/>
        <v>-43</v>
      </c>
      <c r="S885" s="589" t="str">
        <f>VLOOKUP(Q885,Mapping!L:M,2,0)</f>
        <v>W28_2024</v>
      </c>
      <c r="T885" s="589" t="str">
        <f t="shared" ca="1" si="59"/>
        <v>Not Due</v>
      </c>
      <c r="W885" s="591"/>
    </row>
    <row r="886" spans="1:23" s="589" customFormat="1" x14ac:dyDescent="0.2">
      <c r="A886" s="589" t="s">
        <v>56</v>
      </c>
      <c r="B886" s="589" t="s">
        <v>274</v>
      </c>
      <c r="C886" s="590" t="s">
        <v>1257</v>
      </c>
      <c r="D886" s="589" t="s">
        <v>100</v>
      </c>
      <c r="E886" s="589" t="s">
        <v>104</v>
      </c>
      <c r="F886" s="589" t="s">
        <v>112</v>
      </c>
      <c r="G886" s="589" t="s">
        <v>51</v>
      </c>
      <c r="H886" s="589" t="s">
        <v>242</v>
      </c>
      <c r="I886" s="589" t="s">
        <v>1368</v>
      </c>
      <c r="J886" s="589" t="s">
        <v>35</v>
      </c>
      <c r="K886" s="591">
        <v>855</v>
      </c>
      <c r="L886" s="592">
        <f>IF(J886="TND",1,IF(J886="EUR",Vertical_Cash_flow!$C$16,IF(J886="USD",Vertical_Cash_flow!$F$16,0)))</f>
        <v>1</v>
      </c>
      <c r="M886" s="593">
        <f t="shared" si="56"/>
        <v>855</v>
      </c>
      <c r="N886" s="589" t="s">
        <v>251</v>
      </c>
      <c r="O886" s="594">
        <v>45343</v>
      </c>
      <c r="P886" s="593">
        <f t="shared" si="57"/>
        <v>-142</v>
      </c>
      <c r="Q886" s="594">
        <v>45485</v>
      </c>
      <c r="R886" s="593">
        <f t="shared" ca="1" si="58"/>
        <v>-44</v>
      </c>
      <c r="S886" s="589" t="str">
        <f>VLOOKUP(Q886,Mapping!L:M,2,0)</f>
        <v>W28_2024</v>
      </c>
      <c r="T886" s="589" t="str">
        <f t="shared" ca="1" si="59"/>
        <v>Not Due</v>
      </c>
      <c r="W886" s="591"/>
    </row>
    <row r="887" spans="1:23" s="589" customFormat="1" x14ac:dyDescent="0.2">
      <c r="A887" s="589" t="s">
        <v>56</v>
      </c>
      <c r="B887" s="589" t="s">
        <v>628</v>
      </c>
      <c r="C887" s="590" t="s">
        <v>3525</v>
      </c>
      <c r="D887" s="589" t="s">
        <v>100</v>
      </c>
      <c r="E887" s="589" t="s">
        <v>104</v>
      </c>
      <c r="F887" s="589" t="s">
        <v>112</v>
      </c>
      <c r="G887" s="589" t="s">
        <v>51</v>
      </c>
      <c r="H887" s="589" t="s">
        <v>242</v>
      </c>
      <c r="I887" s="589" t="s">
        <v>966</v>
      </c>
      <c r="J887" s="589" t="s">
        <v>35</v>
      </c>
      <c r="K887" s="591">
        <v>1612.528</v>
      </c>
      <c r="L887" s="592">
        <f>IF(J887="TND",1,IF(J887="EUR",Vertical_Cash_flow!$C$16,IF(J887="USD",Vertical_Cash_flow!$F$16,0)))</f>
        <v>1</v>
      </c>
      <c r="M887" s="593">
        <f t="shared" si="56"/>
        <v>1612.528</v>
      </c>
      <c r="N887" s="589" t="s">
        <v>251</v>
      </c>
      <c r="O887" s="594">
        <v>45429</v>
      </c>
      <c r="P887" s="593">
        <f t="shared" si="57"/>
        <v>-56</v>
      </c>
      <c r="Q887" s="594">
        <v>45485</v>
      </c>
      <c r="R887" s="593">
        <f t="shared" ca="1" si="58"/>
        <v>-44</v>
      </c>
      <c r="S887" s="589" t="str">
        <f>VLOOKUP(Q887,Mapping!L:M,2,0)</f>
        <v>W28_2024</v>
      </c>
      <c r="T887" s="589" t="str">
        <f t="shared" ca="1" si="59"/>
        <v>Not Due</v>
      </c>
      <c r="W887" s="591"/>
    </row>
    <row r="888" spans="1:23" s="589" customFormat="1" x14ac:dyDescent="0.2">
      <c r="A888" s="589" t="s">
        <v>56</v>
      </c>
      <c r="B888" s="589" t="s">
        <v>558</v>
      </c>
      <c r="C888" s="590" t="s">
        <v>2455</v>
      </c>
      <c r="D888" s="589" t="s">
        <v>100</v>
      </c>
      <c r="E888" s="589" t="s">
        <v>104</v>
      </c>
      <c r="F888" s="589" t="s">
        <v>112</v>
      </c>
      <c r="G888" s="589" t="s">
        <v>51</v>
      </c>
      <c r="H888" s="589" t="s">
        <v>242</v>
      </c>
      <c r="I888" s="589" t="s">
        <v>2782</v>
      </c>
      <c r="J888" s="589" t="s">
        <v>35</v>
      </c>
      <c r="K888" s="591">
        <v>580</v>
      </c>
      <c r="L888" s="592">
        <f>IF(J888="TND",1,IF(J888="EUR",Vertical_Cash_flow!$C$16,IF(J888="USD",Vertical_Cash_flow!$F$16,0)))</f>
        <v>1</v>
      </c>
      <c r="M888" s="593">
        <f t="shared" si="56"/>
        <v>580</v>
      </c>
      <c r="N888" s="589" t="s">
        <v>251</v>
      </c>
      <c r="O888" s="594">
        <v>45406</v>
      </c>
      <c r="P888" s="593">
        <f t="shared" si="57"/>
        <v>-80</v>
      </c>
      <c r="Q888" s="594">
        <v>45486</v>
      </c>
      <c r="R888" s="593">
        <f t="shared" ca="1" si="58"/>
        <v>-45</v>
      </c>
      <c r="S888" s="589" t="str">
        <f>VLOOKUP(Q888,Mapping!L:M,2,0)</f>
        <v>W29_2024</v>
      </c>
      <c r="T888" s="589" t="str">
        <f t="shared" ca="1" si="59"/>
        <v>Not Due</v>
      </c>
      <c r="W888" s="591"/>
    </row>
    <row r="889" spans="1:23" s="589" customFormat="1" x14ac:dyDescent="0.2">
      <c r="A889" s="589" t="s">
        <v>56</v>
      </c>
      <c r="B889" s="589" t="s">
        <v>274</v>
      </c>
      <c r="C889" s="590" t="s">
        <v>1256</v>
      </c>
      <c r="D889" s="589" t="s">
        <v>100</v>
      </c>
      <c r="E889" s="589" t="s">
        <v>104</v>
      </c>
      <c r="F889" s="589" t="s">
        <v>112</v>
      </c>
      <c r="G889" s="589" t="s">
        <v>51</v>
      </c>
      <c r="H889" s="589" t="s">
        <v>242</v>
      </c>
      <c r="I889" s="589" t="s">
        <v>1367</v>
      </c>
      <c r="J889" s="589" t="s">
        <v>35</v>
      </c>
      <c r="K889" s="591">
        <v>850</v>
      </c>
      <c r="L889" s="592">
        <f>IF(J889="TND",1,IF(J889="EUR",Vertical_Cash_flow!$C$16,IF(J889="USD",Vertical_Cash_flow!$F$16,0)))</f>
        <v>1</v>
      </c>
      <c r="M889" s="593">
        <f t="shared" si="56"/>
        <v>850</v>
      </c>
      <c r="N889" s="589" t="s">
        <v>251</v>
      </c>
      <c r="O889" s="594">
        <v>45343</v>
      </c>
      <c r="P889" s="593">
        <f t="shared" si="57"/>
        <v>-143</v>
      </c>
      <c r="Q889" s="594">
        <v>45486</v>
      </c>
      <c r="R889" s="593">
        <f t="shared" ca="1" si="58"/>
        <v>-45</v>
      </c>
      <c r="S889" s="589" t="str">
        <f>VLOOKUP(Q889,Mapping!L:M,2,0)</f>
        <v>W29_2024</v>
      </c>
      <c r="T889" s="589" t="str">
        <f t="shared" ca="1" si="59"/>
        <v>Not Due</v>
      </c>
      <c r="W889" s="591"/>
    </row>
    <row r="890" spans="1:23" s="589" customFormat="1" x14ac:dyDescent="0.2">
      <c r="A890" s="589" t="s">
        <v>56</v>
      </c>
      <c r="B890" s="589" t="s">
        <v>589</v>
      </c>
      <c r="C890" s="590" t="s">
        <v>1568</v>
      </c>
      <c r="D890" s="589" t="s">
        <v>100</v>
      </c>
      <c r="E890" s="589" t="s">
        <v>104</v>
      </c>
      <c r="F890" s="589" t="s">
        <v>112</v>
      </c>
      <c r="G890" s="589" t="s">
        <v>51</v>
      </c>
      <c r="H890" s="589" t="s">
        <v>242</v>
      </c>
      <c r="I890" s="589" t="s">
        <v>1974</v>
      </c>
      <c r="J890" s="589" t="s">
        <v>35</v>
      </c>
      <c r="K890" s="591">
        <v>2300</v>
      </c>
      <c r="L890" s="592">
        <f>IF(J890="TND",1,IF(J890="EUR",Vertical_Cash_flow!$C$16,IF(J890="USD",Vertical_Cash_flow!$F$16,0)))</f>
        <v>1</v>
      </c>
      <c r="M890" s="593">
        <f t="shared" si="56"/>
        <v>2300</v>
      </c>
      <c r="N890" s="589" t="s">
        <v>251</v>
      </c>
      <c r="O890" s="594">
        <v>45351</v>
      </c>
      <c r="P890" s="593">
        <f t="shared" si="57"/>
        <v>-135</v>
      </c>
      <c r="Q890" s="594">
        <v>45486</v>
      </c>
      <c r="R890" s="593">
        <f t="shared" ca="1" si="58"/>
        <v>-45</v>
      </c>
      <c r="S890" s="589" t="str">
        <f>VLOOKUP(Q890,Mapping!L:M,2,0)</f>
        <v>W29_2024</v>
      </c>
      <c r="T890" s="589" t="str">
        <f t="shared" ca="1" si="59"/>
        <v>Not Due</v>
      </c>
      <c r="W890" s="591"/>
    </row>
    <row r="891" spans="1:23" s="589" customFormat="1" x14ac:dyDescent="0.2">
      <c r="A891" s="589" t="s">
        <v>56</v>
      </c>
      <c r="B891" s="589" t="s">
        <v>325</v>
      </c>
      <c r="C891" s="590" t="s">
        <v>3158</v>
      </c>
      <c r="D891" s="589" t="s">
        <v>100</v>
      </c>
      <c r="E891" s="589" t="s">
        <v>104</v>
      </c>
      <c r="F891" s="589" t="s">
        <v>112</v>
      </c>
      <c r="G891" s="589" t="s">
        <v>51</v>
      </c>
      <c r="H891" s="589" t="s">
        <v>242</v>
      </c>
      <c r="I891" s="589" t="s">
        <v>3342</v>
      </c>
      <c r="J891" s="589" t="s">
        <v>35</v>
      </c>
      <c r="K891" s="591">
        <v>975</v>
      </c>
      <c r="L891" s="592">
        <f>IF(J891="TND",1,IF(J891="EUR",Vertical_Cash_flow!$C$16,IF(J891="USD",Vertical_Cash_flow!$F$16,0)))</f>
        <v>1</v>
      </c>
      <c r="M891" s="593">
        <f t="shared" si="56"/>
        <v>975</v>
      </c>
      <c r="N891" s="589" t="s">
        <v>251</v>
      </c>
      <c r="O891" s="594">
        <v>45411</v>
      </c>
      <c r="P891" s="593">
        <f t="shared" si="57"/>
        <v>-75</v>
      </c>
      <c r="Q891" s="594">
        <v>45486</v>
      </c>
      <c r="R891" s="593">
        <f t="shared" ca="1" si="58"/>
        <v>-45</v>
      </c>
      <c r="S891" s="589" t="str">
        <f>VLOOKUP(Q891,Mapping!L:M,2,0)</f>
        <v>W29_2024</v>
      </c>
      <c r="T891" s="589" t="str">
        <f t="shared" ca="1" si="59"/>
        <v>Not Due</v>
      </c>
      <c r="W891" s="591"/>
    </row>
    <row r="892" spans="1:23" s="589" customFormat="1" x14ac:dyDescent="0.2">
      <c r="A892" s="589" t="s">
        <v>56</v>
      </c>
      <c r="B892" s="589" t="s">
        <v>285</v>
      </c>
      <c r="C892" s="590" t="s">
        <v>2454</v>
      </c>
      <c r="D892" s="589" t="s">
        <v>100</v>
      </c>
      <c r="E892" s="589" t="s">
        <v>104</v>
      </c>
      <c r="F892" s="589" t="s">
        <v>112</v>
      </c>
      <c r="G892" s="589" t="s">
        <v>51</v>
      </c>
      <c r="H892" s="589" t="s">
        <v>242</v>
      </c>
      <c r="I892" s="589" t="s">
        <v>2781</v>
      </c>
      <c r="J892" s="589" t="s">
        <v>35</v>
      </c>
      <c r="K892" s="591">
        <v>1123.277</v>
      </c>
      <c r="L892" s="592">
        <f>IF(J892="TND",1,IF(J892="EUR",Vertical_Cash_flow!$C$16,IF(J892="USD",Vertical_Cash_flow!$F$16,0)))</f>
        <v>1</v>
      </c>
      <c r="M892" s="593">
        <f t="shared" si="56"/>
        <v>1123.277</v>
      </c>
      <c r="N892" s="589" t="s">
        <v>251</v>
      </c>
      <c r="O892" s="594">
        <v>45387</v>
      </c>
      <c r="P892" s="593">
        <f t="shared" si="57"/>
        <v>-100</v>
      </c>
      <c r="Q892" s="594">
        <v>45487</v>
      </c>
      <c r="R892" s="593">
        <f t="shared" ca="1" si="58"/>
        <v>-46</v>
      </c>
      <c r="S892" s="589" t="str">
        <f>VLOOKUP(Q892,Mapping!L:M,2,0)</f>
        <v>W29_2024</v>
      </c>
      <c r="T892" s="589" t="str">
        <f t="shared" ca="1" si="59"/>
        <v>Not Due</v>
      </c>
      <c r="W892" s="591"/>
    </row>
    <row r="893" spans="1:23" s="589" customFormat="1" x14ac:dyDescent="0.2">
      <c r="A893" s="589" t="s">
        <v>56</v>
      </c>
      <c r="B893" s="589" t="s">
        <v>274</v>
      </c>
      <c r="C893" s="590" t="s">
        <v>1255</v>
      </c>
      <c r="D893" s="589" t="s">
        <v>100</v>
      </c>
      <c r="E893" s="589" t="s">
        <v>104</v>
      </c>
      <c r="F893" s="589" t="s">
        <v>112</v>
      </c>
      <c r="G893" s="589" t="s">
        <v>51</v>
      </c>
      <c r="H893" s="589" t="s">
        <v>242</v>
      </c>
      <c r="I893" s="589" t="s">
        <v>1366</v>
      </c>
      <c r="J893" s="589" t="s">
        <v>35</v>
      </c>
      <c r="K893" s="591">
        <v>845</v>
      </c>
      <c r="L893" s="592">
        <f>IF(J893="TND",1,IF(J893="EUR",Vertical_Cash_flow!$C$16,IF(J893="USD",Vertical_Cash_flow!$F$16,0)))</f>
        <v>1</v>
      </c>
      <c r="M893" s="593">
        <f t="shared" si="56"/>
        <v>845</v>
      </c>
      <c r="N893" s="589" t="s">
        <v>251</v>
      </c>
      <c r="O893" s="594">
        <v>45343</v>
      </c>
      <c r="P893" s="593">
        <f t="shared" si="57"/>
        <v>-144</v>
      </c>
      <c r="Q893" s="594">
        <v>45487</v>
      </c>
      <c r="R893" s="593">
        <f t="shared" ca="1" si="58"/>
        <v>-46</v>
      </c>
      <c r="S893" s="589" t="str">
        <f>VLOOKUP(Q893,Mapping!L:M,2,0)</f>
        <v>W29_2024</v>
      </c>
      <c r="T893" s="589" t="str">
        <f t="shared" ca="1" si="59"/>
        <v>Not Due</v>
      </c>
      <c r="W893" s="591"/>
    </row>
    <row r="894" spans="1:23" s="589" customFormat="1" x14ac:dyDescent="0.2">
      <c r="A894" s="589" t="s">
        <v>56</v>
      </c>
      <c r="B894" s="589" t="s">
        <v>491</v>
      </c>
      <c r="C894" s="590" t="s">
        <v>3157</v>
      </c>
      <c r="D894" s="589" t="s">
        <v>100</v>
      </c>
      <c r="E894" s="589" t="s">
        <v>104</v>
      </c>
      <c r="F894" s="589" t="s">
        <v>112</v>
      </c>
      <c r="G894" s="589" t="s">
        <v>51</v>
      </c>
      <c r="H894" s="589" t="s">
        <v>242</v>
      </c>
      <c r="I894" s="589" t="s">
        <v>3341</v>
      </c>
      <c r="J894" s="589" t="s">
        <v>35</v>
      </c>
      <c r="K894" s="591">
        <v>1500</v>
      </c>
      <c r="L894" s="592">
        <f>IF(J894="TND",1,IF(J894="EUR",Vertical_Cash_flow!$C$16,IF(J894="USD",Vertical_Cash_flow!$F$16,0)))</f>
        <v>1</v>
      </c>
      <c r="M894" s="593">
        <f t="shared" si="56"/>
        <v>1500</v>
      </c>
      <c r="N894" s="589" t="s">
        <v>251</v>
      </c>
      <c r="O894" s="594">
        <v>45420</v>
      </c>
      <c r="P894" s="593">
        <f t="shared" si="57"/>
        <v>-67</v>
      </c>
      <c r="Q894" s="594">
        <v>45487</v>
      </c>
      <c r="R894" s="593">
        <f t="shared" ca="1" si="58"/>
        <v>-46</v>
      </c>
      <c r="S894" s="589" t="str">
        <f>VLOOKUP(Q894,Mapping!L:M,2,0)</f>
        <v>W29_2024</v>
      </c>
      <c r="T894" s="589" t="str">
        <f t="shared" ca="1" si="59"/>
        <v>Not Due</v>
      </c>
      <c r="W894" s="591"/>
    </row>
    <row r="895" spans="1:23" s="589" customFormat="1" x14ac:dyDescent="0.2">
      <c r="A895" s="589" t="s">
        <v>56</v>
      </c>
      <c r="B895" s="589" t="s">
        <v>480</v>
      </c>
      <c r="C895" s="590" t="s">
        <v>3154</v>
      </c>
      <c r="D895" s="589" t="s">
        <v>100</v>
      </c>
      <c r="E895" s="589" t="s">
        <v>104</v>
      </c>
      <c r="F895" s="589" t="s">
        <v>112</v>
      </c>
      <c r="G895" s="589" t="s">
        <v>51</v>
      </c>
      <c r="H895" s="589" t="s">
        <v>242</v>
      </c>
      <c r="I895" s="589" t="s">
        <v>3301</v>
      </c>
      <c r="J895" s="589" t="s">
        <v>35</v>
      </c>
      <c r="K895" s="591">
        <v>11359.534</v>
      </c>
      <c r="L895" s="592">
        <f>IF(J895="TND",1,IF(J895="EUR",Vertical_Cash_flow!$C$16,IF(J895="USD",Vertical_Cash_flow!$F$16,0)))</f>
        <v>1</v>
      </c>
      <c r="M895" s="593">
        <f t="shared" si="56"/>
        <v>11359.534</v>
      </c>
      <c r="N895" s="589" t="s">
        <v>251</v>
      </c>
      <c r="O895" s="594">
        <v>45411</v>
      </c>
      <c r="P895" s="593">
        <f t="shared" si="57"/>
        <v>-77</v>
      </c>
      <c r="Q895" s="594">
        <v>45488</v>
      </c>
      <c r="R895" s="593">
        <f t="shared" ca="1" si="58"/>
        <v>-47</v>
      </c>
      <c r="S895" s="589" t="str">
        <f>VLOOKUP(Q895,Mapping!L:M,2,0)</f>
        <v>W29_2024</v>
      </c>
      <c r="T895" s="589" t="str">
        <f t="shared" ca="1" si="59"/>
        <v>Not Due</v>
      </c>
      <c r="W895" s="591"/>
    </row>
    <row r="896" spans="1:23" s="589" customFormat="1" x14ac:dyDescent="0.2">
      <c r="A896" s="589" t="s">
        <v>56</v>
      </c>
      <c r="B896" s="589" t="s">
        <v>760</v>
      </c>
      <c r="C896" s="590" t="s">
        <v>1567</v>
      </c>
      <c r="D896" s="589" t="s">
        <v>100</v>
      </c>
      <c r="E896" s="589" t="s">
        <v>104</v>
      </c>
      <c r="F896" s="589" t="s">
        <v>112</v>
      </c>
      <c r="G896" s="589" t="s">
        <v>51</v>
      </c>
      <c r="H896" s="589" t="s">
        <v>242</v>
      </c>
      <c r="I896" s="589" t="s">
        <v>1004</v>
      </c>
      <c r="J896" s="589" t="s">
        <v>35</v>
      </c>
      <c r="K896" s="591">
        <v>3500</v>
      </c>
      <c r="L896" s="592">
        <f>IF(J896="TND",1,IF(J896="EUR",Vertical_Cash_flow!$C$16,IF(J896="USD",Vertical_Cash_flow!$F$16,0)))</f>
        <v>1</v>
      </c>
      <c r="M896" s="593">
        <f t="shared" si="56"/>
        <v>3500</v>
      </c>
      <c r="N896" s="589" t="s">
        <v>251</v>
      </c>
      <c r="O896" s="594">
        <v>45365</v>
      </c>
      <c r="P896" s="593">
        <f t="shared" si="57"/>
        <v>-123</v>
      </c>
      <c r="Q896" s="594">
        <v>45488</v>
      </c>
      <c r="R896" s="593">
        <f t="shared" ca="1" si="58"/>
        <v>-47</v>
      </c>
      <c r="S896" s="589" t="str">
        <f>VLOOKUP(Q896,Mapping!L:M,2,0)</f>
        <v>W29_2024</v>
      </c>
      <c r="T896" s="589" t="str">
        <f t="shared" ca="1" si="59"/>
        <v>Not Due</v>
      </c>
      <c r="W896" s="591"/>
    </row>
    <row r="897" spans="1:23" s="589" customFormat="1" x14ac:dyDescent="0.2">
      <c r="A897" s="589" t="s">
        <v>56</v>
      </c>
      <c r="B897" s="589" t="s">
        <v>540</v>
      </c>
      <c r="C897" s="590" t="s">
        <v>3156</v>
      </c>
      <c r="D897" s="589" t="s">
        <v>100</v>
      </c>
      <c r="E897" s="589" t="s">
        <v>104</v>
      </c>
      <c r="F897" s="589" t="s">
        <v>112</v>
      </c>
      <c r="G897" s="589" t="s">
        <v>51</v>
      </c>
      <c r="H897" s="589" t="s">
        <v>242</v>
      </c>
      <c r="I897" s="589" t="s">
        <v>1459</v>
      </c>
      <c r="J897" s="589" t="s">
        <v>35</v>
      </c>
      <c r="K897" s="591">
        <v>191.68199999999999</v>
      </c>
      <c r="L897" s="592">
        <f>IF(J897="TND",1,IF(J897="EUR",Vertical_Cash_flow!$C$16,IF(J897="USD",Vertical_Cash_flow!$F$16,0)))</f>
        <v>1</v>
      </c>
      <c r="M897" s="593">
        <f t="shared" si="56"/>
        <v>191.68199999999999</v>
      </c>
      <c r="N897" s="589" t="s">
        <v>251</v>
      </c>
      <c r="O897" s="594">
        <v>45419</v>
      </c>
      <c r="P897" s="593">
        <f t="shared" si="57"/>
        <v>-69</v>
      </c>
      <c r="Q897" s="594">
        <v>45488</v>
      </c>
      <c r="R897" s="593">
        <f t="shared" ca="1" si="58"/>
        <v>-47</v>
      </c>
      <c r="S897" s="589" t="str">
        <f>VLOOKUP(Q897,Mapping!L:M,2,0)</f>
        <v>W29_2024</v>
      </c>
      <c r="T897" s="589" t="str">
        <f t="shared" ca="1" si="59"/>
        <v>Not Due</v>
      </c>
      <c r="W897" s="591"/>
    </row>
    <row r="898" spans="1:23" s="589" customFormat="1" x14ac:dyDescent="0.2">
      <c r="A898" s="589" t="s">
        <v>56</v>
      </c>
      <c r="B898" s="589" t="s">
        <v>353</v>
      </c>
      <c r="C898" s="590" t="s">
        <v>1566</v>
      </c>
      <c r="D898" s="589" t="s">
        <v>100</v>
      </c>
      <c r="E898" s="589" t="s">
        <v>104</v>
      </c>
      <c r="F898" s="589" t="s">
        <v>112</v>
      </c>
      <c r="G898" s="589" t="s">
        <v>51</v>
      </c>
      <c r="H898" s="589" t="s">
        <v>242</v>
      </c>
      <c r="I898" s="589" t="s">
        <v>1973</v>
      </c>
      <c r="J898" s="589" t="s">
        <v>35</v>
      </c>
      <c r="K898" s="591">
        <v>773.22500000000002</v>
      </c>
      <c r="L898" s="592">
        <f>IF(J898="TND",1,IF(J898="EUR",Vertical_Cash_flow!$C$16,IF(J898="USD",Vertical_Cash_flow!$F$16,0)))</f>
        <v>1</v>
      </c>
      <c r="M898" s="593">
        <f t="shared" si="56"/>
        <v>773.22500000000002</v>
      </c>
      <c r="N898" s="589" t="s">
        <v>251</v>
      </c>
      <c r="O898" s="594">
        <v>45376</v>
      </c>
      <c r="P898" s="593">
        <f t="shared" si="57"/>
        <v>-112</v>
      </c>
      <c r="Q898" s="594">
        <v>45488</v>
      </c>
      <c r="R898" s="593">
        <f t="shared" ca="1" si="58"/>
        <v>-47</v>
      </c>
      <c r="S898" s="589" t="str">
        <f>VLOOKUP(Q898,Mapping!L:M,2,0)</f>
        <v>W29_2024</v>
      </c>
      <c r="T898" s="589" t="str">
        <f t="shared" ca="1" si="59"/>
        <v>Not Due</v>
      </c>
      <c r="W898" s="591"/>
    </row>
    <row r="899" spans="1:23" s="589" customFormat="1" x14ac:dyDescent="0.2">
      <c r="A899" s="589" t="s">
        <v>56</v>
      </c>
      <c r="B899" s="589" t="s">
        <v>538</v>
      </c>
      <c r="C899" s="590" t="s">
        <v>2453</v>
      </c>
      <c r="D899" s="589" t="s">
        <v>100</v>
      </c>
      <c r="E899" s="589" t="s">
        <v>104</v>
      </c>
      <c r="F899" s="589" t="s">
        <v>112</v>
      </c>
      <c r="G899" s="589" t="s">
        <v>51</v>
      </c>
      <c r="H899" s="589" t="s">
        <v>242</v>
      </c>
      <c r="I899" s="589" t="s">
        <v>2780</v>
      </c>
      <c r="J899" s="589" t="s">
        <v>35</v>
      </c>
      <c r="K899" s="591">
        <v>8020.4110000000001</v>
      </c>
      <c r="L899" s="592">
        <f>IF(J899="TND",1,IF(J899="EUR",Vertical_Cash_flow!$C$16,IF(J899="USD",Vertical_Cash_flow!$F$16,0)))</f>
        <v>1</v>
      </c>
      <c r="M899" s="593">
        <f t="shared" si="56"/>
        <v>8020.4110000000001</v>
      </c>
      <c r="N899" s="589" t="s">
        <v>251</v>
      </c>
      <c r="O899" s="594">
        <v>45407</v>
      </c>
      <c r="P899" s="593">
        <f t="shared" si="57"/>
        <v>-81</v>
      </c>
      <c r="Q899" s="594">
        <v>45488</v>
      </c>
      <c r="R899" s="593">
        <f t="shared" ca="1" si="58"/>
        <v>-47</v>
      </c>
      <c r="S899" s="589" t="str">
        <f>VLOOKUP(Q899,Mapping!L:M,2,0)</f>
        <v>W29_2024</v>
      </c>
      <c r="T899" s="589" t="str">
        <f t="shared" ca="1" si="59"/>
        <v>Not Due</v>
      </c>
      <c r="W899" s="591"/>
    </row>
    <row r="900" spans="1:23" s="589" customFormat="1" x14ac:dyDescent="0.2">
      <c r="A900" s="589" t="s">
        <v>56</v>
      </c>
      <c r="B900" s="589" t="s">
        <v>892</v>
      </c>
      <c r="C900" s="590" t="s">
        <v>2452</v>
      </c>
      <c r="D900" s="589" t="s">
        <v>100</v>
      </c>
      <c r="E900" s="589" t="s">
        <v>104</v>
      </c>
      <c r="F900" s="589" t="s">
        <v>112</v>
      </c>
      <c r="G900" s="589" t="s">
        <v>51</v>
      </c>
      <c r="H900" s="589" t="s">
        <v>242</v>
      </c>
      <c r="I900" s="589" t="s">
        <v>2779</v>
      </c>
      <c r="J900" s="589" t="s">
        <v>35</v>
      </c>
      <c r="K900" s="591">
        <v>2558.2440000000001</v>
      </c>
      <c r="L900" s="592">
        <f>IF(J900="TND",1,IF(J900="EUR",Vertical_Cash_flow!$C$16,IF(J900="USD",Vertical_Cash_flow!$F$16,0)))</f>
        <v>1</v>
      </c>
      <c r="M900" s="593">
        <f t="shared" si="56"/>
        <v>2558.2440000000001</v>
      </c>
      <c r="N900" s="589" t="s">
        <v>251</v>
      </c>
      <c r="O900" s="594">
        <v>45408</v>
      </c>
      <c r="P900" s="593">
        <f t="shared" si="57"/>
        <v>-80</v>
      </c>
      <c r="Q900" s="594">
        <v>45488</v>
      </c>
      <c r="R900" s="593">
        <f t="shared" ca="1" si="58"/>
        <v>-47</v>
      </c>
      <c r="S900" s="589" t="str">
        <f>VLOOKUP(Q900,Mapping!L:M,2,0)</f>
        <v>W29_2024</v>
      </c>
      <c r="T900" s="589" t="str">
        <f t="shared" ca="1" si="59"/>
        <v>Not Due</v>
      </c>
      <c r="W900" s="591"/>
    </row>
    <row r="901" spans="1:23" s="589" customFormat="1" x14ac:dyDescent="0.2">
      <c r="A901" s="589" t="s">
        <v>56</v>
      </c>
      <c r="B901" s="589" t="s">
        <v>760</v>
      </c>
      <c r="C901" s="590" t="s">
        <v>1254</v>
      </c>
      <c r="D901" s="589" t="s">
        <v>100</v>
      </c>
      <c r="E901" s="589" t="s">
        <v>104</v>
      </c>
      <c r="F901" s="589" t="s">
        <v>112</v>
      </c>
      <c r="G901" s="589" t="s">
        <v>51</v>
      </c>
      <c r="H901" s="589" t="s">
        <v>242</v>
      </c>
      <c r="I901" s="589" t="s">
        <v>1004</v>
      </c>
      <c r="J901" s="589" t="s">
        <v>35</v>
      </c>
      <c r="K901" s="591">
        <v>5246.1130000000003</v>
      </c>
      <c r="L901" s="592">
        <f>IF(J901="TND",1,IF(J901="EUR",Vertical_Cash_flow!$C$16,IF(J901="USD",Vertical_Cash_flow!$F$16,0)))</f>
        <v>1</v>
      </c>
      <c r="M901" s="593">
        <f t="shared" si="56"/>
        <v>5246.1130000000003</v>
      </c>
      <c r="N901" s="589" t="s">
        <v>251</v>
      </c>
      <c r="O901" s="594">
        <v>45334</v>
      </c>
      <c r="P901" s="593">
        <f t="shared" si="57"/>
        <v>-154</v>
      </c>
      <c r="Q901" s="594">
        <v>45488</v>
      </c>
      <c r="R901" s="593">
        <f t="shared" ca="1" si="58"/>
        <v>-47</v>
      </c>
      <c r="S901" s="589" t="str">
        <f>VLOOKUP(Q901,Mapping!L:M,2,0)</f>
        <v>W29_2024</v>
      </c>
      <c r="T901" s="589" t="str">
        <f t="shared" ca="1" si="59"/>
        <v>Not Due</v>
      </c>
      <c r="W901" s="591"/>
    </row>
    <row r="902" spans="1:23" s="589" customFormat="1" x14ac:dyDescent="0.2">
      <c r="A902" s="589" t="s">
        <v>56</v>
      </c>
      <c r="B902" s="589" t="s">
        <v>634</v>
      </c>
      <c r="C902" s="590" t="s">
        <v>3155</v>
      </c>
      <c r="D902" s="589" t="s">
        <v>100</v>
      </c>
      <c r="E902" s="589" t="s">
        <v>104</v>
      </c>
      <c r="F902" s="589" t="s">
        <v>112</v>
      </c>
      <c r="G902" s="589" t="s">
        <v>51</v>
      </c>
      <c r="H902" s="589" t="s">
        <v>242</v>
      </c>
      <c r="I902" s="589" t="s">
        <v>3340</v>
      </c>
      <c r="J902" s="589" t="s">
        <v>35</v>
      </c>
      <c r="K902" s="591">
        <v>1217.1420000000001</v>
      </c>
      <c r="L902" s="592">
        <f>IF(J902="TND",1,IF(J902="EUR",Vertical_Cash_flow!$C$16,IF(J902="USD",Vertical_Cash_flow!$F$16,0)))</f>
        <v>1</v>
      </c>
      <c r="M902" s="593">
        <f t="shared" si="56"/>
        <v>1217.1420000000001</v>
      </c>
      <c r="N902" s="589" t="s">
        <v>251</v>
      </c>
      <c r="O902" s="594">
        <v>45418</v>
      </c>
      <c r="P902" s="593">
        <f t="shared" si="57"/>
        <v>-70</v>
      </c>
      <c r="Q902" s="594">
        <v>45488</v>
      </c>
      <c r="R902" s="593">
        <f t="shared" ca="1" si="58"/>
        <v>-47</v>
      </c>
      <c r="S902" s="589" t="str">
        <f>VLOOKUP(Q902,Mapping!L:M,2,0)</f>
        <v>W29_2024</v>
      </c>
      <c r="T902" s="589" t="str">
        <f t="shared" ca="1" si="59"/>
        <v>Not Due</v>
      </c>
      <c r="W902" s="591"/>
    </row>
    <row r="903" spans="1:23" s="589" customFormat="1" x14ac:dyDescent="0.2">
      <c r="A903" s="589" t="s">
        <v>56</v>
      </c>
      <c r="B903" s="589" t="s">
        <v>293</v>
      </c>
      <c r="C903" s="590" t="s">
        <v>3153</v>
      </c>
      <c r="D903" s="589" t="s">
        <v>100</v>
      </c>
      <c r="E903" s="589" t="s">
        <v>104</v>
      </c>
      <c r="F903" s="589" t="s">
        <v>112</v>
      </c>
      <c r="G903" s="589" t="s">
        <v>51</v>
      </c>
      <c r="H903" s="589" t="s">
        <v>242</v>
      </c>
      <c r="I903" s="589" t="s">
        <v>2845</v>
      </c>
      <c r="J903" s="589" t="s">
        <v>35</v>
      </c>
      <c r="K903" s="591">
        <v>34915.279999999999</v>
      </c>
      <c r="L903" s="592">
        <f>IF(J903="TND",1,IF(J903="EUR",Vertical_Cash_flow!$C$16,IF(J903="USD",Vertical_Cash_flow!$F$16,0)))</f>
        <v>1</v>
      </c>
      <c r="M903" s="593">
        <f t="shared" si="56"/>
        <v>34915.279999999999</v>
      </c>
      <c r="N903" s="589" t="s">
        <v>251</v>
      </c>
      <c r="O903" s="594">
        <v>45419</v>
      </c>
      <c r="P903" s="593">
        <f t="shared" si="57"/>
        <v>-69</v>
      </c>
      <c r="Q903" s="594">
        <v>45488</v>
      </c>
      <c r="R903" s="593">
        <f t="shared" ca="1" si="58"/>
        <v>-47</v>
      </c>
      <c r="S903" s="589" t="str">
        <f>VLOOKUP(Q903,Mapping!L:M,2,0)</f>
        <v>W29_2024</v>
      </c>
      <c r="T903" s="589" t="str">
        <f t="shared" ca="1" si="59"/>
        <v>Not Due</v>
      </c>
      <c r="W903" s="591"/>
    </row>
    <row r="904" spans="1:23" s="589" customFormat="1" x14ac:dyDescent="0.2">
      <c r="A904" s="589" t="s">
        <v>56</v>
      </c>
      <c r="B904" s="589" t="s">
        <v>848</v>
      </c>
      <c r="C904" s="590" t="s">
        <v>3524</v>
      </c>
      <c r="D904" s="589" t="s">
        <v>100</v>
      </c>
      <c r="E904" s="589" t="s">
        <v>104</v>
      </c>
      <c r="F904" s="589" t="s">
        <v>112</v>
      </c>
      <c r="G904" s="589" t="s">
        <v>51</v>
      </c>
      <c r="H904" s="589" t="s">
        <v>242</v>
      </c>
      <c r="I904" s="589" t="s">
        <v>3677</v>
      </c>
      <c r="J904" s="589" t="s">
        <v>35</v>
      </c>
      <c r="K904" s="591">
        <v>2000</v>
      </c>
      <c r="L904" s="592">
        <f>IF(J904="TND",1,IF(J904="EUR",Vertical_Cash_flow!$C$16,IF(J904="USD",Vertical_Cash_flow!$F$16,0)))</f>
        <v>1</v>
      </c>
      <c r="M904" s="593">
        <f t="shared" si="56"/>
        <v>2000</v>
      </c>
      <c r="N904" s="589" t="s">
        <v>251</v>
      </c>
      <c r="O904" s="594">
        <v>45429</v>
      </c>
      <c r="P904" s="593">
        <f t="shared" si="57"/>
        <v>-59</v>
      </c>
      <c r="Q904" s="594">
        <v>45488</v>
      </c>
      <c r="R904" s="593">
        <f t="shared" ca="1" si="58"/>
        <v>-47</v>
      </c>
      <c r="S904" s="589" t="str">
        <f>VLOOKUP(Q904,Mapping!L:M,2,0)</f>
        <v>W29_2024</v>
      </c>
      <c r="T904" s="589" t="str">
        <f t="shared" ca="1" si="59"/>
        <v>Not Due</v>
      </c>
      <c r="W904" s="591"/>
    </row>
    <row r="905" spans="1:23" s="589" customFormat="1" x14ac:dyDescent="0.2">
      <c r="A905" s="589" t="s">
        <v>56</v>
      </c>
      <c r="B905" s="589" t="s">
        <v>793</v>
      </c>
      <c r="C905" s="590" t="s">
        <v>3523</v>
      </c>
      <c r="D905" s="589" t="s">
        <v>100</v>
      </c>
      <c r="E905" s="589" t="s">
        <v>104</v>
      </c>
      <c r="F905" s="589" t="s">
        <v>112</v>
      </c>
      <c r="G905" s="589" t="s">
        <v>51</v>
      </c>
      <c r="H905" s="589" t="s">
        <v>242</v>
      </c>
      <c r="I905" s="589" t="s">
        <v>3663</v>
      </c>
      <c r="J905" s="589" t="s">
        <v>35</v>
      </c>
      <c r="K905" s="591">
        <v>2000</v>
      </c>
      <c r="L905" s="592">
        <f>IF(J905="TND",1,IF(J905="EUR",Vertical_Cash_flow!$C$16,IF(J905="USD",Vertical_Cash_flow!$F$16,0)))</f>
        <v>1</v>
      </c>
      <c r="M905" s="593">
        <f t="shared" si="56"/>
        <v>2000</v>
      </c>
      <c r="N905" s="589" t="s">
        <v>251</v>
      </c>
      <c r="O905" s="594">
        <v>45427</v>
      </c>
      <c r="P905" s="593">
        <f t="shared" si="57"/>
        <v>-61</v>
      </c>
      <c r="Q905" s="594">
        <v>45488</v>
      </c>
      <c r="R905" s="593">
        <f t="shared" ca="1" si="58"/>
        <v>-47</v>
      </c>
      <c r="S905" s="589" t="str">
        <f>VLOOKUP(Q905,Mapping!L:M,2,0)</f>
        <v>W29_2024</v>
      </c>
      <c r="T905" s="589" t="str">
        <f t="shared" ca="1" si="59"/>
        <v>Not Due</v>
      </c>
      <c r="W905" s="591"/>
    </row>
    <row r="906" spans="1:23" s="589" customFormat="1" x14ac:dyDescent="0.2">
      <c r="A906" s="589" t="s">
        <v>56</v>
      </c>
      <c r="B906" s="589" t="s">
        <v>348</v>
      </c>
      <c r="C906" s="590" t="s">
        <v>1564</v>
      </c>
      <c r="D906" s="589" t="s">
        <v>100</v>
      </c>
      <c r="E906" s="589" t="s">
        <v>104</v>
      </c>
      <c r="F906" s="589" t="s">
        <v>112</v>
      </c>
      <c r="G906" s="589" t="s">
        <v>51</v>
      </c>
      <c r="H906" s="589" t="s">
        <v>242</v>
      </c>
      <c r="I906" s="589" t="s">
        <v>1971</v>
      </c>
      <c r="J906" s="589" t="s">
        <v>35</v>
      </c>
      <c r="K906" s="591">
        <v>3362.9079999999999</v>
      </c>
      <c r="L906" s="592">
        <f>IF(J906="TND",1,IF(J906="EUR",Vertical_Cash_flow!$C$16,IF(J906="USD",Vertical_Cash_flow!$F$16,0)))</f>
        <v>1</v>
      </c>
      <c r="M906" s="593">
        <f t="shared" si="56"/>
        <v>3362.9079999999999</v>
      </c>
      <c r="N906" s="589" t="s">
        <v>251</v>
      </c>
      <c r="O906" s="594">
        <v>45380</v>
      </c>
      <c r="P906" s="593">
        <f t="shared" si="57"/>
        <v>-108</v>
      </c>
      <c r="Q906" s="594">
        <v>45488</v>
      </c>
      <c r="R906" s="593">
        <f t="shared" ca="1" si="58"/>
        <v>-47</v>
      </c>
      <c r="S906" s="589" t="str">
        <f>VLOOKUP(Q906,Mapping!L:M,2,0)</f>
        <v>W29_2024</v>
      </c>
      <c r="T906" s="589" t="str">
        <f t="shared" ca="1" si="59"/>
        <v>Not Due</v>
      </c>
      <c r="W906" s="591"/>
    </row>
    <row r="907" spans="1:23" s="589" customFormat="1" x14ac:dyDescent="0.2">
      <c r="A907" s="589" t="s">
        <v>56</v>
      </c>
      <c r="B907" s="589" t="s">
        <v>396</v>
      </c>
      <c r="C907" s="590" t="s">
        <v>2449</v>
      </c>
      <c r="D907" s="589" t="s">
        <v>100</v>
      </c>
      <c r="E907" s="589" t="s">
        <v>104</v>
      </c>
      <c r="F907" s="589" t="s">
        <v>112</v>
      </c>
      <c r="G907" s="589" t="s">
        <v>51</v>
      </c>
      <c r="H907" s="589" t="s">
        <v>242</v>
      </c>
      <c r="I907" s="589" t="s">
        <v>2776</v>
      </c>
      <c r="J907" s="589" t="s">
        <v>35</v>
      </c>
      <c r="K907" s="591">
        <v>465.31</v>
      </c>
      <c r="L907" s="592">
        <f>IF(J907="TND",1,IF(J907="EUR",Vertical_Cash_flow!$C$16,IF(J907="USD",Vertical_Cash_flow!$F$16,0)))</f>
        <v>1</v>
      </c>
      <c r="M907" s="593">
        <f t="shared" si="56"/>
        <v>465.31</v>
      </c>
      <c r="N907" s="589" t="s">
        <v>251</v>
      </c>
      <c r="O907" s="594">
        <v>45405</v>
      </c>
      <c r="P907" s="593">
        <f t="shared" si="57"/>
        <v>-83</v>
      </c>
      <c r="Q907" s="594">
        <v>45488</v>
      </c>
      <c r="R907" s="593">
        <f t="shared" ca="1" si="58"/>
        <v>-47</v>
      </c>
      <c r="S907" s="589" t="str">
        <f>VLOOKUP(Q907,Mapping!L:M,2,0)</f>
        <v>W29_2024</v>
      </c>
      <c r="T907" s="589" t="str">
        <f t="shared" ca="1" si="59"/>
        <v>Not Due</v>
      </c>
      <c r="W907" s="591"/>
    </row>
    <row r="908" spans="1:23" s="589" customFormat="1" x14ac:dyDescent="0.2">
      <c r="A908" s="589" t="s">
        <v>56</v>
      </c>
      <c r="B908" s="589" t="s">
        <v>398</v>
      </c>
      <c r="C908" s="590" t="s">
        <v>2450</v>
      </c>
      <c r="D908" s="589" t="s">
        <v>100</v>
      </c>
      <c r="E908" s="589" t="s">
        <v>104</v>
      </c>
      <c r="F908" s="589" t="s">
        <v>112</v>
      </c>
      <c r="G908" s="589" t="s">
        <v>51</v>
      </c>
      <c r="H908" s="589" t="s">
        <v>242</v>
      </c>
      <c r="I908" s="589" t="s">
        <v>2777</v>
      </c>
      <c r="J908" s="589" t="s">
        <v>35</v>
      </c>
      <c r="K908" s="591">
        <v>3000</v>
      </c>
      <c r="L908" s="592">
        <f>IF(J908="TND",1,IF(J908="EUR",Vertical_Cash_flow!$C$16,IF(J908="USD",Vertical_Cash_flow!$F$16,0)))</f>
        <v>1</v>
      </c>
      <c r="M908" s="593">
        <f t="shared" si="56"/>
        <v>3000</v>
      </c>
      <c r="N908" s="589" t="s">
        <v>251</v>
      </c>
      <c r="O908" s="594">
        <v>45401</v>
      </c>
      <c r="P908" s="593">
        <f t="shared" si="57"/>
        <v>-87</v>
      </c>
      <c r="Q908" s="594">
        <v>45488</v>
      </c>
      <c r="R908" s="593">
        <f t="shared" ca="1" si="58"/>
        <v>-47</v>
      </c>
      <c r="S908" s="589" t="str">
        <f>VLOOKUP(Q908,Mapping!L:M,2,0)</f>
        <v>W29_2024</v>
      </c>
      <c r="T908" s="589" t="str">
        <f t="shared" ca="1" si="59"/>
        <v>Not Due</v>
      </c>
      <c r="W908" s="591"/>
    </row>
    <row r="909" spans="1:23" s="589" customFormat="1" x14ac:dyDescent="0.2">
      <c r="A909" s="589" t="s">
        <v>56</v>
      </c>
      <c r="B909" s="589" t="s">
        <v>395</v>
      </c>
      <c r="C909" s="590" t="s">
        <v>2451</v>
      </c>
      <c r="D909" s="589" t="s">
        <v>100</v>
      </c>
      <c r="E909" s="589" t="s">
        <v>104</v>
      </c>
      <c r="F909" s="589" t="s">
        <v>112</v>
      </c>
      <c r="G909" s="589" t="s">
        <v>51</v>
      </c>
      <c r="H909" s="589" t="s">
        <v>242</v>
      </c>
      <c r="I909" s="589" t="s">
        <v>2778</v>
      </c>
      <c r="J909" s="589" t="s">
        <v>35</v>
      </c>
      <c r="K909" s="591">
        <v>3400</v>
      </c>
      <c r="L909" s="592">
        <f>IF(J909="TND",1,IF(J909="EUR",Vertical_Cash_flow!$C$16,IF(J909="USD",Vertical_Cash_flow!$F$16,0)))</f>
        <v>1</v>
      </c>
      <c r="M909" s="593">
        <f t="shared" si="56"/>
        <v>3400</v>
      </c>
      <c r="N909" s="589" t="s">
        <v>251</v>
      </c>
      <c r="O909" s="594">
        <v>45401</v>
      </c>
      <c r="P909" s="593">
        <f t="shared" si="57"/>
        <v>-87</v>
      </c>
      <c r="Q909" s="594">
        <v>45488</v>
      </c>
      <c r="R909" s="593">
        <f t="shared" ca="1" si="58"/>
        <v>-47</v>
      </c>
      <c r="S909" s="589" t="str">
        <f>VLOOKUP(Q909,Mapping!L:M,2,0)</f>
        <v>W29_2024</v>
      </c>
      <c r="T909" s="589" t="str">
        <f t="shared" ca="1" si="59"/>
        <v>Not Due</v>
      </c>
      <c r="W909" s="591"/>
    </row>
    <row r="910" spans="1:23" s="589" customFormat="1" x14ac:dyDescent="0.2">
      <c r="A910" s="589" t="s">
        <v>56</v>
      </c>
      <c r="B910" s="589" t="s">
        <v>808</v>
      </c>
      <c r="C910" s="590" t="s">
        <v>1563</v>
      </c>
      <c r="D910" s="589" t="s">
        <v>100</v>
      </c>
      <c r="E910" s="589" t="s">
        <v>104</v>
      </c>
      <c r="F910" s="589" t="s">
        <v>112</v>
      </c>
      <c r="G910" s="589" t="s">
        <v>51</v>
      </c>
      <c r="H910" s="589" t="s">
        <v>242</v>
      </c>
      <c r="I910" s="589" t="s">
        <v>1970</v>
      </c>
      <c r="J910" s="589" t="s">
        <v>35</v>
      </c>
      <c r="K910" s="591">
        <v>2800</v>
      </c>
      <c r="L910" s="592">
        <f>IF(J910="TND",1,IF(J910="EUR",Vertical_Cash_flow!$C$16,IF(J910="USD",Vertical_Cash_flow!$F$16,0)))</f>
        <v>1</v>
      </c>
      <c r="M910" s="593">
        <f t="shared" si="56"/>
        <v>2800</v>
      </c>
      <c r="N910" s="589" t="s">
        <v>251</v>
      </c>
      <c r="O910" s="594">
        <v>45358</v>
      </c>
      <c r="P910" s="593">
        <f t="shared" si="57"/>
        <v>-130</v>
      </c>
      <c r="Q910" s="594">
        <v>45488</v>
      </c>
      <c r="R910" s="593">
        <f t="shared" ca="1" si="58"/>
        <v>-47</v>
      </c>
      <c r="S910" s="589" t="str">
        <f>VLOOKUP(Q910,Mapping!L:M,2,0)</f>
        <v>W29_2024</v>
      </c>
      <c r="T910" s="589" t="str">
        <f t="shared" ca="1" si="59"/>
        <v>Not Due</v>
      </c>
      <c r="W910" s="591"/>
    </row>
    <row r="911" spans="1:23" s="589" customFormat="1" x14ac:dyDescent="0.2">
      <c r="A911" s="589" t="s">
        <v>56</v>
      </c>
      <c r="B911" s="589" t="s">
        <v>392</v>
      </c>
      <c r="C911" s="590" t="s">
        <v>1565</v>
      </c>
      <c r="D911" s="589" t="s">
        <v>100</v>
      </c>
      <c r="E911" s="589" t="s">
        <v>104</v>
      </c>
      <c r="F911" s="589" t="s">
        <v>112</v>
      </c>
      <c r="G911" s="589" t="s">
        <v>51</v>
      </c>
      <c r="H911" s="589" t="s">
        <v>242</v>
      </c>
      <c r="I911" s="589" t="s">
        <v>1972</v>
      </c>
      <c r="J911" s="589" t="s">
        <v>35</v>
      </c>
      <c r="K911" s="591">
        <v>3884.069</v>
      </c>
      <c r="L911" s="592">
        <f>IF(J911="TND",1,IF(J911="EUR",Vertical_Cash_flow!$C$16,IF(J911="USD",Vertical_Cash_flow!$F$16,0)))</f>
        <v>1</v>
      </c>
      <c r="M911" s="593">
        <f t="shared" si="56"/>
        <v>3884.069</v>
      </c>
      <c r="N911" s="589" t="s">
        <v>251</v>
      </c>
      <c r="O911" s="594">
        <v>45348</v>
      </c>
      <c r="P911" s="593">
        <f t="shared" si="57"/>
        <v>-140</v>
      </c>
      <c r="Q911" s="594">
        <v>45488</v>
      </c>
      <c r="R911" s="593">
        <f t="shared" ca="1" si="58"/>
        <v>-47</v>
      </c>
      <c r="S911" s="589" t="str">
        <f>VLOOKUP(Q911,Mapping!L:M,2,0)</f>
        <v>W29_2024</v>
      </c>
      <c r="T911" s="589" t="str">
        <f t="shared" ca="1" si="59"/>
        <v>Not Due</v>
      </c>
      <c r="W911" s="591"/>
    </row>
    <row r="912" spans="1:23" s="589" customFormat="1" x14ac:dyDescent="0.2">
      <c r="A912" s="589" t="s">
        <v>56</v>
      </c>
      <c r="B912" s="589" t="s">
        <v>1244</v>
      </c>
      <c r="C912" s="590" t="s">
        <v>2448</v>
      </c>
      <c r="D912" s="589" t="s">
        <v>100</v>
      </c>
      <c r="E912" s="589" t="s">
        <v>104</v>
      </c>
      <c r="F912" s="589" t="s">
        <v>112</v>
      </c>
      <c r="G912" s="589" t="s">
        <v>51</v>
      </c>
      <c r="H912" s="589" t="s">
        <v>242</v>
      </c>
      <c r="I912" s="589" t="s">
        <v>2775</v>
      </c>
      <c r="J912" s="589" t="s">
        <v>35</v>
      </c>
      <c r="K912" s="591">
        <v>700</v>
      </c>
      <c r="L912" s="592">
        <f>IF(J912="TND",1,IF(J912="EUR",Vertical_Cash_flow!$C$16,IF(J912="USD",Vertical_Cash_flow!$F$16,0)))</f>
        <v>1</v>
      </c>
      <c r="M912" s="593">
        <f t="shared" si="56"/>
        <v>700</v>
      </c>
      <c r="N912" s="589" t="s">
        <v>251</v>
      </c>
      <c r="O912" s="594">
        <v>45399</v>
      </c>
      <c r="P912" s="593">
        <f t="shared" si="57"/>
        <v>-89</v>
      </c>
      <c r="Q912" s="594">
        <v>45488</v>
      </c>
      <c r="R912" s="593">
        <f t="shared" ca="1" si="58"/>
        <v>-47</v>
      </c>
      <c r="S912" s="589" t="str">
        <f>VLOOKUP(Q912,Mapping!L:M,2,0)</f>
        <v>W29_2024</v>
      </c>
      <c r="T912" s="589" t="str">
        <f t="shared" ca="1" si="59"/>
        <v>Not Due</v>
      </c>
      <c r="W912" s="591"/>
    </row>
    <row r="913" spans="1:23" s="589" customFormat="1" x14ac:dyDescent="0.2">
      <c r="A913" s="589" t="s">
        <v>56</v>
      </c>
      <c r="B913" s="589" t="s">
        <v>620</v>
      </c>
      <c r="C913" s="590" t="s">
        <v>1559</v>
      </c>
      <c r="D913" s="589" t="s">
        <v>100</v>
      </c>
      <c r="E913" s="589" t="s">
        <v>104</v>
      </c>
      <c r="F913" s="589" t="s">
        <v>112</v>
      </c>
      <c r="G913" s="589" t="s">
        <v>51</v>
      </c>
      <c r="H913" s="589" t="s">
        <v>242</v>
      </c>
      <c r="I913" s="589" t="s">
        <v>1967</v>
      </c>
      <c r="J913" s="589" t="s">
        <v>35</v>
      </c>
      <c r="K913" s="591">
        <v>2554.9940000000001</v>
      </c>
      <c r="L913" s="592">
        <f>IF(J913="TND",1,IF(J913="EUR",Vertical_Cash_flow!$C$16,IF(J913="USD",Vertical_Cash_flow!$F$16,0)))</f>
        <v>1</v>
      </c>
      <c r="M913" s="593">
        <f t="shared" si="56"/>
        <v>2554.9940000000001</v>
      </c>
      <c r="N913" s="589" t="s">
        <v>251</v>
      </c>
      <c r="O913" s="594">
        <v>45378</v>
      </c>
      <c r="P913" s="593">
        <f t="shared" si="57"/>
        <v>-110</v>
      </c>
      <c r="Q913" s="594">
        <v>45488</v>
      </c>
      <c r="R913" s="593">
        <f t="shared" ca="1" si="58"/>
        <v>-47</v>
      </c>
      <c r="S913" s="589" t="str">
        <f>VLOOKUP(Q913,Mapping!L:M,2,0)</f>
        <v>W29_2024</v>
      </c>
      <c r="T913" s="589" t="str">
        <f t="shared" ca="1" si="59"/>
        <v>Not Due</v>
      </c>
      <c r="W913" s="591"/>
    </row>
    <row r="914" spans="1:23" s="589" customFormat="1" x14ac:dyDescent="0.2">
      <c r="A914" s="589" t="s">
        <v>56</v>
      </c>
      <c r="B914" s="589" t="s">
        <v>736</v>
      </c>
      <c r="C914" s="590" t="s">
        <v>3522</v>
      </c>
      <c r="D914" s="589" t="s">
        <v>100</v>
      </c>
      <c r="E914" s="589" t="s">
        <v>104</v>
      </c>
      <c r="F914" s="589" t="s">
        <v>112</v>
      </c>
      <c r="G914" s="589" t="s">
        <v>51</v>
      </c>
      <c r="H914" s="589" t="s">
        <v>242</v>
      </c>
      <c r="I914" s="589" t="s">
        <v>3648</v>
      </c>
      <c r="J914" s="589" t="s">
        <v>35</v>
      </c>
      <c r="K914" s="591">
        <v>364</v>
      </c>
      <c r="L914" s="592">
        <f>IF(J914="TND",1,IF(J914="EUR",Vertical_Cash_flow!$C$16,IF(J914="USD",Vertical_Cash_flow!$F$16,0)))</f>
        <v>1</v>
      </c>
      <c r="M914" s="593">
        <f t="shared" si="56"/>
        <v>364</v>
      </c>
      <c r="N914" s="589" t="s">
        <v>251</v>
      </c>
      <c r="O914" s="594">
        <v>45423</v>
      </c>
      <c r="P914" s="593">
        <f t="shared" si="57"/>
        <v>-65</v>
      </c>
      <c r="Q914" s="594">
        <v>45488</v>
      </c>
      <c r="R914" s="593">
        <f t="shared" ca="1" si="58"/>
        <v>-47</v>
      </c>
      <c r="S914" s="589" t="str">
        <f>VLOOKUP(Q914,Mapping!L:M,2,0)</f>
        <v>W29_2024</v>
      </c>
      <c r="T914" s="589" t="str">
        <f t="shared" ca="1" si="59"/>
        <v>Not Due</v>
      </c>
      <c r="W914" s="591"/>
    </row>
    <row r="915" spans="1:23" s="589" customFormat="1" x14ac:dyDescent="0.2">
      <c r="A915" s="589" t="s">
        <v>56</v>
      </c>
      <c r="B915" s="589" t="s">
        <v>509</v>
      </c>
      <c r="C915" s="590" t="s">
        <v>1561</v>
      </c>
      <c r="D915" s="589" t="s">
        <v>100</v>
      </c>
      <c r="E915" s="589" t="s">
        <v>104</v>
      </c>
      <c r="F915" s="589" t="s">
        <v>112</v>
      </c>
      <c r="G915" s="589" t="s">
        <v>51</v>
      </c>
      <c r="H915" s="589" t="s">
        <v>242</v>
      </c>
      <c r="I915" s="589" t="s">
        <v>1969</v>
      </c>
      <c r="J915" s="589" t="s">
        <v>35</v>
      </c>
      <c r="K915" s="591">
        <v>1829.99</v>
      </c>
      <c r="L915" s="592">
        <f>IF(J915="TND",1,IF(J915="EUR",Vertical_Cash_flow!$C$16,IF(J915="USD",Vertical_Cash_flow!$F$16,0)))</f>
        <v>1</v>
      </c>
      <c r="M915" s="593">
        <f t="shared" si="56"/>
        <v>1829.99</v>
      </c>
      <c r="N915" s="589" t="s">
        <v>251</v>
      </c>
      <c r="O915" s="594">
        <v>45373</v>
      </c>
      <c r="P915" s="593">
        <f t="shared" si="57"/>
        <v>-115</v>
      </c>
      <c r="Q915" s="594">
        <v>45488</v>
      </c>
      <c r="R915" s="593">
        <f t="shared" ca="1" si="58"/>
        <v>-47</v>
      </c>
      <c r="S915" s="589" t="str">
        <f>VLOOKUP(Q915,Mapping!L:M,2,0)</f>
        <v>W29_2024</v>
      </c>
      <c r="T915" s="589" t="str">
        <f t="shared" ca="1" si="59"/>
        <v>Not Due</v>
      </c>
      <c r="W915" s="591"/>
    </row>
    <row r="916" spans="1:23" s="589" customFormat="1" x14ac:dyDescent="0.2">
      <c r="A916" s="589" t="s">
        <v>56</v>
      </c>
      <c r="B916" s="589" t="s">
        <v>343</v>
      </c>
      <c r="C916" s="590" t="s">
        <v>3152</v>
      </c>
      <c r="D916" s="589" t="s">
        <v>100</v>
      </c>
      <c r="E916" s="589" t="s">
        <v>104</v>
      </c>
      <c r="F916" s="589" t="s">
        <v>112</v>
      </c>
      <c r="G916" s="589" t="s">
        <v>51</v>
      </c>
      <c r="H916" s="589" t="s">
        <v>242</v>
      </c>
      <c r="I916" s="589" t="s">
        <v>3339</v>
      </c>
      <c r="J916" s="589" t="s">
        <v>35</v>
      </c>
      <c r="K916" s="591">
        <v>1162.22</v>
      </c>
      <c r="L916" s="592">
        <f>IF(J916="TND",1,IF(J916="EUR",Vertical_Cash_flow!$C$16,IF(J916="USD",Vertical_Cash_flow!$F$16,0)))</f>
        <v>1</v>
      </c>
      <c r="M916" s="593">
        <f t="shared" si="56"/>
        <v>1162.22</v>
      </c>
      <c r="N916" s="589" t="s">
        <v>251</v>
      </c>
      <c r="O916" s="594">
        <v>45408</v>
      </c>
      <c r="P916" s="593">
        <f t="shared" si="57"/>
        <v>-80</v>
      </c>
      <c r="Q916" s="594">
        <v>45488</v>
      </c>
      <c r="R916" s="593">
        <f t="shared" ca="1" si="58"/>
        <v>-47</v>
      </c>
      <c r="S916" s="589" t="str">
        <f>VLOOKUP(Q916,Mapping!L:M,2,0)</f>
        <v>W29_2024</v>
      </c>
      <c r="T916" s="589" t="str">
        <f t="shared" ca="1" si="59"/>
        <v>Not Due</v>
      </c>
      <c r="W916" s="591"/>
    </row>
    <row r="917" spans="1:23" s="589" customFormat="1" x14ac:dyDescent="0.2">
      <c r="A917" s="589" t="s">
        <v>56</v>
      </c>
      <c r="B917" s="589" t="s">
        <v>387</v>
      </c>
      <c r="C917" s="590" t="s">
        <v>2447</v>
      </c>
      <c r="D917" s="589" t="s">
        <v>100</v>
      </c>
      <c r="E917" s="589" t="s">
        <v>104</v>
      </c>
      <c r="F917" s="589" t="s">
        <v>112</v>
      </c>
      <c r="G917" s="589" t="s">
        <v>51</v>
      </c>
      <c r="H917" s="589" t="s">
        <v>242</v>
      </c>
      <c r="I917" s="589" t="s">
        <v>2774</v>
      </c>
      <c r="J917" s="589" t="s">
        <v>35</v>
      </c>
      <c r="K917" s="591">
        <v>1091.0429999999999</v>
      </c>
      <c r="L917" s="592">
        <f>IF(J917="TND",1,IF(J917="EUR",Vertical_Cash_flow!$C$16,IF(J917="USD",Vertical_Cash_flow!$F$16,0)))</f>
        <v>1</v>
      </c>
      <c r="M917" s="593">
        <f t="shared" ref="M917:M980" si="60">K917/L917</f>
        <v>1091.0429999999999</v>
      </c>
      <c r="N917" s="589" t="s">
        <v>251</v>
      </c>
      <c r="O917" s="594">
        <v>45406</v>
      </c>
      <c r="P917" s="593">
        <f t="shared" ref="P917:P980" si="61">O917-Q917</f>
        <v>-82</v>
      </c>
      <c r="Q917" s="594">
        <v>45488</v>
      </c>
      <c r="R917" s="593">
        <f t="shared" ref="R917:R980" ca="1" si="62">$W$1-Q917</f>
        <v>-47</v>
      </c>
      <c r="S917" s="589" t="str">
        <f>VLOOKUP(Q917,Mapping!L:M,2,0)</f>
        <v>W29_2024</v>
      </c>
      <c r="T917" s="589" t="str">
        <f t="shared" ref="T917:T980" ca="1" si="63">IF(R917="","",IF(R917&lt;0,"Not Due",IF(AND(R917&gt;=0,R917&lt;=30),"up to 30 days",IF(AND(R917&gt;30,R917&lt;=60),"30-60 days",IF(AND(R917&gt;60,R917&lt;=90),"60-90 days",IF(AND(R917&gt;90,R917&lt;=120),"90-120 days",IF(AND(R917&gt;120,R917&lt;=180),"120-180 days",IF(AND(R917&gt;180,R917&lt;=360),"180-360 days",IF(R917&gt;360,"more than 360 days","ok")))))))))</f>
        <v>Not Due</v>
      </c>
      <c r="W917" s="591"/>
    </row>
    <row r="918" spans="1:23" s="589" customFormat="1" x14ac:dyDescent="0.2">
      <c r="A918" s="589" t="s">
        <v>56</v>
      </c>
      <c r="B918" s="589" t="s">
        <v>387</v>
      </c>
      <c r="C918" s="590" t="s">
        <v>1562</v>
      </c>
      <c r="D918" s="589" t="s">
        <v>100</v>
      </c>
      <c r="E918" s="589" t="s">
        <v>104</v>
      </c>
      <c r="F918" s="589" t="s">
        <v>112</v>
      </c>
      <c r="G918" s="589" t="s">
        <v>51</v>
      </c>
      <c r="H918" s="589" t="s">
        <v>242</v>
      </c>
      <c r="I918" s="589" t="s">
        <v>999</v>
      </c>
      <c r="J918" s="589" t="s">
        <v>35</v>
      </c>
      <c r="K918" s="591">
        <v>1301.9749999999999</v>
      </c>
      <c r="L918" s="592">
        <f>IF(J918="TND",1,IF(J918="EUR",Vertical_Cash_flow!$C$16,IF(J918="USD",Vertical_Cash_flow!$F$16,0)))</f>
        <v>1</v>
      </c>
      <c r="M918" s="593">
        <f t="shared" si="60"/>
        <v>1301.9749999999999</v>
      </c>
      <c r="N918" s="589" t="s">
        <v>251</v>
      </c>
      <c r="O918" s="594">
        <v>45378</v>
      </c>
      <c r="P918" s="593">
        <f t="shared" si="61"/>
        <v>-110</v>
      </c>
      <c r="Q918" s="594">
        <v>45488</v>
      </c>
      <c r="R918" s="593">
        <f t="shared" ca="1" si="62"/>
        <v>-47</v>
      </c>
      <c r="S918" s="589" t="str">
        <f>VLOOKUP(Q918,Mapping!L:M,2,0)</f>
        <v>W29_2024</v>
      </c>
      <c r="T918" s="589" t="str">
        <f t="shared" ca="1" si="63"/>
        <v>Not Due</v>
      </c>
      <c r="W918" s="591"/>
    </row>
    <row r="919" spans="1:23" s="589" customFormat="1" x14ac:dyDescent="0.2">
      <c r="A919" s="589" t="s">
        <v>56</v>
      </c>
      <c r="B919" s="589" t="s">
        <v>383</v>
      </c>
      <c r="C919" s="590" t="s">
        <v>1560</v>
      </c>
      <c r="D919" s="589" t="s">
        <v>100</v>
      </c>
      <c r="E919" s="589" t="s">
        <v>104</v>
      </c>
      <c r="F919" s="589" t="s">
        <v>112</v>
      </c>
      <c r="G919" s="589" t="s">
        <v>51</v>
      </c>
      <c r="H919" s="589" t="s">
        <v>242</v>
      </c>
      <c r="I919" s="589" t="s">
        <v>1968</v>
      </c>
      <c r="J919" s="589" t="s">
        <v>35</v>
      </c>
      <c r="K919" s="591">
        <v>21231.707999999999</v>
      </c>
      <c r="L919" s="592">
        <f>IF(J919="TND",1,IF(J919="EUR",Vertical_Cash_flow!$C$16,IF(J919="USD",Vertical_Cash_flow!$F$16,0)))</f>
        <v>1</v>
      </c>
      <c r="M919" s="593">
        <f t="shared" si="60"/>
        <v>21231.707999999999</v>
      </c>
      <c r="N919" s="589" t="s">
        <v>251</v>
      </c>
      <c r="O919" s="594">
        <v>45378</v>
      </c>
      <c r="P919" s="593">
        <f t="shared" si="61"/>
        <v>-110</v>
      </c>
      <c r="Q919" s="594">
        <v>45488</v>
      </c>
      <c r="R919" s="593">
        <f t="shared" ca="1" si="62"/>
        <v>-47</v>
      </c>
      <c r="S919" s="589" t="str">
        <f>VLOOKUP(Q919,Mapping!L:M,2,0)</f>
        <v>W29_2024</v>
      </c>
      <c r="T919" s="589" t="str">
        <f t="shared" ca="1" si="63"/>
        <v>Not Due</v>
      </c>
      <c r="W919" s="591"/>
    </row>
    <row r="920" spans="1:23" s="589" customFormat="1" x14ac:dyDescent="0.2">
      <c r="A920" s="589" t="s">
        <v>56</v>
      </c>
      <c r="B920" s="589" t="s">
        <v>482</v>
      </c>
      <c r="C920" s="590" t="s">
        <v>1558</v>
      </c>
      <c r="D920" s="589" t="s">
        <v>100</v>
      </c>
      <c r="E920" s="589" t="s">
        <v>104</v>
      </c>
      <c r="F920" s="589" t="s">
        <v>112</v>
      </c>
      <c r="G920" s="589" t="s">
        <v>51</v>
      </c>
      <c r="H920" s="589" t="s">
        <v>242</v>
      </c>
      <c r="I920" s="589" t="s">
        <v>1966</v>
      </c>
      <c r="J920" s="589" t="s">
        <v>35</v>
      </c>
      <c r="K920" s="591">
        <v>1250</v>
      </c>
      <c r="L920" s="592">
        <f>IF(J920="TND",1,IF(J920="EUR",Vertical_Cash_flow!$C$16,IF(J920="USD",Vertical_Cash_flow!$F$16,0)))</f>
        <v>1</v>
      </c>
      <c r="M920" s="593">
        <f t="shared" si="60"/>
        <v>1250</v>
      </c>
      <c r="N920" s="589" t="s">
        <v>251</v>
      </c>
      <c r="O920" s="594">
        <v>45379</v>
      </c>
      <c r="P920" s="593">
        <f t="shared" si="61"/>
        <v>-109</v>
      </c>
      <c r="Q920" s="594">
        <v>45488</v>
      </c>
      <c r="R920" s="593">
        <f t="shared" ca="1" si="62"/>
        <v>-47</v>
      </c>
      <c r="S920" s="589" t="str">
        <f>VLOOKUP(Q920,Mapping!L:M,2,0)</f>
        <v>W29_2024</v>
      </c>
      <c r="T920" s="589" t="str">
        <f t="shared" ca="1" si="63"/>
        <v>Not Due</v>
      </c>
      <c r="W920" s="591"/>
    </row>
    <row r="921" spans="1:23" s="589" customFormat="1" x14ac:dyDescent="0.2">
      <c r="A921" s="589" t="s">
        <v>56</v>
      </c>
      <c r="B921" s="589" t="s">
        <v>500</v>
      </c>
      <c r="C921" s="590" t="s">
        <v>2446</v>
      </c>
      <c r="D921" s="589" t="s">
        <v>100</v>
      </c>
      <c r="E921" s="589" t="s">
        <v>104</v>
      </c>
      <c r="F921" s="589" t="s">
        <v>112</v>
      </c>
      <c r="G921" s="589" t="s">
        <v>51</v>
      </c>
      <c r="H921" s="589" t="s">
        <v>242</v>
      </c>
      <c r="I921" s="589" t="s">
        <v>2697</v>
      </c>
      <c r="J921" s="589" t="s">
        <v>35</v>
      </c>
      <c r="K921" s="591">
        <v>2000</v>
      </c>
      <c r="L921" s="592">
        <f>IF(J921="TND",1,IF(J921="EUR",Vertical_Cash_flow!$C$16,IF(J921="USD",Vertical_Cash_flow!$F$16,0)))</f>
        <v>1</v>
      </c>
      <c r="M921" s="593">
        <f t="shared" si="60"/>
        <v>2000</v>
      </c>
      <c r="N921" s="589" t="s">
        <v>251</v>
      </c>
      <c r="O921" s="594">
        <v>45395</v>
      </c>
      <c r="P921" s="593">
        <f t="shared" si="61"/>
        <v>-93</v>
      </c>
      <c r="Q921" s="594">
        <v>45488</v>
      </c>
      <c r="R921" s="593">
        <f t="shared" ca="1" si="62"/>
        <v>-47</v>
      </c>
      <c r="S921" s="589" t="str">
        <f>VLOOKUP(Q921,Mapping!L:M,2,0)</f>
        <v>W29_2024</v>
      </c>
      <c r="T921" s="589" t="str">
        <f t="shared" ca="1" si="63"/>
        <v>Not Due</v>
      </c>
      <c r="W921" s="591"/>
    </row>
    <row r="922" spans="1:23" s="589" customFormat="1" x14ac:dyDescent="0.2">
      <c r="A922" s="589" t="s">
        <v>56</v>
      </c>
      <c r="B922" s="589" t="s">
        <v>322</v>
      </c>
      <c r="C922" s="590" t="s">
        <v>2445</v>
      </c>
      <c r="D922" s="589" t="s">
        <v>100</v>
      </c>
      <c r="E922" s="589" t="s">
        <v>104</v>
      </c>
      <c r="F922" s="589" t="s">
        <v>112</v>
      </c>
      <c r="G922" s="589" t="s">
        <v>51</v>
      </c>
      <c r="H922" s="589" t="s">
        <v>242</v>
      </c>
      <c r="I922" s="589" t="s">
        <v>2773</v>
      </c>
      <c r="J922" s="589" t="s">
        <v>35</v>
      </c>
      <c r="K922" s="591">
        <v>4424.0820000000003</v>
      </c>
      <c r="L922" s="592">
        <f>IF(J922="TND",1,IF(J922="EUR",Vertical_Cash_flow!$C$16,IF(J922="USD",Vertical_Cash_flow!$F$16,0)))</f>
        <v>1</v>
      </c>
      <c r="M922" s="593">
        <f t="shared" si="60"/>
        <v>4424.0820000000003</v>
      </c>
      <c r="N922" s="589" t="s">
        <v>251</v>
      </c>
      <c r="O922" s="594">
        <v>45408</v>
      </c>
      <c r="P922" s="593">
        <f t="shared" si="61"/>
        <v>-80</v>
      </c>
      <c r="Q922" s="594">
        <v>45488</v>
      </c>
      <c r="R922" s="593">
        <f t="shared" ca="1" si="62"/>
        <v>-47</v>
      </c>
      <c r="S922" s="589" t="str">
        <f>VLOOKUP(Q922,Mapping!L:M,2,0)</f>
        <v>W29_2024</v>
      </c>
      <c r="T922" s="589" t="str">
        <f t="shared" ca="1" si="63"/>
        <v>Not Due</v>
      </c>
      <c r="W922" s="591"/>
    </row>
    <row r="923" spans="1:23" s="589" customFormat="1" x14ac:dyDescent="0.2">
      <c r="A923" s="589" t="s">
        <v>56</v>
      </c>
      <c r="B923" s="589" t="s">
        <v>569</v>
      </c>
      <c r="C923" s="590" t="s">
        <v>3151</v>
      </c>
      <c r="D923" s="589" t="s">
        <v>100</v>
      </c>
      <c r="E923" s="589" t="s">
        <v>104</v>
      </c>
      <c r="F923" s="589" t="s">
        <v>112</v>
      </c>
      <c r="G923" s="589" t="s">
        <v>51</v>
      </c>
      <c r="H923" s="589" t="s">
        <v>242</v>
      </c>
      <c r="I923" s="589" t="s">
        <v>3338</v>
      </c>
      <c r="J923" s="589" t="s">
        <v>35</v>
      </c>
      <c r="K923" s="591">
        <v>205.18600000000001</v>
      </c>
      <c r="L923" s="592">
        <f>IF(J923="TND",1,IF(J923="EUR",Vertical_Cash_flow!$C$16,IF(J923="USD",Vertical_Cash_flow!$F$16,0)))</f>
        <v>1</v>
      </c>
      <c r="M923" s="593">
        <f t="shared" si="60"/>
        <v>205.18600000000001</v>
      </c>
      <c r="N923" s="589" t="s">
        <v>251</v>
      </c>
      <c r="O923" s="594">
        <v>45418</v>
      </c>
      <c r="P923" s="593">
        <f t="shared" si="61"/>
        <v>-70</v>
      </c>
      <c r="Q923" s="594">
        <v>45488</v>
      </c>
      <c r="R923" s="593">
        <f t="shared" ca="1" si="62"/>
        <v>-47</v>
      </c>
      <c r="S923" s="589" t="str">
        <f>VLOOKUP(Q923,Mapping!L:M,2,0)</f>
        <v>W29_2024</v>
      </c>
      <c r="T923" s="589" t="str">
        <f t="shared" ca="1" si="63"/>
        <v>Not Due</v>
      </c>
      <c r="W923" s="591"/>
    </row>
    <row r="924" spans="1:23" s="589" customFormat="1" x14ac:dyDescent="0.2">
      <c r="A924" s="589" t="s">
        <v>56</v>
      </c>
      <c r="B924" s="589" t="s">
        <v>943</v>
      </c>
      <c r="C924" s="590" t="s">
        <v>2443</v>
      </c>
      <c r="D924" s="589" t="s">
        <v>100</v>
      </c>
      <c r="E924" s="589" t="s">
        <v>104</v>
      </c>
      <c r="F924" s="589" t="s">
        <v>112</v>
      </c>
      <c r="G924" s="589" t="s">
        <v>51</v>
      </c>
      <c r="H924" s="589" t="s">
        <v>242</v>
      </c>
      <c r="I924" s="589" t="s">
        <v>2771</v>
      </c>
      <c r="J924" s="589" t="s">
        <v>35</v>
      </c>
      <c r="K924" s="591">
        <v>2600</v>
      </c>
      <c r="L924" s="592">
        <f>IF(J924="TND",1,IF(J924="EUR",Vertical_Cash_flow!$C$16,IF(J924="USD",Vertical_Cash_flow!$F$16,0)))</f>
        <v>1</v>
      </c>
      <c r="M924" s="593">
        <f t="shared" si="60"/>
        <v>2600</v>
      </c>
      <c r="N924" s="589" t="s">
        <v>251</v>
      </c>
      <c r="O924" s="594">
        <v>45402</v>
      </c>
      <c r="P924" s="593">
        <f t="shared" si="61"/>
        <v>-86</v>
      </c>
      <c r="Q924" s="594">
        <v>45488</v>
      </c>
      <c r="R924" s="593">
        <f t="shared" ca="1" si="62"/>
        <v>-47</v>
      </c>
      <c r="S924" s="589" t="str">
        <f>VLOOKUP(Q924,Mapping!L:M,2,0)</f>
        <v>W29_2024</v>
      </c>
      <c r="T924" s="589" t="str">
        <f t="shared" ca="1" si="63"/>
        <v>Not Due</v>
      </c>
      <c r="W924" s="591"/>
    </row>
    <row r="925" spans="1:23" s="589" customFormat="1" x14ac:dyDescent="0.2">
      <c r="A925" s="589" t="s">
        <v>56</v>
      </c>
      <c r="B925" s="589" t="s">
        <v>530</v>
      </c>
      <c r="C925" s="590" t="s">
        <v>2444</v>
      </c>
      <c r="D925" s="589" t="s">
        <v>100</v>
      </c>
      <c r="E925" s="589" t="s">
        <v>104</v>
      </c>
      <c r="F925" s="589" t="s">
        <v>112</v>
      </c>
      <c r="G925" s="589" t="s">
        <v>51</v>
      </c>
      <c r="H925" s="589" t="s">
        <v>242</v>
      </c>
      <c r="I925" s="589" t="s">
        <v>2772</v>
      </c>
      <c r="J925" s="589" t="s">
        <v>35</v>
      </c>
      <c r="K925" s="591">
        <v>672.22</v>
      </c>
      <c r="L925" s="592">
        <f>IF(J925="TND",1,IF(J925="EUR",Vertical_Cash_flow!$C$16,IF(J925="USD",Vertical_Cash_flow!$F$16,0)))</f>
        <v>1</v>
      </c>
      <c r="M925" s="593">
        <f t="shared" si="60"/>
        <v>672.22</v>
      </c>
      <c r="N925" s="589" t="s">
        <v>251</v>
      </c>
      <c r="O925" s="594">
        <v>45400</v>
      </c>
      <c r="P925" s="593">
        <f t="shared" si="61"/>
        <v>-88</v>
      </c>
      <c r="Q925" s="594">
        <v>45488</v>
      </c>
      <c r="R925" s="593">
        <f t="shared" ca="1" si="62"/>
        <v>-47</v>
      </c>
      <c r="S925" s="589" t="str">
        <f>VLOOKUP(Q925,Mapping!L:M,2,0)</f>
        <v>W29_2024</v>
      </c>
      <c r="T925" s="589" t="str">
        <f t="shared" ca="1" si="63"/>
        <v>Not Due</v>
      </c>
      <c r="W925" s="591"/>
    </row>
    <row r="926" spans="1:23" s="589" customFormat="1" x14ac:dyDescent="0.2">
      <c r="A926" s="589" t="s">
        <v>56</v>
      </c>
      <c r="B926" s="589" t="s">
        <v>1247</v>
      </c>
      <c r="C926" s="590" t="s">
        <v>1557</v>
      </c>
      <c r="D926" s="589" t="s">
        <v>100</v>
      </c>
      <c r="E926" s="589" t="s">
        <v>104</v>
      </c>
      <c r="F926" s="589" t="s">
        <v>112</v>
      </c>
      <c r="G926" s="589" t="s">
        <v>51</v>
      </c>
      <c r="H926" s="589" t="s">
        <v>242</v>
      </c>
      <c r="I926" s="589" t="s">
        <v>1965</v>
      </c>
      <c r="J926" s="589" t="s">
        <v>35</v>
      </c>
      <c r="K926" s="591">
        <v>2420.5</v>
      </c>
      <c r="L926" s="592">
        <f>IF(J926="TND",1,IF(J926="EUR",Vertical_Cash_flow!$C$16,IF(J926="USD",Vertical_Cash_flow!$F$16,0)))</f>
        <v>1</v>
      </c>
      <c r="M926" s="593">
        <f t="shared" si="60"/>
        <v>2420.5</v>
      </c>
      <c r="N926" s="589" t="s">
        <v>251</v>
      </c>
      <c r="O926" s="594">
        <v>45380</v>
      </c>
      <c r="P926" s="593">
        <f t="shared" si="61"/>
        <v>-109</v>
      </c>
      <c r="Q926" s="594">
        <v>45489</v>
      </c>
      <c r="R926" s="593">
        <f t="shared" ca="1" si="62"/>
        <v>-48</v>
      </c>
      <c r="S926" s="589" t="str">
        <f>VLOOKUP(Q926,Mapping!L:M,2,0)</f>
        <v>W29_2024</v>
      </c>
      <c r="T926" s="589" t="str">
        <f t="shared" ca="1" si="63"/>
        <v>Not Due</v>
      </c>
      <c r="W926" s="591"/>
    </row>
    <row r="927" spans="1:23" s="589" customFormat="1" x14ac:dyDescent="0.2">
      <c r="A927" s="589" t="s">
        <v>56</v>
      </c>
      <c r="B927" s="589" t="s">
        <v>288</v>
      </c>
      <c r="C927" s="590" t="s">
        <v>1556</v>
      </c>
      <c r="D927" s="589" t="s">
        <v>100</v>
      </c>
      <c r="E927" s="589" t="s">
        <v>104</v>
      </c>
      <c r="F927" s="589" t="s">
        <v>112</v>
      </c>
      <c r="G927" s="589" t="s">
        <v>51</v>
      </c>
      <c r="H927" s="589" t="s">
        <v>242</v>
      </c>
      <c r="I927" s="589" t="s">
        <v>1964</v>
      </c>
      <c r="J927" s="589" t="s">
        <v>35</v>
      </c>
      <c r="K927" s="591">
        <v>700</v>
      </c>
      <c r="L927" s="592">
        <f>IF(J927="TND",1,IF(J927="EUR",Vertical_Cash_flow!$C$16,IF(J927="USD",Vertical_Cash_flow!$F$16,0)))</f>
        <v>1</v>
      </c>
      <c r="M927" s="593">
        <f t="shared" si="60"/>
        <v>700</v>
      </c>
      <c r="N927" s="589" t="s">
        <v>251</v>
      </c>
      <c r="O927" s="594">
        <v>45379</v>
      </c>
      <c r="P927" s="593">
        <f t="shared" si="61"/>
        <v>-110</v>
      </c>
      <c r="Q927" s="594">
        <v>45489</v>
      </c>
      <c r="R927" s="593">
        <f t="shared" ca="1" si="62"/>
        <v>-48</v>
      </c>
      <c r="S927" s="589" t="str">
        <f>VLOOKUP(Q927,Mapping!L:M,2,0)</f>
        <v>W29_2024</v>
      </c>
      <c r="T927" s="589" t="str">
        <f t="shared" ca="1" si="63"/>
        <v>Not Due</v>
      </c>
      <c r="W927" s="591"/>
    </row>
    <row r="928" spans="1:23" s="589" customFormat="1" x14ac:dyDescent="0.2">
      <c r="A928" s="589" t="s">
        <v>56</v>
      </c>
      <c r="B928" s="589" t="s">
        <v>481</v>
      </c>
      <c r="C928" s="590" t="s">
        <v>2442</v>
      </c>
      <c r="D928" s="589" t="s">
        <v>100</v>
      </c>
      <c r="E928" s="589" t="s">
        <v>104</v>
      </c>
      <c r="F928" s="589" t="s">
        <v>112</v>
      </c>
      <c r="G928" s="589" t="s">
        <v>51</v>
      </c>
      <c r="H928" s="589" t="s">
        <v>242</v>
      </c>
      <c r="I928" s="589" t="s">
        <v>2770</v>
      </c>
      <c r="J928" s="589" t="s">
        <v>35</v>
      </c>
      <c r="K928" s="591">
        <v>5400</v>
      </c>
      <c r="L928" s="592">
        <f>IF(J928="TND",1,IF(J928="EUR",Vertical_Cash_flow!$C$16,IF(J928="USD",Vertical_Cash_flow!$F$16,0)))</f>
        <v>1</v>
      </c>
      <c r="M928" s="593">
        <f t="shared" si="60"/>
        <v>5400</v>
      </c>
      <c r="N928" s="589" t="s">
        <v>251</v>
      </c>
      <c r="O928" s="594">
        <v>45383</v>
      </c>
      <c r="P928" s="593">
        <f t="shared" si="61"/>
        <v>-106</v>
      </c>
      <c r="Q928" s="594">
        <v>45489</v>
      </c>
      <c r="R928" s="593">
        <f t="shared" ca="1" si="62"/>
        <v>-48</v>
      </c>
      <c r="S928" s="589" t="str">
        <f>VLOOKUP(Q928,Mapping!L:M,2,0)</f>
        <v>W29_2024</v>
      </c>
      <c r="T928" s="589" t="str">
        <f t="shared" ca="1" si="63"/>
        <v>Not Due</v>
      </c>
      <c r="W928" s="591"/>
    </row>
    <row r="929" spans="1:23" s="589" customFormat="1" x14ac:dyDescent="0.2">
      <c r="A929" s="589" t="s">
        <v>56</v>
      </c>
      <c r="B929" s="589" t="s">
        <v>731</v>
      </c>
      <c r="C929" s="590" t="s">
        <v>3521</v>
      </c>
      <c r="D929" s="589" t="s">
        <v>100</v>
      </c>
      <c r="E929" s="589" t="s">
        <v>104</v>
      </c>
      <c r="F929" s="589" t="s">
        <v>112</v>
      </c>
      <c r="G929" s="589" t="s">
        <v>51</v>
      </c>
      <c r="H929" s="589" t="s">
        <v>242</v>
      </c>
      <c r="I929" s="589" t="s">
        <v>3676</v>
      </c>
      <c r="J929" s="589" t="s">
        <v>35</v>
      </c>
      <c r="K929" s="591">
        <v>2272.9560000000001</v>
      </c>
      <c r="L929" s="592">
        <f>IF(J929="TND",1,IF(J929="EUR",Vertical_Cash_flow!$C$16,IF(J929="USD",Vertical_Cash_flow!$F$16,0)))</f>
        <v>1</v>
      </c>
      <c r="M929" s="593">
        <f t="shared" si="60"/>
        <v>2272.9560000000001</v>
      </c>
      <c r="N929" s="589" t="s">
        <v>251</v>
      </c>
      <c r="O929" s="594">
        <v>45426</v>
      </c>
      <c r="P929" s="593">
        <f t="shared" si="61"/>
        <v>-63</v>
      </c>
      <c r="Q929" s="594">
        <v>45489</v>
      </c>
      <c r="R929" s="593">
        <f t="shared" ca="1" si="62"/>
        <v>-48</v>
      </c>
      <c r="S929" s="589" t="str">
        <f>VLOOKUP(Q929,Mapping!L:M,2,0)</f>
        <v>W29_2024</v>
      </c>
      <c r="T929" s="589" t="str">
        <f t="shared" ca="1" si="63"/>
        <v>Not Due</v>
      </c>
      <c r="W929" s="591"/>
    </row>
    <row r="930" spans="1:23" s="589" customFormat="1" x14ac:dyDescent="0.2">
      <c r="A930" s="589" t="s">
        <v>56</v>
      </c>
      <c r="B930" s="589" t="s">
        <v>1242</v>
      </c>
      <c r="C930" s="590" t="s">
        <v>2441</v>
      </c>
      <c r="D930" s="589" t="s">
        <v>100</v>
      </c>
      <c r="E930" s="589" t="s">
        <v>104</v>
      </c>
      <c r="F930" s="589" t="s">
        <v>112</v>
      </c>
      <c r="G930" s="589" t="s">
        <v>51</v>
      </c>
      <c r="H930" s="589" t="s">
        <v>242</v>
      </c>
      <c r="I930" s="589" t="s">
        <v>2769</v>
      </c>
      <c r="J930" s="589" t="s">
        <v>35</v>
      </c>
      <c r="K930" s="591">
        <v>2554.482</v>
      </c>
      <c r="L930" s="592">
        <f>IF(J930="TND",1,IF(J930="EUR",Vertical_Cash_flow!$C$16,IF(J930="USD",Vertical_Cash_flow!$F$16,0)))</f>
        <v>1</v>
      </c>
      <c r="M930" s="593">
        <f t="shared" si="60"/>
        <v>2554.482</v>
      </c>
      <c r="N930" s="589" t="s">
        <v>251</v>
      </c>
      <c r="O930" s="594">
        <v>45402</v>
      </c>
      <c r="P930" s="593">
        <f t="shared" si="61"/>
        <v>-87</v>
      </c>
      <c r="Q930" s="594">
        <v>45489</v>
      </c>
      <c r="R930" s="593">
        <f t="shared" ca="1" si="62"/>
        <v>-48</v>
      </c>
      <c r="S930" s="589" t="str">
        <f>VLOOKUP(Q930,Mapping!L:M,2,0)</f>
        <v>W29_2024</v>
      </c>
      <c r="T930" s="589" t="str">
        <f t="shared" ca="1" si="63"/>
        <v>Not Due</v>
      </c>
      <c r="W930" s="591"/>
    </row>
    <row r="931" spans="1:23" s="589" customFormat="1" x14ac:dyDescent="0.2">
      <c r="A931" s="589" t="s">
        <v>56</v>
      </c>
      <c r="B931" s="589" t="s">
        <v>274</v>
      </c>
      <c r="C931" s="590" t="s">
        <v>1555</v>
      </c>
      <c r="D931" s="589" t="s">
        <v>100</v>
      </c>
      <c r="E931" s="589" t="s">
        <v>104</v>
      </c>
      <c r="F931" s="589" t="s">
        <v>112</v>
      </c>
      <c r="G931" s="589" t="s">
        <v>51</v>
      </c>
      <c r="H931" s="589" t="s">
        <v>242</v>
      </c>
      <c r="I931" s="589" t="s">
        <v>1963</v>
      </c>
      <c r="J931" s="589" t="s">
        <v>35</v>
      </c>
      <c r="K931" s="591">
        <v>880</v>
      </c>
      <c r="L931" s="592">
        <f>IF(J931="TND",1,IF(J931="EUR",Vertical_Cash_flow!$C$16,IF(J931="USD",Vertical_Cash_flow!$F$16,0)))</f>
        <v>1</v>
      </c>
      <c r="M931" s="593">
        <f t="shared" si="60"/>
        <v>880</v>
      </c>
      <c r="N931" s="589" t="s">
        <v>251</v>
      </c>
      <c r="O931" s="594">
        <v>45376</v>
      </c>
      <c r="P931" s="593">
        <f t="shared" si="61"/>
        <v>-114</v>
      </c>
      <c r="Q931" s="594">
        <v>45490</v>
      </c>
      <c r="R931" s="593">
        <f t="shared" ca="1" si="62"/>
        <v>-49</v>
      </c>
      <c r="S931" s="589" t="str">
        <f>VLOOKUP(Q931,Mapping!L:M,2,0)</f>
        <v>W29_2024</v>
      </c>
      <c r="T931" s="589" t="str">
        <f t="shared" ca="1" si="63"/>
        <v>Not Due</v>
      </c>
      <c r="W931" s="591"/>
    </row>
    <row r="932" spans="1:23" s="589" customFormat="1" x14ac:dyDescent="0.2">
      <c r="A932" s="589" t="s">
        <v>56</v>
      </c>
      <c r="B932" s="589" t="s">
        <v>498</v>
      </c>
      <c r="C932" s="590" t="s">
        <v>1554</v>
      </c>
      <c r="D932" s="589" t="s">
        <v>100</v>
      </c>
      <c r="E932" s="589" t="s">
        <v>104</v>
      </c>
      <c r="F932" s="589" t="s">
        <v>112</v>
      </c>
      <c r="G932" s="589" t="s">
        <v>51</v>
      </c>
      <c r="H932" s="589" t="s">
        <v>242</v>
      </c>
      <c r="I932" s="589" t="s">
        <v>1962</v>
      </c>
      <c r="J932" s="589" t="s">
        <v>35</v>
      </c>
      <c r="K932" s="591">
        <v>7000</v>
      </c>
      <c r="L932" s="592">
        <f>IF(J932="TND",1,IF(J932="EUR",Vertical_Cash_flow!$C$16,IF(J932="USD",Vertical_Cash_flow!$F$16,0)))</f>
        <v>1</v>
      </c>
      <c r="M932" s="593">
        <f t="shared" si="60"/>
        <v>7000</v>
      </c>
      <c r="N932" s="589" t="s">
        <v>251</v>
      </c>
      <c r="O932" s="594">
        <v>45377</v>
      </c>
      <c r="P932" s="593">
        <f t="shared" si="61"/>
        <v>-113</v>
      </c>
      <c r="Q932" s="594">
        <v>45490</v>
      </c>
      <c r="R932" s="593">
        <f t="shared" ca="1" si="62"/>
        <v>-49</v>
      </c>
      <c r="S932" s="589" t="str">
        <f>VLOOKUP(Q932,Mapping!L:M,2,0)</f>
        <v>W29_2024</v>
      </c>
      <c r="T932" s="589" t="str">
        <f t="shared" ca="1" si="63"/>
        <v>Not Due</v>
      </c>
      <c r="W932" s="591"/>
    </row>
    <row r="933" spans="1:23" s="589" customFormat="1" x14ac:dyDescent="0.2">
      <c r="A933" s="589" t="s">
        <v>56</v>
      </c>
      <c r="B933" s="589" t="s">
        <v>524</v>
      </c>
      <c r="C933" s="590" t="s">
        <v>3150</v>
      </c>
      <c r="D933" s="589" t="s">
        <v>100</v>
      </c>
      <c r="E933" s="589" t="s">
        <v>104</v>
      </c>
      <c r="F933" s="589" t="s">
        <v>112</v>
      </c>
      <c r="G933" s="589" t="s">
        <v>51</v>
      </c>
      <c r="H933" s="589" t="s">
        <v>242</v>
      </c>
      <c r="I933" s="589" t="s">
        <v>3337</v>
      </c>
      <c r="J933" s="589" t="s">
        <v>35</v>
      </c>
      <c r="K933" s="591">
        <v>1367.03</v>
      </c>
      <c r="L933" s="592">
        <f>IF(J933="TND",1,IF(J933="EUR",Vertical_Cash_flow!$C$16,IF(J933="USD",Vertical_Cash_flow!$F$16,0)))</f>
        <v>1</v>
      </c>
      <c r="M933" s="593">
        <f t="shared" si="60"/>
        <v>1367.03</v>
      </c>
      <c r="N933" s="589" t="s">
        <v>251</v>
      </c>
      <c r="O933" s="594">
        <v>45421</v>
      </c>
      <c r="P933" s="593">
        <f t="shared" si="61"/>
        <v>-69</v>
      </c>
      <c r="Q933" s="594">
        <v>45490</v>
      </c>
      <c r="R933" s="593">
        <f t="shared" ca="1" si="62"/>
        <v>-49</v>
      </c>
      <c r="S933" s="589" t="str">
        <f>VLOOKUP(Q933,Mapping!L:M,2,0)</f>
        <v>W29_2024</v>
      </c>
      <c r="T933" s="589" t="str">
        <f t="shared" ca="1" si="63"/>
        <v>Not Due</v>
      </c>
      <c r="W933" s="591"/>
    </row>
    <row r="934" spans="1:23" s="589" customFormat="1" x14ac:dyDescent="0.2">
      <c r="A934" s="589" t="s">
        <v>56</v>
      </c>
      <c r="B934" s="589" t="s">
        <v>328</v>
      </c>
      <c r="C934" s="590" t="s">
        <v>2440</v>
      </c>
      <c r="D934" s="589" t="s">
        <v>100</v>
      </c>
      <c r="E934" s="589" t="s">
        <v>104</v>
      </c>
      <c r="F934" s="589" t="s">
        <v>112</v>
      </c>
      <c r="G934" s="589" t="s">
        <v>51</v>
      </c>
      <c r="H934" s="589" t="s">
        <v>242</v>
      </c>
      <c r="I934" s="589" t="s">
        <v>2768</v>
      </c>
      <c r="J934" s="589" t="s">
        <v>35</v>
      </c>
      <c r="K934" s="591">
        <v>1500</v>
      </c>
      <c r="L934" s="592">
        <f>IF(J934="TND",1,IF(J934="EUR",Vertical_Cash_flow!$C$16,IF(J934="USD",Vertical_Cash_flow!$F$16,0)))</f>
        <v>1</v>
      </c>
      <c r="M934" s="593">
        <f t="shared" si="60"/>
        <v>1500</v>
      </c>
      <c r="N934" s="589" t="s">
        <v>251</v>
      </c>
      <c r="O934" s="594">
        <v>45386</v>
      </c>
      <c r="P934" s="593">
        <f t="shared" si="61"/>
        <v>-104</v>
      </c>
      <c r="Q934" s="594">
        <v>45490</v>
      </c>
      <c r="R934" s="593">
        <f t="shared" ca="1" si="62"/>
        <v>-49</v>
      </c>
      <c r="S934" s="589" t="str">
        <f>VLOOKUP(Q934,Mapping!L:M,2,0)</f>
        <v>W29_2024</v>
      </c>
      <c r="T934" s="589" t="str">
        <f t="shared" ca="1" si="63"/>
        <v>Not Due</v>
      </c>
      <c r="W934" s="591"/>
    </row>
    <row r="935" spans="1:23" s="589" customFormat="1" x14ac:dyDescent="0.2">
      <c r="A935" s="589" t="s">
        <v>56</v>
      </c>
      <c r="B935" s="589" t="s">
        <v>285</v>
      </c>
      <c r="C935" s="590" t="s">
        <v>2439</v>
      </c>
      <c r="D935" s="589" t="s">
        <v>100</v>
      </c>
      <c r="E935" s="589" t="s">
        <v>104</v>
      </c>
      <c r="F935" s="589" t="s">
        <v>112</v>
      </c>
      <c r="G935" s="589" t="s">
        <v>51</v>
      </c>
      <c r="H935" s="589" t="s">
        <v>242</v>
      </c>
      <c r="I935" s="589" t="s">
        <v>2767</v>
      </c>
      <c r="J935" s="589" t="s">
        <v>35</v>
      </c>
      <c r="K935" s="591">
        <v>1123.277</v>
      </c>
      <c r="L935" s="592">
        <f>IF(J935="TND",1,IF(J935="EUR",Vertical_Cash_flow!$C$16,IF(J935="USD",Vertical_Cash_flow!$F$16,0)))</f>
        <v>1</v>
      </c>
      <c r="M935" s="593">
        <f t="shared" si="60"/>
        <v>1123.277</v>
      </c>
      <c r="N935" s="589" t="s">
        <v>251</v>
      </c>
      <c r="O935" s="594">
        <v>45387</v>
      </c>
      <c r="P935" s="593">
        <f t="shared" si="61"/>
        <v>-104</v>
      </c>
      <c r="Q935" s="594">
        <v>45491</v>
      </c>
      <c r="R935" s="593">
        <f t="shared" ca="1" si="62"/>
        <v>-50</v>
      </c>
      <c r="S935" s="589" t="str">
        <f>VLOOKUP(Q935,Mapping!L:M,2,0)</f>
        <v>W29_2024</v>
      </c>
      <c r="T935" s="589" t="str">
        <f t="shared" ca="1" si="63"/>
        <v>Not Due</v>
      </c>
      <c r="W935" s="591"/>
    </row>
    <row r="936" spans="1:23" s="589" customFormat="1" x14ac:dyDescent="0.2">
      <c r="A936" s="589" t="s">
        <v>56</v>
      </c>
      <c r="B936" s="589" t="s">
        <v>274</v>
      </c>
      <c r="C936" s="590" t="s">
        <v>1552</v>
      </c>
      <c r="D936" s="589" t="s">
        <v>100</v>
      </c>
      <c r="E936" s="589" t="s">
        <v>104</v>
      </c>
      <c r="F936" s="589" t="s">
        <v>112</v>
      </c>
      <c r="G936" s="589" t="s">
        <v>51</v>
      </c>
      <c r="H936" s="589" t="s">
        <v>242</v>
      </c>
      <c r="I936" s="589" t="s">
        <v>1960</v>
      </c>
      <c r="J936" s="589" t="s">
        <v>35</v>
      </c>
      <c r="K936" s="591">
        <v>875</v>
      </c>
      <c r="L936" s="592">
        <f>IF(J936="TND",1,IF(J936="EUR",Vertical_Cash_flow!$C$16,IF(J936="USD",Vertical_Cash_flow!$F$16,0)))</f>
        <v>1</v>
      </c>
      <c r="M936" s="593">
        <f t="shared" si="60"/>
        <v>875</v>
      </c>
      <c r="N936" s="589" t="s">
        <v>251</v>
      </c>
      <c r="O936" s="594">
        <v>45376</v>
      </c>
      <c r="P936" s="593">
        <f t="shared" si="61"/>
        <v>-115</v>
      </c>
      <c r="Q936" s="594">
        <v>45491</v>
      </c>
      <c r="R936" s="593">
        <f t="shared" ca="1" si="62"/>
        <v>-50</v>
      </c>
      <c r="S936" s="589" t="str">
        <f>VLOOKUP(Q936,Mapping!L:M,2,0)</f>
        <v>W29_2024</v>
      </c>
      <c r="T936" s="589" t="str">
        <f t="shared" ca="1" si="63"/>
        <v>Not Due</v>
      </c>
      <c r="W936" s="591"/>
    </row>
    <row r="937" spans="1:23" s="589" customFormat="1" x14ac:dyDescent="0.2">
      <c r="A937" s="589" t="s">
        <v>56</v>
      </c>
      <c r="B937" s="589" t="s">
        <v>1247</v>
      </c>
      <c r="C937" s="590" t="s">
        <v>1553</v>
      </c>
      <c r="D937" s="589" t="s">
        <v>100</v>
      </c>
      <c r="E937" s="589" t="s">
        <v>104</v>
      </c>
      <c r="F937" s="589" t="s">
        <v>112</v>
      </c>
      <c r="G937" s="589" t="s">
        <v>51</v>
      </c>
      <c r="H937" s="589" t="s">
        <v>242</v>
      </c>
      <c r="I937" s="589" t="s">
        <v>1961</v>
      </c>
      <c r="J937" s="589" t="s">
        <v>35</v>
      </c>
      <c r="K937" s="591">
        <v>2420.5</v>
      </c>
      <c r="L937" s="592">
        <f>IF(J937="TND",1,IF(J937="EUR",Vertical_Cash_flow!$C$16,IF(J937="USD",Vertical_Cash_flow!$F$16,0)))</f>
        <v>1</v>
      </c>
      <c r="M937" s="593">
        <f t="shared" si="60"/>
        <v>2420.5</v>
      </c>
      <c r="N937" s="589" t="s">
        <v>251</v>
      </c>
      <c r="O937" s="594">
        <v>45380</v>
      </c>
      <c r="P937" s="593">
        <f t="shared" si="61"/>
        <v>-111</v>
      </c>
      <c r="Q937" s="594">
        <v>45491</v>
      </c>
      <c r="R937" s="593">
        <f t="shared" ca="1" si="62"/>
        <v>-50</v>
      </c>
      <c r="S937" s="589" t="str">
        <f>VLOOKUP(Q937,Mapping!L:M,2,0)</f>
        <v>W29_2024</v>
      </c>
      <c r="T937" s="589" t="str">
        <f t="shared" ca="1" si="63"/>
        <v>Not Due</v>
      </c>
      <c r="W937" s="591"/>
    </row>
    <row r="938" spans="1:23" s="589" customFormat="1" x14ac:dyDescent="0.2">
      <c r="A938" s="589" t="s">
        <v>56</v>
      </c>
      <c r="B938" s="589" t="s">
        <v>371</v>
      </c>
      <c r="C938" s="590" t="s">
        <v>2438</v>
      </c>
      <c r="D938" s="589" t="s">
        <v>100</v>
      </c>
      <c r="E938" s="589" t="s">
        <v>104</v>
      </c>
      <c r="F938" s="589" t="s">
        <v>112</v>
      </c>
      <c r="G938" s="589" t="s">
        <v>51</v>
      </c>
      <c r="H938" s="589" t="s">
        <v>242</v>
      </c>
      <c r="I938" s="589" t="s">
        <v>2766</v>
      </c>
      <c r="J938" s="589" t="s">
        <v>35</v>
      </c>
      <c r="K938" s="591">
        <v>442.97199999999998</v>
      </c>
      <c r="L938" s="592">
        <f>IF(J938="TND",1,IF(J938="EUR",Vertical_Cash_flow!$C$16,IF(J938="USD",Vertical_Cash_flow!$F$16,0)))</f>
        <v>1</v>
      </c>
      <c r="M938" s="593">
        <f t="shared" si="60"/>
        <v>442.97199999999998</v>
      </c>
      <c r="N938" s="589" t="s">
        <v>251</v>
      </c>
      <c r="O938" s="594">
        <v>45395</v>
      </c>
      <c r="P938" s="593">
        <f t="shared" si="61"/>
        <v>-96</v>
      </c>
      <c r="Q938" s="594">
        <v>45491</v>
      </c>
      <c r="R938" s="593">
        <f t="shared" ca="1" si="62"/>
        <v>-50</v>
      </c>
      <c r="S938" s="589" t="str">
        <f>VLOOKUP(Q938,Mapping!L:M,2,0)</f>
        <v>W29_2024</v>
      </c>
      <c r="T938" s="589" t="str">
        <f t="shared" ca="1" si="63"/>
        <v>Not Due</v>
      </c>
      <c r="W938" s="591"/>
    </row>
    <row r="939" spans="1:23" s="589" customFormat="1" x14ac:dyDescent="0.2">
      <c r="A939" s="589" t="s">
        <v>56</v>
      </c>
      <c r="B939" s="589" t="s">
        <v>274</v>
      </c>
      <c r="C939" s="590" t="s">
        <v>1551</v>
      </c>
      <c r="D939" s="589" t="s">
        <v>100</v>
      </c>
      <c r="E939" s="589" t="s">
        <v>104</v>
      </c>
      <c r="F939" s="589" t="s">
        <v>112</v>
      </c>
      <c r="G939" s="589" t="s">
        <v>51</v>
      </c>
      <c r="H939" s="589" t="s">
        <v>242</v>
      </c>
      <c r="I939" s="589" t="s">
        <v>1959</v>
      </c>
      <c r="J939" s="589" t="s">
        <v>35</v>
      </c>
      <c r="K939" s="591">
        <v>870</v>
      </c>
      <c r="L939" s="592">
        <f>IF(J939="TND",1,IF(J939="EUR",Vertical_Cash_flow!$C$16,IF(J939="USD",Vertical_Cash_flow!$F$16,0)))</f>
        <v>1</v>
      </c>
      <c r="M939" s="593">
        <f t="shared" si="60"/>
        <v>870</v>
      </c>
      <c r="N939" s="589" t="s">
        <v>251</v>
      </c>
      <c r="O939" s="594">
        <v>45376</v>
      </c>
      <c r="P939" s="593">
        <f t="shared" si="61"/>
        <v>-116</v>
      </c>
      <c r="Q939" s="594">
        <v>45492</v>
      </c>
      <c r="R939" s="593">
        <f t="shared" ca="1" si="62"/>
        <v>-51</v>
      </c>
      <c r="S939" s="589" t="str">
        <f>VLOOKUP(Q939,Mapping!L:M,2,0)</f>
        <v>W29_2024</v>
      </c>
      <c r="T939" s="589" t="str">
        <f t="shared" ca="1" si="63"/>
        <v>Not Due</v>
      </c>
      <c r="W939" s="591"/>
    </row>
    <row r="940" spans="1:23" s="589" customFormat="1" x14ac:dyDescent="0.2">
      <c r="A940" s="589" t="s">
        <v>56</v>
      </c>
      <c r="B940" s="589" t="s">
        <v>554</v>
      </c>
      <c r="C940" s="590" t="s">
        <v>3149</v>
      </c>
      <c r="D940" s="589" t="s">
        <v>100</v>
      </c>
      <c r="E940" s="589" t="s">
        <v>104</v>
      </c>
      <c r="F940" s="589" t="s">
        <v>112</v>
      </c>
      <c r="G940" s="589" t="s">
        <v>51</v>
      </c>
      <c r="H940" s="589" t="s">
        <v>242</v>
      </c>
      <c r="I940" s="589" t="s">
        <v>3336</v>
      </c>
      <c r="J940" s="589" t="s">
        <v>35</v>
      </c>
      <c r="K940" s="591">
        <v>1576.2539999999999</v>
      </c>
      <c r="L940" s="592">
        <f>IF(J940="TND",1,IF(J940="EUR",Vertical_Cash_flow!$C$16,IF(J940="USD",Vertical_Cash_flow!$F$16,0)))</f>
        <v>1</v>
      </c>
      <c r="M940" s="593">
        <f t="shared" si="60"/>
        <v>1576.2539999999999</v>
      </c>
      <c r="N940" s="589" t="s">
        <v>251</v>
      </c>
      <c r="O940" s="594">
        <v>45418</v>
      </c>
      <c r="P940" s="593">
        <f t="shared" si="61"/>
        <v>-74</v>
      </c>
      <c r="Q940" s="594">
        <v>45492</v>
      </c>
      <c r="R940" s="593">
        <f t="shared" ca="1" si="62"/>
        <v>-51</v>
      </c>
      <c r="S940" s="589" t="str">
        <f>VLOOKUP(Q940,Mapping!L:M,2,0)</f>
        <v>W29_2024</v>
      </c>
      <c r="T940" s="589" t="str">
        <f t="shared" ca="1" si="63"/>
        <v>Not Due</v>
      </c>
      <c r="W940" s="591"/>
    </row>
    <row r="941" spans="1:23" s="589" customFormat="1" x14ac:dyDescent="0.2">
      <c r="A941" s="589" t="s">
        <v>56</v>
      </c>
      <c r="B941" s="589" t="s">
        <v>481</v>
      </c>
      <c r="C941" s="590" t="s">
        <v>2437</v>
      </c>
      <c r="D941" s="589" t="s">
        <v>100</v>
      </c>
      <c r="E941" s="589" t="s">
        <v>104</v>
      </c>
      <c r="F941" s="589" t="s">
        <v>112</v>
      </c>
      <c r="G941" s="589" t="s">
        <v>51</v>
      </c>
      <c r="H941" s="589" t="s">
        <v>242</v>
      </c>
      <c r="I941" s="589" t="s">
        <v>2765</v>
      </c>
      <c r="J941" s="589" t="s">
        <v>35</v>
      </c>
      <c r="K941" s="591">
        <v>5400</v>
      </c>
      <c r="L941" s="592">
        <f>IF(J941="TND",1,IF(J941="EUR",Vertical_Cash_flow!$C$16,IF(J941="USD",Vertical_Cash_flow!$F$16,0)))</f>
        <v>1</v>
      </c>
      <c r="M941" s="593">
        <f t="shared" si="60"/>
        <v>5400</v>
      </c>
      <c r="N941" s="589" t="s">
        <v>251</v>
      </c>
      <c r="O941" s="594">
        <v>45383</v>
      </c>
      <c r="P941" s="593">
        <f t="shared" si="61"/>
        <v>-109</v>
      </c>
      <c r="Q941" s="594">
        <v>45492</v>
      </c>
      <c r="R941" s="593">
        <f t="shared" ca="1" si="62"/>
        <v>-51</v>
      </c>
      <c r="S941" s="589" t="str">
        <f>VLOOKUP(Q941,Mapping!L:M,2,0)</f>
        <v>W29_2024</v>
      </c>
      <c r="T941" s="589" t="str">
        <f t="shared" ca="1" si="63"/>
        <v>Not Due</v>
      </c>
      <c r="W941" s="591"/>
    </row>
    <row r="942" spans="1:23" s="589" customFormat="1" x14ac:dyDescent="0.2">
      <c r="A942" s="589" t="s">
        <v>56</v>
      </c>
      <c r="B942" s="589" t="s">
        <v>345</v>
      </c>
      <c r="C942" s="590" t="s">
        <v>1550</v>
      </c>
      <c r="D942" s="589" t="s">
        <v>100</v>
      </c>
      <c r="E942" s="589" t="s">
        <v>104</v>
      </c>
      <c r="F942" s="589" t="s">
        <v>112</v>
      </c>
      <c r="G942" s="589" t="s">
        <v>51</v>
      </c>
      <c r="H942" s="589" t="s">
        <v>242</v>
      </c>
      <c r="I942" s="589" t="s">
        <v>1958</v>
      </c>
      <c r="J942" s="589" t="s">
        <v>35</v>
      </c>
      <c r="K942" s="591">
        <v>6000</v>
      </c>
      <c r="L942" s="592">
        <f>IF(J942="TND",1,IF(J942="EUR",Vertical_Cash_flow!$C$16,IF(J942="USD",Vertical_Cash_flow!$F$16,0)))</f>
        <v>1</v>
      </c>
      <c r="M942" s="593">
        <f t="shared" si="60"/>
        <v>6000</v>
      </c>
      <c r="N942" s="589" t="s">
        <v>251</v>
      </c>
      <c r="O942" s="594">
        <v>45380</v>
      </c>
      <c r="P942" s="593">
        <f t="shared" si="61"/>
        <v>-112</v>
      </c>
      <c r="Q942" s="594">
        <v>45492</v>
      </c>
      <c r="R942" s="593">
        <f t="shared" ca="1" si="62"/>
        <v>-51</v>
      </c>
      <c r="S942" s="589" t="str">
        <f>VLOOKUP(Q942,Mapping!L:M,2,0)</f>
        <v>W29_2024</v>
      </c>
      <c r="T942" s="589" t="str">
        <f t="shared" ca="1" si="63"/>
        <v>Not Due</v>
      </c>
      <c r="W942" s="591"/>
    </row>
    <row r="943" spans="1:23" s="589" customFormat="1" x14ac:dyDescent="0.2">
      <c r="A943" s="589" t="s">
        <v>56</v>
      </c>
      <c r="B943" s="589" t="s">
        <v>353</v>
      </c>
      <c r="C943" s="590" t="s">
        <v>1548</v>
      </c>
      <c r="D943" s="589" t="s">
        <v>100</v>
      </c>
      <c r="E943" s="589" t="s">
        <v>104</v>
      </c>
      <c r="F943" s="589" t="s">
        <v>112</v>
      </c>
      <c r="G943" s="589" t="s">
        <v>51</v>
      </c>
      <c r="H943" s="589" t="s">
        <v>242</v>
      </c>
      <c r="I943" s="589" t="s">
        <v>1956</v>
      </c>
      <c r="J943" s="589" t="s">
        <v>35</v>
      </c>
      <c r="K943" s="591">
        <v>774.45600000000002</v>
      </c>
      <c r="L943" s="592">
        <f>IF(J943="TND",1,IF(J943="EUR",Vertical_Cash_flow!$C$16,IF(J943="USD",Vertical_Cash_flow!$F$16,0)))</f>
        <v>1</v>
      </c>
      <c r="M943" s="593">
        <f t="shared" si="60"/>
        <v>774.45600000000002</v>
      </c>
      <c r="N943" s="589" t="s">
        <v>251</v>
      </c>
      <c r="O943" s="594">
        <v>45376</v>
      </c>
      <c r="P943" s="593">
        <f t="shared" si="61"/>
        <v>-117</v>
      </c>
      <c r="Q943" s="594">
        <v>45493</v>
      </c>
      <c r="R943" s="593">
        <f t="shared" ca="1" si="62"/>
        <v>-52</v>
      </c>
      <c r="S943" s="589" t="str">
        <f>VLOOKUP(Q943,Mapping!L:M,2,0)</f>
        <v>W30_2024</v>
      </c>
      <c r="T943" s="589" t="str">
        <f t="shared" ca="1" si="63"/>
        <v>Not Due</v>
      </c>
      <c r="W943" s="591"/>
    </row>
    <row r="944" spans="1:23" s="589" customFormat="1" x14ac:dyDescent="0.2">
      <c r="A944" s="589" t="s">
        <v>56</v>
      </c>
      <c r="B944" s="589" t="s">
        <v>274</v>
      </c>
      <c r="C944" s="590" t="s">
        <v>1549</v>
      </c>
      <c r="D944" s="589" t="s">
        <v>100</v>
      </c>
      <c r="E944" s="589" t="s">
        <v>104</v>
      </c>
      <c r="F944" s="589" t="s">
        <v>112</v>
      </c>
      <c r="G944" s="589" t="s">
        <v>51</v>
      </c>
      <c r="H944" s="589" t="s">
        <v>242</v>
      </c>
      <c r="I944" s="589" t="s">
        <v>1957</v>
      </c>
      <c r="J944" s="589" t="s">
        <v>35</v>
      </c>
      <c r="K944" s="591">
        <v>865</v>
      </c>
      <c r="L944" s="592">
        <f>IF(J944="TND",1,IF(J944="EUR",Vertical_Cash_flow!$C$16,IF(J944="USD",Vertical_Cash_flow!$F$16,0)))</f>
        <v>1</v>
      </c>
      <c r="M944" s="593">
        <f t="shared" si="60"/>
        <v>865</v>
      </c>
      <c r="N944" s="589" t="s">
        <v>251</v>
      </c>
      <c r="O944" s="594">
        <v>45376</v>
      </c>
      <c r="P944" s="593">
        <f t="shared" si="61"/>
        <v>-117</v>
      </c>
      <c r="Q944" s="594">
        <v>45493</v>
      </c>
      <c r="R944" s="593">
        <f t="shared" ca="1" si="62"/>
        <v>-52</v>
      </c>
      <c r="S944" s="589" t="str">
        <f>VLOOKUP(Q944,Mapping!L:M,2,0)</f>
        <v>W30_2024</v>
      </c>
      <c r="T944" s="589" t="str">
        <f t="shared" ca="1" si="63"/>
        <v>Not Due</v>
      </c>
      <c r="W944" s="591"/>
    </row>
    <row r="945" spans="1:23" s="589" customFormat="1" x14ac:dyDescent="0.2">
      <c r="A945" s="589" t="s">
        <v>56</v>
      </c>
      <c r="B945" s="589" t="s">
        <v>361</v>
      </c>
      <c r="C945" s="590" t="s">
        <v>2435</v>
      </c>
      <c r="D945" s="589" t="s">
        <v>100</v>
      </c>
      <c r="E945" s="589" t="s">
        <v>104</v>
      </c>
      <c r="F945" s="589" t="s">
        <v>112</v>
      </c>
      <c r="G945" s="589" t="s">
        <v>51</v>
      </c>
      <c r="H945" s="589" t="s">
        <v>242</v>
      </c>
      <c r="I945" s="589" t="s">
        <v>2763</v>
      </c>
      <c r="J945" s="589" t="s">
        <v>35</v>
      </c>
      <c r="K945" s="591">
        <v>2490</v>
      </c>
      <c r="L945" s="592">
        <f>IF(J945="TND",1,IF(J945="EUR",Vertical_Cash_flow!$C$16,IF(J945="USD",Vertical_Cash_flow!$F$16,0)))</f>
        <v>1</v>
      </c>
      <c r="M945" s="593">
        <f t="shared" si="60"/>
        <v>2490</v>
      </c>
      <c r="N945" s="589" t="s">
        <v>251</v>
      </c>
      <c r="O945" s="594">
        <v>45407</v>
      </c>
      <c r="P945" s="593">
        <f t="shared" si="61"/>
        <v>-86</v>
      </c>
      <c r="Q945" s="594">
        <v>45493</v>
      </c>
      <c r="R945" s="593">
        <f t="shared" ca="1" si="62"/>
        <v>-52</v>
      </c>
      <c r="S945" s="589" t="str">
        <f>VLOOKUP(Q945,Mapping!L:M,2,0)</f>
        <v>W30_2024</v>
      </c>
      <c r="T945" s="589" t="str">
        <f t="shared" ca="1" si="63"/>
        <v>Not Due</v>
      </c>
      <c r="W945" s="591"/>
    </row>
    <row r="946" spans="1:23" s="589" customFormat="1" x14ac:dyDescent="0.2">
      <c r="A946" s="589" t="s">
        <v>56</v>
      </c>
      <c r="B946" s="589" t="s">
        <v>294</v>
      </c>
      <c r="C946" s="590" t="s">
        <v>2436</v>
      </c>
      <c r="D946" s="589" t="s">
        <v>100</v>
      </c>
      <c r="E946" s="589" t="s">
        <v>104</v>
      </c>
      <c r="F946" s="589" t="s">
        <v>112</v>
      </c>
      <c r="G946" s="589" t="s">
        <v>51</v>
      </c>
      <c r="H946" s="589" t="s">
        <v>242</v>
      </c>
      <c r="I946" s="589" t="s">
        <v>2764</v>
      </c>
      <c r="J946" s="589" t="s">
        <v>35</v>
      </c>
      <c r="K946" s="591">
        <v>2000</v>
      </c>
      <c r="L946" s="592">
        <f>IF(J946="TND",1,IF(J946="EUR",Vertical_Cash_flow!$C$16,IF(J946="USD",Vertical_Cash_flow!$F$16,0)))</f>
        <v>1</v>
      </c>
      <c r="M946" s="593">
        <f t="shared" si="60"/>
        <v>2000</v>
      </c>
      <c r="N946" s="589" t="s">
        <v>251</v>
      </c>
      <c r="O946" s="594">
        <v>45399</v>
      </c>
      <c r="P946" s="593">
        <f t="shared" si="61"/>
        <v>-94</v>
      </c>
      <c r="Q946" s="594">
        <v>45493</v>
      </c>
      <c r="R946" s="593">
        <f t="shared" ca="1" si="62"/>
        <v>-52</v>
      </c>
      <c r="S946" s="589" t="str">
        <f>VLOOKUP(Q946,Mapping!L:M,2,0)</f>
        <v>W30_2024</v>
      </c>
      <c r="T946" s="589" t="str">
        <f t="shared" ca="1" si="63"/>
        <v>Not Due</v>
      </c>
      <c r="W946" s="591"/>
    </row>
    <row r="947" spans="1:23" s="589" customFormat="1" x14ac:dyDescent="0.2">
      <c r="A947" s="589" t="s">
        <v>56</v>
      </c>
      <c r="B947" s="589" t="s">
        <v>358</v>
      </c>
      <c r="C947" s="590" t="s">
        <v>3147</v>
      </c>
      <c r="D947" s="589" t="s">
        <v>100</v>
      </c>
      <c r="E947" s="589" t="s">
        <v>104</v>
      </c>
      <c r="F947" s="589" t="s">
        <v>112</v>
      </c>
      <c r="G947" s="589" t="s">
        <v>51</v>
      </c>
      <c r="H947" s="589" t="s">
        <v>242</v>
      </c>
      <c r="I947" s="589" t="s">
        <v>3303</v>
      </c>
      <c r="J947" s="589" t="s">
        <v>35</v>
      </c>
      <c r="K947" s="591">
        <v>1813.1079999999999</v>
      </c>
      <c r="L947" s="592">
        <f>IF(J947="TND",1,IF(J947="EUR",Vertical_Cash_flow!$C$16,IF(J947="USD",Vertical_Cash_flow!$F$16,0)))</f>
        <v>1</v>
      </c>
      <c r="M947" s="593">
        <f t="shared" si="60"/>
        <v>1813.1079999999999</v>
      </c>
      <c r="N947" s="589" t="s">
        <v>251</v>
      </c>
      <c r="O947" s="594">
        <v>45412</v>
      </c>
      <c r="P947" s="593">
        <f t="shared" si="61"/>
        <v>-81</v>
      </c>
      <c r="Q947" s="594">
        <v>45493</v>
      </c>
      <c r="R947" s="593">
        <f t="shared" ca="1" si="62"/>
        <v>-52</v>
      </c>
      <c r="S947" s="589" t="str">
        <f>VLOOKUP(Q947,Mapping!L:M,2,0)</f>
        <v>W30_2024</v>
      </c>
      <c r="T947" s="589" t="str">
        <f t="shared" ca="1" si="63"/>
        <v>Not Due</v>
      </c>
      <c r="W947" s="591"/>
    </row>
    <row r="948" spans="1:23" s="589" customFormat="1" x14ac:dyDescent="0.2">
      <c r="A948" s="589" t="s">
        <v>56</v>
      </c>
      <c r="B948" s="589" t="s">
        <v>544</v>
      </c>
      <c r="C948" s="590" t="s">
        <v>3148</v>
      </c>
      <c r="D948" s="589" t="s">
        <v>100</v>
      </c>
      <c r="E948" s="589" t="s">
        <v>104</v>
      </c>
      <c r="F948" s="589" t="s">
        <v>112</v>
      </c>
      <c r="G948" s="589" t="s">
        <v>51</v>
      </c>
      <c r="H948" s="589" t="s">
        <v>242</v>
      </c>
      <c r="I948" s="589" t="s">
        <v>3335</v>
      </c>
      <c r="J948" s="589" t="s">
        <v>35</v>
      </c>
      <c r="K948" s="591">
        <v>2334.3879999999999</v>
      </c>
      <c r="L948" s="592">
        <f>IF(J948="TND",1,IF(J948="EUR",Vertical_Cash_flow!$C$16,IF(J948="USD",Vertical_Cash_flow!$F$16,0)))</f>
        <v>1</v>
      </c>
      <c r="M948" s="593">
        <f t="shared" si="60"/>
        <v>2334.3879999999999</v>
      </c>
      <c r="N948" s="589" t="s">
        <v>251</v>
      </c>
      <c r="O948" s="594">
        <v>45412</v>
      </c>
      <c r="P948" s="593">
        <f t="shared" si="61"/>
        <v>-81</v>
      </c>
      <c r="Q948" s="594">
        <v>45493</v>
      </c>
      <c r="R948" s="593">
        <f t="shared" ca="1" si="62"/>
        <v>-52</v>
      </c>
      <c r="S948" s="589" t="str">
        <f>VLOOKUP(Q948,Mapping!L:M,2,0)</f>
        <v>W30_2024</v>
      </c>
      <c r="T948" s="589" t="str">
        <f t="shared" ca="1" si="63"/>
        <v>Not Due</v>
      </c>
      <c r="W948" s="591"/>
    </row>
    <row r="949" spans="1:23" s="589" customFormat="1" x14ac:dyDescent="0.2">
      <c r="A949" s="589" t="s">
        <v>56</v>
      </c>
      <c r="B949" s="589" t="s">
        <v>523</v>
      </c>
      <c r="C949" s="590" t="s">
        <v>3520</v>
      </c>
      <c r="D949" s="589" t="s">
        <v>100</v>
      </c>
      <c r="E949" s="589" t="s">
        <v>104</v>
      </c>
      <c r="F949" s="589" t="s">
        <v>112</v>
      </c>
      <c r="G949" s="589" t="s">
        <v>51</v>
      </c>
      <c r="H949" s="589" t="s">
        <v>242</v>
      </c>
      <c r="I949" s="589" t="s">
        <v>3675</v>
      </c>
      <c r="J949" s="589" t="s">
        <v>35</v>
      </c>
      <c r="K949" s="591">
        <v>2176</v>
      </c>
      <c r="L949" s="592">
        <f>IF(J949="TND",1,IF(J949="EUR",Vertical_Cash_flow!$C$16,IF(J949="USD",Vertical_Cash_flow!$F$16,0)))</f>
        <v>1</v>
      </c>
      <c r="M949" s="593">
        <f t="shared" si="60"/>
        <v>2176</v>
      </c>
      <c r="N949" s="589" t="s">
        <v>251</v>
      </c>
      <c r="O949" s="594">
        <v>45429</v>
      </c>
      <c r="P949" s="593">
        <f t="shared" si="61"/>
        <v>-64</v>
      </c>
      <c r="Q949" s="594">
        <v>45493</v>
      </c>
      <c r="R949" s="593">
        <f t="shared" ca="1" si="62"/>
        <v>-52</v>
      </c>
      <c r="S949" s="589" t="str">
        <f>VLOOKUP(Q949,Mapping!L:M,2,0)</f>
        <v>W30_2024</v>
      </c>
      <c r="T949" s="589" t="str">
        <f t="shared" ca="1" si="63"/>
        <v>Not Due</v>
      </c>
      <c r="W949" s="591"/>
    </row>
    <row r="950" spans="1:23" s="589" customFormat="1" x14ac:dyDescent="0.2">
      <c r="A950" s="589" t="s">
        <v>56</v>
      </c>
      <c r="B950" s="589" t="s">
        <v>398</v>
      </c>
      <c r="C950" s="590" t="s">
        <v>2434</v>
      </c>
      <c r="D950" s="589" t="s">
        <v>100</v>
      </c>
      <c r="E950" s="589" t="s">
        <v>104</v>
      </c>
      <c r="F950" s="589" t="s">
        <v>112</v>
      </c>
      <c r="G950" s="589" t="s">
        <v>51</v>
      </c>
      <c r="H950" s="589" t="s">
        <v>242</v>
      </c>
      <c r="I950" s="589" t="s">
        <v>2762</v>
      </c>
      <c r="J950" s="589" t="s">
        <v>35</v>
      </c>
      <c r="K950" s="591">
        <v>3000</v>
      </c>
      <c r="L950" s="592">
        <f>IF(J950="TND",1,IF(J950="EUR",Vertical_Cash_flow!$C$16,IF(J950="USD",Vertical_Cash_flow!$F$16,0)))</f>
        <v>1</v>
      </c>
      <c r="M950" s="593">
        <f t="shared" si="60"/>
        <v>3000</v>
      </c>
      <c r="N950" s="589" t="s">
        <v>251</v>
      </c>
      <c r="O950" s="594">
        <v>45401</v>
      </c>
      <c r="P950" s="593">
        <f t="shared" si="61"/>
        <v>-92</v>
      </c>
      <c r="Q950" s="594">
        <v>45493</v>
      </c>
      <c r="R950" s="593">
        <f t="shared" ca="1" si="62"/>
        <v>-52</v>
      </c>
      <c r="S950" s="589" t="str">
        <f>VLOOKUP(Q950,Mapping!L:M,2,0)</f>
        <v>W30_2024</v>
      </c>
      <c r="T950" s="589" t="str">
        <f t="shared" ca="1" si="63"/>
        <v>Not Due</v>
      </c>
      <c r="W950" s="591"/>
    </row>
    <row r="951" spans="1:23" s="589" customFormat="1" x14ac:dyDescent="0.2">
      <c r="A951" s="589" t="s">
        <v>56</v>
      </c>
      <c r="B951" s="589" t="s">
        <v>392</v>
      </c>
      <c r="C951" s="590" t="s">
        <v>955</v>
      </c>
      <c r="D951" s="589" t="s">
        <v>100</v>
      </c>
      <c r="E951" s="589" t="s">
        <v>104</v>
      </c>
      <c r="F951" s="589" t="s">
        <v>112</v>
      </c>
      <c r="G951" s="589" t="s">
        <v>51</v>
      </c>
      <c r="H951" s="589" t="s">
        <v>242</v>
      </c>
      <c r="I951" s="589" t="s">
        <v>963</v>
      </c>
      <c r="J951" s="589" t="s">
        <v>35</v>
      </c>
      <c r="K951" s="591">
        <v>5717.5649999999996</v>
      </c>
      <c r="L951" s="592">
        <f>IF(J951="TND",1,IF(J951="EUR",Vertical_Cash_flow!$C$16,IF(J951="USD",Vertical_Cash_flow!$F$16,0)))</f>
        <v>1</v>
      </c>
      <c r="M951" s="593">
        <f t="shared" si="60"/>
        <v>5717.5649999999996</v>
      </c>
      <c r="N951" s="589" t="s">
        <v>251</v>
      </c>
      <c r="O951" s="594">
        <v>45258</v>
      </c>
      <c r="P951" s="593">
        <f t="shared" si="61"/>
        <v>-235</v>
      </c>
      <c r="Q951" s="594">
        <v>45493</v>
      </c>
      <c r="R951" s="593">
        <f t="shared" ca="1" si="62"/>
        <v>-52</v>
      </c>
      <c r="S951" s="589" t="str">
        <f>VLOOKUP(Q951,Mapping!L:M,2,0)</f>
        <v>W30_2024</v>
      </c>
      <c r="T951" s="589" t="str">
        <f t="shared" ca="1" si="63"/>
        <v>Not Due</v>
      </c>
      <c r="W951" s="591"/>
    </row>
    <row r="952" spans="1:23" s="589" customFormat="1" x14ac:dyDescent="0.2">
      <c r="A952" s="589" t="s">
        <v>56</v>
      </c>
      <c r="B952" s="589" t="s">
        <v>589</v>
      </c>
      <c r="C952" s="590" t="s">
        <v>1547</v>
      </c>
      <c r="D952" s="589" t="s">
        <v>100</v>
      </c>
      <c r="E952" s="589" t="s">
        <v>104</v>
      </c>
      <c r="F952" s="589" t="s">
        <v>112</v>
      </c>
      <c r="G952" s="589" t="s">
        <v>51</v>
      </c>
      <c r="H952" s="589" t="s">
        <v>242</v>
      </c>
      <c r="I952" s="589" t="s">
        <v>1955</v>
      </c>
      <c r="J952" s="589" t="s">
        <v>35</v>
      </c>
      <c r="K952" s="591">
        <v>2374.694</v>
      </c>
      <c r="L952" s="592">
        <f>IF(J952="TND",1,IF(J952="EUR",Vertical_Cash_flow!$C$16,IF(J952="USD",Vertical_Cash_flow!$F$16,0)))</f>
        <v>1</v>
      </c>
      <c r="M952" s="593">
        <f t="shared" si="60"/>
        <v>2374.694</v>
      </c>
      <c r="N952" s="589" t="s">
        <v>251</v>
      </c>
      <c r="O952" s="594">
        <v>45351</v>
      </c>
      <c r="P952" s="593">
        <f t="shared" si="61"/>
        <v>-142</v>
      </c>
      <c r="Q952" s="594">
        <v>45493</v>
      </c>
      <c r="R952" s="593">
        <f t="shared" ca="1" si="62"/>
        <v>-52</v>
      </c>
      <c r="S952" s="589" t="str">
        <f>VLOOKUP(Q952,Mapping!L:M,2,0)</f>
        <v>W30_2024</v>
      </c>
      <c r="T952" s="589" t="str">
        <f t="shared" ca="1" si="63"/>
        <v>Not Due</v>
      </c>
      <c r="W952" s="591"/>
    </row>
    <row r="953" spans="1:23" s="589" customFormat="1" x14ac:dyDescent="0.2">
      <c r="A953" s="589" t="s">
        <v>56</v>
      </c>
      <c r="B953" s="589" t="s">
        <v>388</v>
      </c>
      <c r="C953" s="590" t="s">
        <v>3146</v>
      </c>
      <c r="D953" s="589" t="s">
        <v>100</v>
      </c>
      <c r="E953" s="589" t="s">
        <v>104</v>
      </c>
      <c r="F953" s="589" t="s">
        <v>112</v>
      </c>
      <c r="G953" s="589" t="s">
        <v>51</v>
      </c>
      <c r="H953" s="589" t="s">
        <v>242</v>
      </c>
      <c r="I953" s="589" t="s">
        <v>3334</v>
      </c>
      <c r="J953" s="589" t="s">
        <v>35</v>
      </c>
      <c r="K953" s="591">
        <v>5301</v>
      </c>
      <c r="L953" s="592">
        <f>IF(J953="TND",1,IF(J953="EUR",Vertical_Cash_flow!$C$16,IF(J953="USD",Vertical_Cash_flow!$F$16,0)))</f>
        <v>1</v>
      </c>
      <c r="M953" s="593">
        <f t="shared" si="60"/>
        <v>5301</v>
      </c>
      <c r="N953" s="589" t="s">
        <v>251</v>
      </c>
      <c r="O953" s="594">
        <v>45412</v>
      </c>
      <c r="P953" s="593">
        <f t="shared" si="61"/>
        <v>-81</v>
      </c>
      <c r="Q953" s="594">
        <v>45493</v>
      </c>
      <c r="R953" s="593">
        <f t="shared" ca="1" si="62"/>
        <v>-52</v>
      </c>
      <c r="S953" s="589" t="str">
        <f>VLOOKUP(Q953,Mapping!L:M,2,0)</f>
        <v>W30_2024</v>
      </c>
      <c r="T953" s="589" t="str">
        <f t="shared" ca="1" si="63"/>
        <v>Not Due</v>
      </c>
      <c r="W953" s="591"/>
    </row>
    <row r="954" spans="1:23" s="589" customFormat="1" x14ac:dyDescent="0.2">
      <c r="A954" s="589" t="s">
        <v>56</v>
      </c>
      <c r="B954" s="589" t="s">
        <v>827</v>
      </c>
      <c r="C954" s="590" t="s">
        <v>2432</v>
      </c>
      <c r="D954" s="589" t="s">
        <v>100</v>
      </c>
      <c r="E954" s="589" t="s">
        <v>104</v>
      </c>
      <c r="F954" s="589" t="s">
        <v>112</v>
      </c>
      <c r="G954" s="589" t="s">
        <v>51</v>
      </c>
      <c r="H954" s="589" t="s">
        <v>242</v>
      </c>
      <c r="I954" s="589" t="s">
        <v>812</v>
      </c>
      <c r="J954" s="589" t="s">
        <v>35</v>
      </c>
      <c r="K954" s="591">
        <v>2446.7840000000001</v>
      </c>
      <c r="L954" s="592">
        <f>IF(J954="TND",1,IF(J954="EUR",Vertical_Cash_flow!$C$16,IF(J954="USD",Vertical_Cash_flow!$F$16,0)))</f>
        <v>1</v>
      </c>
      <c r="M954" s="593">
        <f t="shared" si="60"/>
        <v>2446.7840000000001</v>
      </c>
      <c r="N954" s="589" t="s">
        <v>251</v>
      </c>
      <c r="O954" s="594">
        <v>45405</v>
      </c>
      <c r="P954" s="593">
        <f t="shared" si="61"/>
        <v>-88</v>
      </c>
      <c r="Q954" s="594">
        <v>45493</v>
      </c>
      <c r="R954" s="593">
        <f t="shared" ca="1" si="62"/>
        <v>-52</v>
      </c>
      <c r="S954" s="589" t="str">
        <f>VLOOKUP(Q954,Mapping!L:M,2,0)</f>
        <v>W30_2024</v>
      </c>
      <c r="T954" s="589" t="str">
        <f t="shared" ca="1" si="63"/>
        <v>Not Due</v>
      </c>
      <c r="W954" s="591"/>
    </row>
    <row r="955" spans="1:23" s="589" customFormat="1" x14ac:dyDescent="0.2">
      <c r="A955" s="589" t="s">
        <v>56</v>
      </c>
      <c r="B955" s="589" t="s">
        <v>605</v>
      </c>
      <c r="C955" s="590" t="s">
        <v>1253</v>
      </c>
      <c r="D955" s="589" t="s">
        <v>100</v>
      </c>
      <c r="E955" s="589" t="s">
        <v>104</v>
      </c>
      <c r="F955" s="589" t="s">
        <v>112</v>
      </c>
      <c r="G955" s="589" t="s">
        <v>51</v>
      </c>
      <c r="H955" s="589" t="s">
        <v>242</v>
      </c>
      <c r="I955" s="589" t="s">
        <v>1365</v>
      </c>
      <c r="J955" s="589" t="s">
        <v>35</v>
      </c>
      <c r="K955" s="591">
        <v>4800</v>
      </c>
      <c r="L955" s="592">
        <f>IF(J955="TND",1,IF(J955="EUR",Vertical_Cash_flow!$C$16,IF(J955="USD",Vertical_Cash_flow!$F$16,0)))</f>
        <v>1</v>
      </c>
      <c r="M955" s="593">
        <f t="shared" si="60"/>
        <v>4800</v>
      </c>
      <c r="N955" s="589" t="s">
        <v>251</v>
      </c>
      <c r="O955" s="594">
        <v>45343</v>
      </c>
      <c r="P955" s="593">
        <f t="shared" si="61"/>
        <v>-150</v>
      </c>
      <c r="Q955" s="594">
        <v>45493</v>
      </c>
      <c r="R955" s="593">
        <f t="shared" ca="1" si="62"/>
        <v>-52</v>
      </c>
      <c r="S955" s="589" t="str">
        <f>VLOOKUP(Q955,Mapping!L:M,2,0)</f>
        <v>W30_2024</v>
      </c>
      <c r="T955" s="589" t="str">
        <f t="shared" ca="1" si="63"/>
        <v>Not Due</v>
      </c>
      <c r="W955" s="591"/>
    </row>
    <row r="956" spans="1:23" s="589" customFormat="1" x14ac:dyDescent="0.2">
      <c r="A956" s="589" t="s">
        <v>56</v>
      </c>
      <c r="B956" s="589" t="s">
        <v>1244</v>
      </c>
      <c r="C956" s="590" t="s">
        <v>2433</v>
      </c>
      <c r="D956" s="589" t="s">
        <v>100</v>
      </c>
      <c r="E956" s="589" t="s">
        <v>104</v>
      </c>
      <c r="F956" s="589" t="s">
        <v>112</v>
      </c>
      <c r="G956" s="589" t="s">
        <v>51</v>
      </c>
      <c r="H956" s="589" t="s">
        <v>242</v>
      </c>
      <c r="I956" s="589" t="s">
        <v>2761</v>
      </c>
      <c r="J956" s="589" t="s">
        <v>35</v>
      </c>
      <c r="K956" s="591">
        <v>700</v>
      </c>
      <c r="L956" s="592">
        <f>IF(J956="TND",1,IF(J956="EUR",Vertical_Cash_flow!$C$16,IF(J956="USD",Vertical_Cash_flow!$F$16,0)))</f>
        <v>1</v>
      </c>
      <c r="M956" s="593">
        <f t="shared" si="60"/>
        <v>700</v>
      </c>
      <c r="N956" s="589" t="s">
        <v>251</v>
      </c>
      <c r="O956" s="594">
        <v>45399</v>
      </c>
      <c r="P956" s="593">
        <f t="shared" si="61"/>
        <v>-94</v>
      </c>
      <c r="Q956" s="594">
        <v>45493</v>
      </c>
      <c r="R956" s="593">
        <f t="shared" ca="1" si="62"/>
        <v>-52</v>
      </c>
      <c r="S956" s="589" t="str">
        <f>VLOOKUP(Q956,Mapping!L:M,2,0)</f>
        <v>W30_2024</v>
      </c>
      <c r="T956" s="589" t="str">
        <f t="shared" ca="1" si="63"/>
        <v>Not Due</v>
      </c>
      <c r="W956" s="591"/>
    </row>
    <row r="957" spans="1:23" s="589" customFormat="1" x14ac:dyDescent="0.2">
      <c r="A957" s="589" t="s">
        <v>56</v>
      </c>
      <c r="B957" s="589" t="s">
        <v>387</v>
      </c>
      <c r="C957" s="590" t="s">
        <v>2431</v>
      </c>
      <c r="D957" s="589" t="s">
        <v>100</v>
      </c>
      <c r="E957" s="589" t="s">
        <v>104</v>
      </c>
      <c r="F957" s="589" t="s">
        <v>112</v>
      </c>
      <c r="G957" s="589" t="s">
        <v>51</v>
      </c>
      <c r="H957" s="589" t="s">
        <v>242</v>
      </c>
      <c r="I957" s="589" t="s">
        <v>2760</v>
      </c>
      <c r="J957" s="589" t="s">
        <v>35</v>
      </c>
      <c r="K957" s="591">
        <v>1091.0429999999999</v>
      </c>
      <c r="L957" s="592">
        <f>IF(J957="TND",1,IF(J957="EUR",Vertical_Cash_flow!$C$16,IF(J957="USD",Vertical_Cash_flow!$F$16,0)))</f>
        <v>1</v>
      </c>
      <c r="M957" s="593">
        <f t="shared" si="60"/>
        <v>1091.0429999999999</v>
      </c>
      <c r="N957" s="589" t="s">
        <v>251</v>
      </c>
      <c r="O957" s="594">
        <v>45406</v>
      </c>
      <c r="P957" s="593">
        <f t="shared" si="61"/>
        <v>-87</v>
      </c>
      <c r="Q957" s="594">
        <v>45493</v>
      </c>
      <c r="R957" s="593">
        <f t="shared" ca="1" si="62"/>
        <v>-52</v>
      </c>
      <c r="S957" s="589" t="str">
        <f>VLOOKUP(Q957,Mapping!L:M,2,0)</f>
        <v>W30_2024</v>
      </c>
      <c r="T957" s="589" t="str">
        <f t="shared" ca="1" si="63"/>
        <v>Not Due</v>
      </c>
      <c r="W957" s="591"/>
    </row>
    <row r="958" spans="1:23" s="589" customFormat="1" x14ac:dyDescent="0.2">
      <c r="A958" s="589" t="s">
        <v>56</v>
      </c>
      <c r="B958" s="589" t="s">
        <v>325</v>
      </c>
      <c r="C958" s="590" t="s">
        <v>3145</v>
      </c>
      <c r="D958" s="589" t="s">
        <v>100</v>
      </c>
      <c r="E958" s="589" t="s">
        <v>104</v>
      </c>
      <c r="F958" s="589" t="s">
        <v>112</v>
      </c>
      <c r="G958" s="589" t="s">
        <v>51</v>
      </c>
      <c r="H958" s="589" t="s">
        <v>242</v>
      </c>
      <c r="I958" s="589" t="s">
        <v>3333</v>
      </c>
      <c r="J958" s="589" t="s">
        <v>35</v>
      </c>
      <c r="K958" s="591">
        <v>985.779</v>
      </c>
      <c r="L958" s="592">
        <f>IF(J958="TND",1,IF(J958="EUR",Vertical_Cash_flow!$C$16,IF(J958="USD",Vertical_Cash_flow!$F$16,0)))</f>
        <v>1</v>
      </c>
      <c r="M958" s="593">
        <f t="shared" si="60"/>
        <v>985.779</v>
      </c>
      <c r="N958" s="589" t="s">
        <v>251</v>
      </c>
      <c r="O958" s="594">
        <v>45411</v>
      </c>
      <c r="P958" s="593">
        <f t="shared" si="61"/>
        <v>-82</v>
      </c>
      <c r="Q958" s="594">
        <v>45493</v>
      </c>
      <c r="R958" s="593">
        <f t="shared" ca="1" si="62"/>
        <v>-52</v>
      </c>
      <c r="S958" s="589" t="str">
        <f>VLOOKUP(Q958,Mapping!L:M,2,0)</f>
        <v>W30_2024</v>
      </c>
      <c r="T958" s="589" t="str">
        <f t="shared" ca="1" si="63"/>
        <v>Not Due</v>
      </c>
      <c r="W958" s="591"/>
    </row>
    <row r="959" spans="1:23" s="589" customFormat="1" x14ac:dyDescent="0.2">
      <c r="A959" s="589" t="s">
        <v>56</v>
      </c>
      <c r="B959" s="589" t="s">
        <v>722</v>
      </c>
      <c r="C959" s="590" t="s">
        <v>3519</v>
      </c>
      <c r="D959" s="589" t="s">
        <v>100</v>
      </c>
      <c r="E959" s="589" t="s">
        <v>104</v>
      </c>
      <c r="F959" s="589" t="s">
        <v>112</v>
      </c>
      <c r="G959" s="589" t="s">
        <v>51</v>
      </c>
      <c r="H959" s="589" t="s">
        <v>242</v>
      </c>
      <c r="I959" s="589" t="s">
        <v>3674</v>
      </c>
      <c r="J959" s="589" t="s">
        <v>35</v>
      </c>
      <c r="K959" s="591">
        <v>2032.329</v>
      </c>
      <c r="L959" s="592">
        <f>IF(J959="TND",1,IF(J959="EUR",Vertical_Cash_flow!$C$16,IF(J959="USD",Vertical_Cash_flow!$F$16,0)))</f>
        <v>1</v>
      </c>
      <c r="M959" s="593">
        <f t="shared" si="60"/>
        <v>2032.329</v>
      </c>
      <c r="N959" s="589" t="s">
        <v>251</v>
      </c>
      <c r="O959" s="594">
        <v>45429</v>
      </c>
      <c r="P959" s="593">
        <f t="shared" si="61"/>
        <v>-64</v>
      </c>
      <c r="Q959" s="594">
        <v>45493</v>
      </c>
      <c r="R959" s="593">
        <f t="shared" ca="1" si="62"/>
        <v>-52</v>
      </c>
      <c r="S959" s="589" t="str">
        <f>VLOOKUP(Q959,Mapping!L:M,2,0)</f>
        <v>W30_2024</v>
      </c>
      <c r="T959" s="589" t="str">
        <f t="shared" ca="1" si="63"/>
        <v>Not Due</v>
      </c>
      <c r="W959" s="591"/>
    </row>
    <row r="960" spans="1:23" s="589" customFormat="1" x14ac:dyDescent="0.2">
      <c r="A960" s="589" t="s">
        <v>56</v>
      </c>
      <c r="B960" s="589" t="s">
        <v>482</v>
      </c>
      <c r="C960" s="590" t="s">
        <v>1546</v>
      </c>
      <c r="D960" s="589" t="s">
        <v>100</v>
      </c>
      <c r="E960" s="589" t="s">
        <v>104</v>
      </c>
      <c r="F960" s="589" t="s">
        <v>112</v>
      </c>
      <c r="G960" s="589" t="s">
        <v>51</v>
      </c>
      <c r="H960" s="589" t="s">
        <v>242</v>
      </c>
      <c r="I960" s="589" t="s">
        <v>1954</v>
      </c>
      <c r="J960" s="589" t="s">
        <v>35</v>
      </c>
      <c r="K960" s="591">
        <v>1250</v>
      </c>
      <c r="L960" s="592">
        <f>IF(J960="TND",1,IF(J960="EUR",Vertical_Cash_flow!$C$16,IF(J960="USD",Vertical_Cash_flow!$F$16,0)))</f>
        <v>1</v>
      </c>
      <c r="M960" s="593">
        <f t="shared" si="60"/>
        <v>1250</v>
      </c>
      <c r="N960" s="589" t="s">
        <v>251</v>
      </c>
      <c r="O960" s="594">
        <v>45379</v>
      </c>
      <c r="P960" s="593">
        <f t="shared" si="61"/>
        <v>-114</v>
      </c>
      <c r="Q960" s="594">
        <v>45493</v>
      </c>
      <c r="R960" s="593">
        <f t="shared" ca="1" si="62"/>
        <v>-52</v>
      </c>
      <c r="S960" s="589" t="str">
        <f>VLOOKUP(Q960,Mapping!L:M,2,0)</f>
        <v>W30_2024</v>
      </c>
      <c r="T960" s="589" t="str">
        <f t="shared" ca="1" si="63"/>
        <v>Not Due</v>
      </c>
      <c r="W960" s="591"/>
    </row>
    <row r="961" spans="1:23" s="589" customFormat="1" x14ac:dyDescent="0.2">
      <c r="A961" s="589" t="s">
        <v>56</v>
      </c>
      <c r="B961" s="589" t="s">
        <v>1496</v>
      </c>
      <c r="C961" s="590" t="s">
        <v>3518</v>
      </c>
      <c r="D961" s="589" t="s">
        <v>100</v>
      </c>
      <c r="E961" s="589" t="s">
        <v>104</v>
      </c>
      <c r="F961" s="589" t="s">
        <v>112</v>
      </c>
      <c r="G961" s="589" t="s">
        <v>51</v>
      </c>
      <c r="H961" s="589" t="s">
        <v>242</v>
      </c>
      <c r="I961" s="589" t="s">
        <v>3673</v>
      </c>
      <c r="J961" s="589" t="s">
        <v>35</v>
      </c>
      <c r="K961" s="591">
        <v>613.25400000000002</v>
      </c>
      <c r="L961" s="592">
        <f>IF(J961="TND",1,IF(J961="EUR",Vertical_Cash_flow!$C$16,IF(J961="USD",Vertical_Cash_flow!$F$16,0)))</f>
        <v>1</v>
      </c>
      <c r="M961" s="593">
        <f t="shared" si="60"/>
        <v>613.25400000000002</v>
      </c>
      <c r="N961" s="589" t="s">
        <v>251</v>
      </c>
      <c r="O961" s="594">
        <v>45426</v>
      </c>
      <c r="P961" s="593">
        <f t="shared" si="61"/>
        <v>-67</v>
      </c>
      <c r="Q961" s="594">
        <v>45493</v>
      </c>
      <c r="R961" s="593">
        <f t="shared" ca="1" si="62"/>
        <v>-52</v>
      </c>
      <c r="S961" s="589" t="str">
        <f>VLOOKUP(Q961,Mapping!L:M,2,0)</f>
        <v>W30_2024</v>
      </c>
      <c r="T961" s="589" t="str">
        <f t="shared" ca="1" si="63"/>
        <v>Not Due</v>
      </c>
      <c r="W961" s="591"/>
    </row>
    <row r="962" spans="1:23" s="589" customFormat="1" x14ac:dyDescent="0.2">
      <c r="A962" s="589" t="s">
        <v>56</v>
      </c>
      <c r="B962" s="589" t="s">
        <v>574</v>
      </c>
      <c r="C962" s="590" t="s">
        <v>2430</v>
      </c>
      <c r="D962" s="589" t="s">
        <v>100</v>
      </c>
      <c r="E962" s="589" t="s">
        <v>104</v>
      </c>
      <c r="F962" s="589" t="s">
        <v>112</v>
      </c>
      <c r="G962" s="589" t="s">
        <v>51</v>
      </c>
      <c r="H962" s="589" t="s">
        <v>242</v>
      </c>
      <c r="I962" s="589" t="s">
        <v>2759</v>
      </c>
      <c r="J962" s="589" t="s">
        <v>35</v>
      </c>
      <c r="K962" s="591">
        <v>7374.8069999999998</v>
      </c>
      <c r="L962" s="592">
        <f>IF(J962="TND",1,IF(J962="EUR",Vertical_Cash_flow!$C$16,IF(J962="USD",Vertical_Cash_flow!$F$16,0)))</f>
        <v>1</v>
      </c>
      <c r="M962" s="593">
        <f t="shared" si="60"/>
        <v>7374.8069999999998</v>
      </c>
      <c r="N962" s="589" t="s">
        <v>251</v>
      </c>
      <c r="O962" s="594">
        <v>45390</v>
      </c>
      <c r="P962" s="593">
        <f t="shared" si="61"/>
        <v>-103</v>
      </c>
      <c r="Q962" s="594">
        <v>45493</v>
      </c>
      <c r="R962" s="593">
        <f t="shared" ca="1" si="62"/>
        <v>-52</v>
      </c>
      <c r="S962" s="589" t="str">
        <f>VLOOKUP(Q962,Mapping!L:M,2,0)</f>
        <v>W30_2024</v>
      </c>
      <c r="T962" s="589" t="str">
        <f t="shared" ca="1" si="63"/>
        <v>Not Due</v>
      </c>
      <c r="W962" s="591"/>
    </row>
    <row r="963" spans="1:23" s="589" customFormat="1" x14ac:dyDescent="0.2">
      <c r="A963" s="589" t="s">
        <v>56</v>
      </c>
      <c r="B963" s="589" t="s">
        <v>331</v>
      </c>
      <c r="C963" s="590" t="s">
        <v>3143</v>
      </c>
      <c r="D963" s="589" t="s">
        <v>100</v>
      </c>
      <c r="E963" s="589" t="s">
        <v>104</v>
      </c>
      <c r="F963" s="589" t="s">
        <v>112</v>
      </c>
      <c r="G963" s="589" t="s">
        <v>51</v>
      </c>
      <c r="H963" s="589" t="s">
        <v>242</v>
      </c>
      <c r="I963" s="589" t="s">
        <v>3331</v>
      </c>
      <c r="J963" s="589" t="s">
        <v>35</v>
      </c>
      <c r="K963" s="591">
        <v>2896</v>
      </c>
      <c r="L963" s="592">
        <f>IF(J963="TND",1,IF(J963="EUR",Vertical_Cash_flow!$C$16,IF(J963="USD",Vertical_Cash_flow!$F$16,0)))</f>
        <v>1</v>
      </c>
      <c r="M963" s="593">
        <f t="shared" si="60"/>
        <v>2896</v>
      </c>
      <c r="N963" s="589" t="s">
        <v>251</v>
      </c>
      <c r="O963" s="594">
        <v>45412</v>
      </c>
      <c r="P963" s="593">
        <f t="shared" si="61"/>
        <v>-81</v>
      </c>
      <c r="Q963" s="594">
        <v>45493</v>
      </c>
      <c r="R963" s="593">
        <f t="shared" ca="1" si="62"/>
        <v>-52</v>
      </c>
      <c r="S963" s="589" t="str">
        <f>VLOOKUP(Q963,Mapping!L:M,2,0)</f>
        <v>W30_2024</v>
      </c>
      <c r="T963" s="589" t="str">
        <f t="shared" ca="1" si="63"/>
        <v>Not Due</v>
      </c>
      <c r="W963" s="591"/>
    </row>
    <row r="964" spans="1:23" s="589" customFormat="1" x14ac:dyDescent="0.2">
      <c r="A964" s="589" t="s">
        <v>56</v>
      </c>
      <c r="B964" s="589" t="s">
        <v>3008</v>
      </c>
      <c r="C964" s="590" t="s">
        <v>3144</v>
      </c>
      <c r="D964" s="589" t="s">
        <v>100</v>
      </c>
      <c r="E964" s="589" t="s">
        <v>104</v>
      </c>
      <c r="F964" s="589" t="s">
        <v>112</v>
      </c>
      <c r="G964" s="589" t="s">
        <v>51</v>
      </c>
      <c r="H964" s="589" t="s">
        <v>242</v>
      </c>
      <c r="I964" s="589" t="s">
        <v>3332</v>
      </c>
      <c r="J964" s="589" t="s">
        <v>35</v>
      </c>
      <c r="K964" s="591">
        <v>6401.1059999999998</v>
      </c>
      <c r="L964" s="592">
        <f>IF(J964="TND",1,IF(J964="EUR",Vertical_Cash_flow!$C$16,IF(J964="USD",Vertical_Cash_flow!$F$16,0)))</f>
        <v>1</v>
      </c>
      <c r="M964" s="593">
        <f t="shared" si="60"/>
        <v>6401.1059999999998</v>
      </c>
      <c r="N964" s="589" t="s">
        <v>251</v>
      </c>
      <c r="O964" s="594">
        <v>45412</v>
      </c>
      <c r="P964" s="593">
        <f t="shared" si="61"/>
        <v>-81</v>
      </c>
      <c r="Q964" s="594">
        <v>45493</v>
      </c>
      <c r="R964" s="593">
        <f t="shared" ca="1" si="62"/>
        <v>-52</v>
      </c>
      <c r="S964" s="589" t="str">
        <f>VLOOKUP(Q964,Mapping!L:M,2,0)</f>
        <v>W30_2024</v>
      </c>
      <c r="T964" s="589" t="str">
        <f t="shared" ca="1" si="63"/>
        <v>Not Due</v>
      </c>
      <c r="W964" s="591"/>
    </row>
    <row r="965" spans="1:23" s="589" customFormat="1" x14ac:dyDescent="0.2">
      <c r="A965" s="589" t="s">
        <v>56</v>
      </c>
      <c r="B965" s="589" t="s">
        <v>942</v>
      </c>
      <c r="C965" s="590" t="s">
        <v>1544</v>
      </c>
      <c r="D965" s="589" t="s">
        <v>100</v>
      </c>
      <c r="E965" s="589" t="s">
        <v>104</v>
      </c>
      <c r="F965" s="589" t="s">
        <v>112</v>
      </c>
      <c r="G965" s="589" t="s">
        <v>51</v>
      </c>
      <c r="H965" s="589" t="s">
        <v>242</v>
      </c>
      <c r="I965" s="589" t="s">
        <v>1952</v>
      </c>
      <c r="J965" s="589" t="s">
        <v>35</v>
      </c>
      <c r="K965" s="591">
        <v>1652.2850000000001</v>
      </c>
      <c r="L965" s="592">
        <f>IF(J965="TND",1,IF(J965="EUR",Vertical_Cash_flow!$C$16,IF(J965="USD",Vertical_Cash_flow!$F$16,0)))</f>
        <v>1</v>
      </c>
      <c r="M965" s="593">
        <f t="shared" si="60"/>
        <v>1652.2850000000001</v>
      </c>
      <c r="N965" s="589" t="s">
        <v>251</v>
      </c>
      <c r="O965" s="594">
        <v>45370</v>
      </c>
      <c r="P965" s="593">
        <f t="shared" si="61"/>
        <v>-124</v>
      </c>
      <c r="Q965" s="594">
        <v>45494</v>
      </c>
      <c r="R965" s="593">
        <f t="shared" ca="1" si="62"/>
        <v>-53</v>
      </c>
      <c r="S965" s="589" t="str">
        <f>VLOOKUP(Q965,Mapping!L:M,2,0)</f>
        <v>W30_2024</v>
      </c>
      <c r="T965" s="589" t="str">
        <f t="shared" ca="1" si="63"/>
        <v>Not Due</v>
      </c>
      <c r="W965" s="591"/>
    </row>
    <row r="966" spans="1:23" s="589" customFormat="1" x14ac:dyDescent="0.2">
      <c r="A966" s="589" t="s">
        <v>56</v>
      </c>
      <c r="B966" s="589" t="s">
        <v>274</v>
      </c>
      <c r="C966" s="590" t="s">
        <v>1545</v>
      </c>
      <c r="D966" s="589" t="s">
        <v>100</v>
      </c>
      <c r="E966" s="589" t="s">
        <v>104</v>
      </c>
      <c r="F966" s="589" t="s">
        <v>112</v>
      </c>
      <c r="G966" s="589" t="s">
        <v>51</v>
      </c>
      <c r="H966" s="589" t="s">
        <v>242</v>
      </c>
      <c r="I966" s="589" t="s">
        <v>1953</v>
      </c>
      <c r="J966" s="589" t="s">
        <v>35</v>
      </c>
      <c r="K966" s="591">
        <v>860</v>
      </c>
      <c r="L966" s="592">
        <f>IF(J966="TND",1,IF(J966="EUR",Vertical_Cash_flow!$C$16,IF(J966="USD",Vertical_Cash_flow!$F$16,0)))</f>
        <v>1</v>
      </c>
      <c r="M966" s="593">
        <f t="shared" si="60"/>
        <v>860</v>
      </c>
      <c r="N966" s="589" t="s">
        <v>251</v>
      </c>
      <c r="O966" s="594">
        <v>45376</v>
      </c>
      <c r="P966" s="593">
        <f t="shared" si="61"/>
        <v>-118</v>
      </c>
      <c r="Q966" s="594">
        <v>45494</v>
      </c>
      <c r="R966" s="593">
        <f t="shared" ca="1" si="62"/>
        <v>-53</v>
      </c>
      <c r="S966" s="589" t="str">
        <f>VLOOKUP(Q966,Mapping!L:M,2,0)</f>
        <v>W30_2024</v>
      </c>
      <c r="T966" s="589" t="str">
        <f t="shared" ca="1" si="63"/>
        <v>Not Due</v>
      </c>
      <c r="W966" s="591"/>
    </row>
    <row r="967" spans="1:23" s="589" customFormat="1" x14ac:dyDescent="0.2">
      <c r="A967" s="589" t="s">
        <v>56</v>
      </c>
      <c r="B967" s="589" t="s">
        <v>491</v>
      </c>
      <c r="C967" s="590" t="s">
        <v>3142</v>
      </c>
      <c r="D967" s="589" t="s">
        <v>100</v>
      </c>
      <c r="E967" s="589" t="s">
        <v>104</v>
      </c>
      <c r="F967" s="589" t="s">
        <v>112</v>
      </c>
      <c r="G967" s="589" t="s">
        <v>51</v>
      </c>
      <c r="H967" s="589" t="s">
        <v>242</v>
      </c>
      <c r="I967" s="589" t="s">
        <v>3330</v>
      </c>
      <c r="J967" s="589" t="s">
        <v>35</v>
      </c>
      <c r="K967" s="591">
        <v>1600</v>
      </c>
      <c r="L967" s="592">
        <f>IF(J967="TND",1,IF(J967="EUR",Vertical_Cash_flow!$C$16,IF(J967="USD",Vertical_Cash_flow!$F$16,0)))</f>
        <v>1</v>
      </c>
      <c r="M967" s="593">
        <f t="shared" si="60"/>
        <v>1600</v>
      </c>
      <c r="N967" s="589" t="s">
        <v>251</v>
      </c>
      <c r="O967" s="594">
        <v>45420</v>
      </c>
      <c r="P967" s="593">
        <f t="shared" si="61"/>
        <v>-74</v>
      </c>
      <c r="Q967" s="594">
        <v>45494</v>
      </c>
      <c r="R967" s="593">
        <f t="shared" ca="1" si="62"/>
        <v>-53</v>
      </c>
      <c r="S967" s="589" t="str">
        <f>VLOOKUP(Q967,Mapping!L:M,2,0)</f>
        <v>W30_2024</v>
      </c>
      <c r="T967" s="589" t="str">
        <f t="shared" ca="1" si="63"/>
        <v>Not Due</v>
      </c>
      <c r="W967" s="591"/>
    </row>
    <row r="968" spans="1:23" s="589" customFormat="1" x14ac:dyDescent="0.2">
      <c r="A968" s="589" t="s">
        <v>56</v>
      </c>
      <c r="B968" s="589" t="s">
        <v>371</v>
      </c>
      <c r="C968" s="590" t="s">
        <v>2429</v>
      </c>
      <c r="D968" s="589" t="s">
        <v>100</v>
      </c>
      <c r="E968" s="589" t="s">
        <v>104</v>
      </c>
      <c r="F968" s="589" t="s">
        <v>112</v>
      </c>
      <c r="G968" s="589" t="s">
        <v>51</v>
      </c>
      <c r="H968" s="589" t="s">
        <v>242</v>
      </c>
      <c r="I968" s="589" t="s">
        <v>2758</v>
      </c>
      <c r="J968" s="589" t="s">
        <v>35</v>
      </c>
      <c r="K968" s="591">
        <v>442.97199999999998</v>
      </c>
      <c r="L968" s="592">
        <f>IF(J968="TND",1,IF(J968="EUR",Vertical_Cash_flow!$C$16,IF(J968="USD",Vertical_Cash_flow!$F$16,0)))</f>
        <v>1</v>
      </c>
      <c r="M968" s="593">
        <f t="shared" si="60"/>
        <v>442.97199999999998</v>
      </c>
      <c r="N968" s="589" t="s">
        <v>251</v>
      </c>
      <c r="O968" s="594">
        <v>45395</v>
      </c>
      <c r="P968" s="593">
        <f t="shared" si="61"/>
        <v>-99</v>
      </c>
      <c r="Q968" s="594">
        <v>45494</v>
      </c>
      <c r="R968" s="593">
        <f t="shared" ca="1" si="62"/>
        <v>-53</v>
      </c>
      <c r="S968" s="589" t="str">
        <f>VLOOKUP(Q968,Mapping!L:M,2,0)</f>
        <v>W30_2024</v>
      </c>
      <c r="T968" s="589" t="str">
        <f t="shared" ca="1" si="63"/>
        <v>Not Due</v>
      </c>
      <c r="W968" s="591"/>
    </row>
    <row r="969" spans="1:23" s="589" customFormat="1" x14ac:dyDescent="0.2">
      <c r="A969" s="589" t="s">
        <v>56</v>
      </c>
      <c r="B969" s="589" t="s">
        <v>636</v>
      </c>
      <c r="C969" s="590" t="s">
        <v>3517</v>
      </c>
      <c r="D969" s="589" t="s">
        <v>100</v>
      </c>
      <c r="E969" s="589" t="s">
        <v>104</v>
      </c>
      <c r="F969" s="589" t="s">
        <v>112</v>
      </c>
      <c r="G969" s="589" t="s">
        <v>51</v>
      </c>
      <c r="H969" s="589" t="s">
        <v>242</v>
      </c>
      <c r="I969" s="589" t="s">
        <v>645</v>
      </c>
      <c r="J969" s="589" t="s">
        <v>35</v>
      </c>
      <c r="K969" s="591">
        <v>2000</v>
      </c>
      <c r="L969" s="592">
        <f>IF(J969="TND",1,IF(J969="EUR",Vertical_Cash_flow!$C$16,IF(J969="USD",Vertical_Cash_flow!$F$16,0)))</f>
        <v>1</v>
      </c>
      <c r="M969" s="593">
        <f t="shared" si="60"/>
        <v>2000</v>
      </c>
      <c r="N969" s="589" t="s">
        <v>251</v>
      </c>
      <c r="O969" s="594">
        <v>45427</v>
      </c>
      <c r="P969" s="593">
        <f t="shared" si="61"/>
        <v>-67</v>
      </c>
      <c r="Q969" s="594">
        <v>45494</v>
      </c>
      <c r="R969" s="593">
        <f t="shared" ca="1" si="62"/>
        <v>-53</v>
      </c>
      <c r="S969" s="589" t="str">
        <f>VLOOKUP(Q969,Mapping!L:M,2,0)</f>
        <v>W30_2024</v>
      </c>
      <c r="T969" s="589" t="str">
        <f t="shared" ca="1" si="63"/>
        <v>Not Due</v>
      </c>
      <c r="W969" s="591"/>
    </row>
    <row r="970" spans="1:23" s="589" customFormat="1" x14ac:dyDescent="0.2">
      <c r="A970" s="589" t="s">
        <v>56</v>
      </c>
      <c r="B970" s="589" t="s">
        <v>274</v>
      </c>
      <c r="C970" s="590" t="s">
        <v>1543</v>
      </c>
      <c r="D970" s="589" t="s">
        <v>100</v>
      </c>
      <c r="E970" s="589" t="s">
        <v>104</v>
      </c>
      <c r="F970" s="589" t="s">
        <v>112</v>
      </c>
      <c r="G970" s="589" t="s">
        <v>51</v>
      </c>
      <c r="H970" s="589" t="s">
        <v>242</v>
      </c>
      <c r="I970" s="589" t="s">
        <v>1951</v>
      </c>
      <c r="J970" s="589" t="s">
        <v>35</v>
      </c>
      <c r="K970" s="591">
        <v>855</v>
      </c>
      <c r="L970" s="592">
        <f>IF(J970="TND",1,IF(J970="EUR",Vertical_Cash_flow!$C$16,IF(J970="USD",Vertical_Cash_flow!$F$16,0)))</f>
        <v>1</v>
      </c>
      <c r="M970" s="593">
        <f t="shared" si="60"/>
        <v>855</v>
      </c>
      <c r="N970" s="589" t="s">
        <v>251</v>
      </c>
      <c r="O970" s="594">
        <v>45376</v>
      </c>
      <c r="P970" s="593">
        <f t="shared" si="61"/>
        <v>-119</v>
      </c>
      <c r="Q970" s="594">
        <v>45495</v>
      </c>
      <c r="R970" s="593">
        <f t="shared" ca="1" si="62"/>
        <v>-54</v>
      </c>
      <c r="S970" s="589" t="str">
        <f>VLOOKUP(Q970,Mapping!L:M,2,0)</f>
        <v>W30_2024</v>
      </c>
      <c r="T970" s="589" t="str">
        <f t="shared" ca="1" si="63"/>
        <v>Not Due</v>
      </c>
      <c r="W970" s="591"/>
    </row>
    <row r="971" spans="1:23" s="589" customFormat="1" x14ac:dyDescent="0.2">
      <c r="A971" s="589" t="s">
        <v>56</v>
      </c>
      <c r="B971" s="589" t="s">
        <v>285</v>
      </c>
      <c r="C971" s="590" t="s">
        <v>2428</v>
      </c>
      <c r="D971" s="589" t="s">
        <v>100</v>
      </c>
      <c r="E971" s="589" t="s">
        <v>104</v>
      </c>
      <c r="F971" s="589" t="s">
        <v>112</v>
      </c>
      <c r="G971" s="589" t="s">
        <v>51</v>
      </c>
      <c r="H971" s="589" t="s">
        <v>242</v>
      </c>
      <c r="I971" s="589" t="s">
        <v>2757</v>
      </c>
      <c r="J971" s="589" t="s">
        <v>35</v>
      </c>
      <c r="K971" s="591">
        <v>1123.277</v>
      </c>
      <c r="L971" s="592">
        <f>IF(J971="TND",1,IF(J971="EUR",Vertical_Cash_flow!$C$16,IF(J971="USD",Vertical_Cash_flow!$F$16,0)))</f>
        <v>1</v>
      </c>
      <c r="M971" s="593">
        <f t="shared" si="60"/>
        <v>1123.277</v>
      </c>
      <c r="N971" s="589" t="s">
        <v>251</v>
      </c>
      <c r="O971" s="594">
        <v>45387</v>
      </c>
      <c r="P971" s="593">
        <f t="shared" si="61"/>
        <v>-108</v>
      </c>
      <c r="Q971" s="594">
        <v>45495</v>
      </c>
      <c r="R971" s="593">
        <f t="shared" ca="1" si="62"/>
        <v>-54</v>
      </c>
      <c r="S971" s="589" t="str">
        <f>VLOOKUP(Q971,Mapping!L:M,2,0)</f>
        <v>W30_2024</v>
      </c>
      <c r="T971" s="589" t="str">
        <f t="shared" ca="1" si="63"/>
        <v>Not Due</v>
      </c>
      <c r="W971" s="591"/>
    </row>
    <row r="972" spans="1:23" s="589" customFormat="1" x14ac:dyDescent="0.2">
      <c r="A972" s="589" t="s">
        <v>56</v>
      </c>
      <c r="B972" s="589" t="s">
        <v>278</v>
      </c>
      <c r="C972" s="590" t="s">
        <v>1054</v>
      </c>
      <c r="D972" s="589" t="s">
        <v>100</v>
      </c>
      <c r="E972" s="589" t="s">
        <v>104</v>
      </c>
      <c r="F972" s="589" t="s">
        <v>112</v>
      </c>
      <c r="G972" s="589" t="s">
        <v>51</v>
      </c>
      <c r="H972" s="589" t="s">
        <v>242</v>
      </c>
      <c r="I972" s="589" t="s">
        <v>1130</v>
      </c>
      <c r="J972" s="589" t="s">
        <v>35</v>
      </c>
      <c r="K972" s="591">
        <v>10000</v>
      </c>
      <c r="L972" s="592">
        <f>IF(J972="TND",1,IF(J972="EUR",Vertical_Cash_flow!$C$16,IF(J972="USD",Vertical_Cash_flow!$F$16,0)))</f>
        <v>1</v>
      </c>
      <c r="M972" s="593">
        <f t="shared" si="60"/>
        <v>10000</v>
      </c>
      <c r="N972" s="589" t="s">
        <v>251</v>
      </c>
      <c r="O972" s="594">
        <v>45320</v>
      </c>
      <c r="P972" s="593">
        <f t="shared" si="61"/>
        <v>-175</v>
      </c>
      <c r="Q972" s="594">
        <v>45495</v>
      </c>
      <c r="R972" s="593">
        <f t="shared" ca="1" si="62"/>
        <v>-54</v>
      </c>
      <c r="S972" s="589" t="str">
        <f>VLOOKUP(Q972,Mapping!L:M,2,0)</f>
        <v>W30_2024</v>
      </c>
      <c r="T972" s="589" t="str">
        <f t="shared" ca="1" si="63"/>
        <v>Not Due</v>
      </c>
      <c r="W972" s="591"/>
    </row>
    <row r="973" spans="1:23" s="589" customFormat="1" x14ac:dyDescent="0.2">
      <c r="A973" s="589" t="s">
        <v>56</v>
      </c>
      <c r="B973" s="589" t="s">
        <v>558</v>
      </c>
      <c r="C973" s="590" t="s">
        <v>2427</v>
      </c>
      <c r="D973" s="589" t="s">
        <v>100</v>
      </c>
      <c r="E973" s="589" t="s">
        <v>104</v>
      </c>
      <c r="F973" s="589" t="s">
        <v>112</v>
      </c>
      <c r="G973" s="589" t="s">
        <v>51</v>
      </c>
      <c r="H973" s="589" t="s">
        <v>242</v>
      </c>
      <c r="I973" s="589" t="s">
        <v>2756</v>
      </c>
      <c r="J973" s="589" t="s">
        <v>35</v>
      </c>
      <c r="K973" s="591">
        <v>582.00900000000001</v>
      </c>
      <c r="L973" s="592">
        <f>IF(J973="TND",1,IF(J973="EUR",Vertical_Cash_flow!$C$16,IF(J973="USD",Vertical_Cash_flow!$F$16,0)))</f>
        <v>1</v>
      </c>
      <c r="M973" s="593">
        <f t="shared" si="60"/>
        <v>582.00900000000001</v>
      </c>
      <c r="N973" s="589" t="s">
        <v>251</v>
      </c>
      <c r="O973" s="594">
        <v>45406</v>
      </c>
      <c r="P973" s="593">
        <f t="shared" si="61"/>
        <v>-90</v>
      </c>
      <c r="Q973" s="594">
        <v>45496</v>
      </c>
      <c r="R973" s="593">
        <f t="shared" ca="1" si="62"/>
        <v>-55</v>
      </c>
      <c r="S973" s="589" t="str">
        <f>VLOOKUP(Q973,Mapping!L:M,2,0)</f>
        <v>W30_2024</v>
      </c>
      <c r="T973" s="589" t="str">
        <f t="shared" ca="1" si="63"/>
        <v>Not Due</v>
      </c>
      <c r="W973" s="591"/>
    </row>
    <row r="974" spans="1:23" s="589" customFormat="1" x14ac:dyDescent="0.2">
      <c r="A974" s="589" t="s">
        <v>56</v>
      </c>
      <c r="B974" s="589" t="s">
        <v>481</v>
      </c>
      <c r="C974" s="590" t="s">
        <v>2426</v>
      </c>
      <c r="D974" s="589" t="s">
        <v>100</v>
      </c>
      <c r="E974" s="589" t="s">
        <v>104</v>
      </c>
      <c r="F974" s="589" t="s">
        <v>112</v>
      </c>
      <c r="G974" s="589" t="s">
        <v>51</v>
      </c>
      <c r="H974" s="589" t="s">
        <v>242</v>
      </c>
      <c r="I974" s="589" t="s">
        <v>2755</v>
      </c>
      <c r="J974" s="589" t="s">
        <v>35</v>
      </c>
      <c r="K974" s="591">
        <v>5400</v>
      </c>
      <c r="L974" s="592">
        <f>IF(J974="TND",1,IF(J974="EUR",Vertical_Cash_flow!$C$16,IF(J974="USD",Vertical_Cash_flow!$F$16,0)))</f>
        <v>1</v>
      </c>
      <c r="M974" s="593">
        <f t="shared" si="60"/>
        <v>5400</v>
      </c>
      <c r="N974" s="589" t="s">
        <v>251</v>
      </c>
      <c r="O974" s="594">
        <v>45383</v>
      </c>
      <c r="P974" s="593">
        <f t="shared" si="61"/>
        <v>-113</v>
      </c>
      <c r="Q974" s="594">
        <v>45496</v>
      </c>
      <c r="R974" s="593">
        <f t="shared" ca="1" si="62"/>
        <v>-55</v>
      </c>
      <c r="S974" s="589" t="str">
        <f>VLOOKUP(Q974,Mapping!L:M,2,0)</f>
        <v>W30_2024</v>
      </c>
      <c r="T974" s="589" t="str">
        <f t="shared" ca="1" si="63"/>
        <v>Not Due</v>
      </c>
      <c r="W974" s="591"/>
    </row>
    <row r="975" spans="1:23" s="589" customFormat="1" x14ac:dyDescent="0.2">
      <c r="A975" s="589" t="s">
        <v>56</v>
      </c>
      <c r="B975" s="589" t="s">
        <v>943</v>
      </c>
      <c r="C975" s="590" t="s">
        <v>2425</v>
      </c>
      <c r="D975" s="589" t="s">
        <v>100</v>
      </c>
      <c r="E975" s="589" t="s">
        <v>104</v>
      </c>
      <c r="F975" s="589" t="s">
        <v>112</v>
      </c>
      <c r="G975" s="589" t="s">
        <v>51</v>
      </c>
      <c r="H975" s="589" t="s">
        <v>242</v>
      </c>
      <c r="I975" s="589" t="s">
        <v>2754</v>
      </c>
      <c r="J975" s="589" t="s">
        <v>35</v>
      </c>
      <c r="K975" s="591">
        <v>2600</v>
      </c>
      <c r="L975" s="592">
        <f>IF(J975="TND",1,IF(J975="EUR",Vertical_Cash_flow!$C$16,IF(J975="USD",Vertical_Cash_flow!$F$16,0)))</f>
        <v>1</v>
      </c>
      <c r="M975" s="593">
        <f t="shared" si="60"/>
        <v>2600</v>
      </c>
      <c r="N975" s="589" t="s">
        <v>251</v>
      </c>
      <c r="O975" s="594">
        <v>45402</v>
      </c>
      <c r="P975" s="593">
        <f t="shared" si="61"/>
        <v>-94</v>
      </c>
      <c r="Q975" s="594">
        <v>45496</v>
      </c>
      <c r="R975" s="593">
        <f t="shared" ca="1" si="62"/>
        <v>-55</v>
      </c>
      <c r="S975" s="589" t="str">
        <f>VLOOKUP(Q975,Mapping!L:M,2,0)</f>
        <v>W30_2024</v>
      </c>
      <c r="T975" s="589" t="str">
        <f t="shared" ca="1" si="63"/>
        <v>Not Due</v>
      </c>
      <c r="W975" s="591"/>
    </row>
    <row r="976" spans="1:23" s="589" customFormat="1" x14ac:dyDescent="0.2">
      <c r="A976" s="589" t="s">
        <v>56</v>
      </c>
      <c r="B976" s="589" t="s">
        <v>491</v>
      </c>
      <c r="C976" s="590" t="s">
        <v>3141</v>
      </c>
      <c r="D976" s="589" t="s">
        <v>100</v>
      </c>
      <c r="E976" s="589" t="s">
        <v>104</v>
      </c>
      <c r="F976" s="589" t="s">
        <v>112</v>
      </c>
      <c r="G976" s="589" t="s">
        <v>51</v>
      </c>
      <c r="H976" s="589" t="s">
        <v>242</v>
      </c>
      <c r="I976" s="589" t="s">
        <v>3329</v>
      </c>
      <c r="J976" s="589" t="s">
        <v>35</v>
      </c>
      <c r="K976" s="591">
        <v>1500</v>
      </c>
      <c r="L976" s="592">
        <f>IF(J976="TND",1,IF(J976="EUR",Vertical_Cash_flow!$C$16,IF(J976="USD",Vertical_Cash_flow!$F$16,0)))</f>
        <v>1</v>
      </c>
      <c r="M976" s="593">
        <f t="shared" si="60"/>
        <v>1500</v>
      </c>
      <c r="N976" s="589" t="s">
        <v>251</v>
      </c>
      <c r="O976" s="594">
        <v>45420</v>
      </c>
      <c r="P976" s="593">
        <f t="shared" si="61"/>
        <v>-77</v>
      </c>
      <c r="Q976" s="594">
        <v>45497</v>
      </c>
      <c r="R976" s="593">
        <f t="shared" ca="1" si="62"/>
        <v>-56</v>
      </c>
      <c r="S976" s="589" t="str">
        <f>VLOOKUP(Q976,Mapping!L:M,2,0)</f>
        <v>W30_2024</v>
      </c>
      <c r="T976" s="589" t="str">
        <f t="shared" ca="1" si="63"/>
        <v>Not Due</v>
      </c>
      <c r="W976" s="591"/>
    </row>
    <row r="977" spans="1:23" s="589" customFormat="1" x14ac:dyDescent="0.2">
      <c r="A977" s="589" t="s">
        <v>56</v>
      </c>
      <c r="B977" s="589" t="s">
        <v>498</v>
      </c>
      <c r="C977" s="590" t="s">
        <v>1542</v>
      </c>
      <c r="D977" s="589" t="s">
        <v>100</v>
      </c>
      <c r="E977" s="589" t="s">
        <v>104</v>
      </c>
      <c r="F977" s="589" t="s">
        <v>112</v>
      </c>
      <c r="G977" s="589" t="s">
        <v>51</v>
      </c>
      <c r="H977" s="589" t="s">
        <v>242</v>
      </c>
      <c r="I977" s="589" t="s">
        <v>1950</v>
      </c>
      <c r="J977" s="589" t="s">
        <v>35</v>
      </c>
      <c r="K977" s="591">
        <v>7000</v>
      </c>
      <c r="L977" s="592">
        <f>IF(J977="TND",1,IF(J977="EUR",Vertical_Cash_flow!$C$16,IF(J977="USD",Vertical_Cash_flow!$F$16,0)))</f>
        <v>1</v>
      </c>
      <c r="M977" s="593">
        <f t="shared" si="60"/>
        <v>7000</v>
      </c>
      <c r="N977" s="589" t="s">
        <v>251</v>
      </c>
      <c r="O977" s="594">
        <v>45377</v>
      </c>
      <c r="P977" s="593">
        <f t="shared" si="61"/>
        <v>-120</v>
      </c>
      <c r="Q977" s="594">
        <v>45497</v>
      </c>
      <c r="R977" s="593">
        <f t="shared" ca="1" si="62"/>
        <v>-56</v>
      </c>
      <c r="S977" s="589" t="str">
        <f>VLOOKUP(Q977,Mapping!L:M,2,0)</f>
        <v>W30_2024</v>
      </c>
      <c r="T977" s="589" t="str">
        <f t="shared" ca="1" si="63"/>
        <v>Not Due</v>
      </c>
      <c r="W977" s="591"/>
    </row>
    <row r="978" spans="1:23" s="589" customFormat="1" x14ac:dyDescent="0.2">
      <c r="A978" s="589" t="s">
        <v>56</v>
      </c>
      <c r="B978" s="589" t="s">
        <v>504</v>
      </c>
      <c r="C978" s="590" t="s">
        <v>3516</v>
      </c>
      <c r="D978" s="589" t="s">
        <v>100</v>
      </c>
      <c r="E978" s="589" t="s">
        <v>104</v>
      </c>
      <c r="F978" s="589" t="s">
        <v>112</v>
      </c>
      <c r="G978" s="589" t="s">
        <v>51</v>
      </c>
      <c r="H978" s="589" t="s">
        <v>242</v>
      </c>
      <c r="I978" s="589" t="s">
        <v>3672</v>
      </c>
      <c r="J978" s="589" t="s">
        <v>35</v>
      </c>
      <c r="K978" s="591">
        <v>2209.0340000000001</v>
      </c>
      <c r="L978" s="592">
        <f>IF(J978="TND",1,IF(J978="EUR",Vertical_Cash_flow!$C$16,IF(J978="USD",Vertical_Cash_flow!$F$16,0)))</f>
        <v>1</v>
      </c>
      <c r="M978" s="593">
        <f t="shared" si="60"/>
        <v>2209.0340000000001</v>
      </c>
      <c r="N978" s="589" t="s">
        <v>251</v>
      </c>
      <c r="O978" s="594">
        <v>45426</v>
      </c>
      <c r="P978" s="593">
        <f t="shared" si="61"/>
        <v>-71</v>
      </c>
      <c r="Q978" s="594">
        <v>45497</v>
      </c>
      <c r="R978" s="593">
        <f t="shared" ca="1" si="62"/>
        <v>-56</v>
      </c>
      <c r="S978" s="589" t="str">
        <f>VLOOKUP(Q978,Mapping!L:M,2,0)</f>
        <v>W30_2024</v>
      </c>
      <c r="T978" s="589" t="str">
        <f t="shared" ca="1" si="63"/>
        <v>Not Due</v>
      </c>
      <c r="W978" s="591"/>
    </row>
    <row r="979" spans="1:23" s="589" customFormat="1" x14ac:dyDescent="0.2">
      <c r="A979" s="589" t="s">
        <v>56</v>
      </c>
      <c r="B979" s="589" t="s">
        <v>283</v>
      </c>
      <c r="C979" s="590" t="s">
        <v>3515</v>
      </c>
      <c r="D979" s="589" t="s">
        <v>100</v>
      </c>
      <c r="E979" s="589" t="s">
        <v>104</v>
      </c>
      <c r="F979" s="589" t="s">
        <v>112</v>
      </c>
      <c r="G979" s="589" t="s">
        <v>51</v>
      </c>
      <c r="H979" s="589" t="s">
        <v>242</v>
      </c>
      <c r="I979" s="589" t="s">
        <v>3671</v>
      </c>
      <c r="J979" s="589" t="s">
        <v>35</v>
      </c>
      <c r="K979" s="591">
        <v>2000</v>
      </c>
      <c r="L979" s="592">
        <f>IF(J979="TND",1,IF(J979="EUR",Vertical_Cash_flow!$C$16,IF(J979="USD",Vertical_Cash_flow!$F$16,0)))</f>
        <v>1</v>
      </c>
      <c r="M979" s="593">
        <f t="shared" si="60"/>
        <v>2000</v>
      </c>
      <c r="N979" s="589" t="s">
        <v>251</v>
      </c>
      <c r="O979" s="594">
        <v>45428</v>
      </c>
      <c r="P979" s="593">
        <f t="shared" si="61"/>
        <v>-69</v>
      </c>
      <c r="Q979" s="594">
        <v>45497</v>
      </c>
      <c r="R979" s="593">
        <f t="shared" ca="1" si="62"/>
        <v>-56</v>
      </c>
      <c r="S979" s="589" t="str">
        <f>VLOOKUP(Q979,Mapping!L:M,2,0)</f>
        <v>W30_2024</v>
      </c>
      <c r="T979" s="589" t="str">
        <f t="shared" ca="1" si="63"/>
        <v>Not Due</v>
      </c>
      <c r="W979" s="591"/>
    </row>
    <row r="980" spans="1:23" s="589" customFormat="1" x14ac:dyDescent="0.2">
      <c r="A980" s="589" t="s">
        <v>56</v>
      </c>
      <c r="B980" s="589" t="s">
        <v>527</v>
      </c>
      <c r="C980" s="590" t="s">
        <v>3514</v>
      </c>
      <c r="D980" s="589" t="s">
        <v>100</v>
      </c>
      <c r="E980" s="589" t="s">
        <v>104</v>
      </c>
      <c r="F980" s="589" t="s">
        <v>112</v>
      </c>
      <c r="G980" s="589" t="s">
        <v>51</v>
      </c>
      <c r="H980" s="589" t="s">
        <v>242</v>
      </c>
      <c r="I980" s="589" t="s">
        <v>1003</v>
      </c>
      <c r="J980" s="589" t="s">
        <v>35</v>
      </c>
      <c r="K980" s="591">
        <v>1958.2850000000001</v>
      </c>
      <c r="L980" s="592">
        <f>IF(J980="TND",1,IF(J980="EUR",Vertical_Cash_flow!$C$16,IF(J980="USD",Vertical_Cash_flow!$F$16,0)))</f>
        <v>1</v>
      </c>
      <c r="M980" s="593">
        <f t="shared" si="60"/>
        <v>1958.2850000000001</v>
      </c>
      <c r="N980" s="589" t="s">
        <v>251</v>
      </c>
      <c r="O980" s="594">
        <v>45423</v>
      </c>
      <c r="P980" s="593">
        <f t="shared" si="61"/>
        <v>-74</v>
      </c>
      <c r="Q980" s="594">
        <v>45497</v>
      </c>
      <c r="R980" s="593">
        <f t="shared" ca="1" si="62"/>
        <v>-56</v>
      </c>
      <c r="S980" s="589" t="str">
        <f>VLOOKUP(Q980,Mapping!L:M,2,0)</f>
        <v>W30_2024</v>
      </c>
      <c r="T980" s="589" t="str">
        <f t="shared" ca="1" si="63"/>
        <v>Not Due</v>
      </c>
      <c r="W980" s="591"/>
    </row>
    <row r="981" spans="1:23" s="589" customFormat="1" x14ac:dyDescent="0.2">
      <c r="A981" s="589" t="s">
        <v>56</v>
      </c>
      <c r="B981" s="589" t="s">
        <v>285</v>
      </c>
      <c r="C981" s="590" t="s">
        <v>2424</v>
      </c>
      <c r="D981" s="589" t="s">
        <v>100</v>
      </c>
      <c r="E981" s="589" t="s">
        <v>104</v>
      </c>
      <c r="F981" s="589" t="s">
        <v>112</v>
      </c>
      <c r="G981" s="589" t="s">
        <v>51</v>
      </c>
      <c r="H981" s="589" t="s">
        <v>242</v>
      </c>
      <c r="I981" s="589" t="s">
        <v>2753</v>
      </c>
      <c r="J981" s="589" t="s">
        <v>35</v>
      </c>
      <c r="K981" s="591">
        <v>1123.277</v>
      </c>
      <c r="L981" s="592">
        <f>IF(J981="TND",1,IF(J981="EUR",Vertical_Cash_flow!$C$16,IF(J981="USD",Vertical_Cash_flow!$F$16,0)))</f>
        <v>1</v>
      </c>
      <c r="M981" s="593">
        <f t="shared" ref="M981:M1044" si="64">K981/L981</f>
        <v>1123.277</v>
      </c>
      <c r="N981" s="589" t="s">
        <v>251</v>
      </c>
      <c r="O981" s="594">
        <v>45387</v>
      </c>
      <c r="P981" s="593">
        <f t="shared" ref="P981:P1044" si="65">O981-Q981</f>
        <v>-111</v>
      </c>
      <c r="Q981" s="594">
        <v>45498</v>
      </c>
      <c r="R981" s="593">
        <f t="shared" ref="R981:R1044" ca="1" si="66">$W$1-Q981</f>
        <v>-57</v>
      </c>
      <c r="S981" s="589" t="str">
        <f>VLOOKUP(Q981,Mapping!L:M,2,0)</f>
        <v>W30_2024</v>
      </c>
      <c r="T981" s="589" t="str">
        <f t="shared" ref="T981:T1044" ca="1" si="67">IF(R981="","",IF(R981&lt;0,"Not Due",IF(AND(R981&gt;=0,R981&lt;=30),"up to 30 days",IF(AND(R981&gt;30,R981&lt;=60),"30-60 days",IF(AND(R981&gt;60,R981&lt;=90),"60-90 days",IF(AND(R981&gt;90,R981&lt;=120),"90-120 days",IF(AND(R981&gt;120,R981&lt;=180),"120-180 days",IF(AND(R981&gt;180,R981&lt;=360),"180-360 days",IF(R981&gt;360,"more than 360 days","ok")))))))))</f>
        <v>Not Due</v>
      </c>
      <c r="W981" s="591"/>
    </row>
    <row r="982" spans="1:23" s="589" customFormat="1" x14ac:dyDescent="0.2">
      <c r="A982" s="589" t="s">
        <v>56</v>
      </c>
      <c r="B982" s="589" t="s">
        <v>360</v>
      </c>
      <c r="C982" s="590" t="s">
        <v>2423</v>
      </c>
      <c r="D982" s="589" t="s">
        <v>100</v>
      </c>
      <c r="E982" s="589" t="s">
        <v>104</v>
      </c>
      <c r="F982" s="589" t="s">
        <v>112</v>
      </c>
      <c r="G982" s="589" t="s">
        <v>51</v>
      </c>
      <c r="H982" s="589" t="s">
        <v>242</v>
      </c>
      <c r="I982" s="589" t="s">
        <v>2752</v>
      </c>
      <c r="J982" s="589" t="s">
        <v>35</v>
      </c>
      <c r="K982" s="591">
        <v>3010.7289999999998</v>
      </c>
      <c r="L982" s="592">
        <f>IF(J982="TND",1,IF(J982="EUR",Vertical_Cash_flow!$C$16,IF(J982="USD",Vertical_Cash_flow!$F$16,0)))</f>
        <v>1</v>
      </c>
      <c r="M982" s="593">
        <f t="shared" si="64"/>
        <v>3010.7289999999998</v>
      </c>
      <c r="N982" s="589" t="s">
        <v>251</v>
      </c>
      <c r="O982" s="594">
        <v>45387</v>
      </c>
      <c r="P982" s="593">
        <f t="shared" si="65"/>
        <v>-111</v>
      </c>
      <c r="Q982" s="594">
        <v>45498</v>
      </c>
      <c r="R982" s="593">
        <f t="shared" ca="1" si="66"/>
        <v>-57</v>
      </c>
      <c r="S982" s="589" t="str">
        <f>VLOOKUP(Q982,Mapping!L:M,2,0)</f>
        <v>W30_2024</v>
      </c>
      <c r="T982" s="589" t="str">
        <f t="shared" ca="1" si="67"/>
        <v>Not Due</v>
      </c>
      <c r="W982" s="591"/>
    </row>
    <row r="983" spans="1:23" s="589" customFormat="1" x14ac:dyDescent="0.2">
      <c r="A983" s="589" t="s">
        <v>56</v>
      </c>
      <c r="B983" s="589" t="s">
        <v>758</v>
      </c>
      <c r="C983" s="590" t="s">
        <v>2421</v>
      </c>
      <c r="D983" s="589" t="s">
        <v>100</v>
      </c>
      <c r="E983" s="589" t="s">
        <v>104</v>
      </c>
      <c r="F983" s="589" t="s">
        <v>112</v>
      </c>
      <c r="G983" s="589" t="s">
        <v>51</v>
      </c>
      <c r="H983" s="589" t="s">
        <v>242</v>
      </c>
      <c r="I983" s="589" t="s">
        <v>2750</v>
      </c>
      <c r="J983" s="589" t="s">
        <v>35</v>
      </c>
      <c r="K983" s="591">
        <v>2232.1</v>
      </c>
      <c r="L983" s="592">
        <f>IF(J983="TND",1,IF(J983="EUR",Vertical_Cash_flow!$C$16,IF(J983="USD",Vertical_Cash_flow!$F$16,0)))</f>
        <v>1</v>
      </c>
      <c r="M983" s="593">
        <f t="shared" si="64"/>
        <v>2232.1</v>
      </c>
      <c r="N983" s="589" t="s">
        <v>251</v>
      </c>
      <c r="O983" s="594">
        <v>45408</v>
      </c>
      <c r="P983" s="593">
        <f t="shared" si="65"/>
        <v>-90</v>
      </c>
      <c r="Q983" s="594">
        <v>45498</v>
      </c>
      <c r="R983" s="593">
        <f t="shared" ca="1" si="66"/>
        <v>-57</v>
      </c>
      <c r="S983" s="589" t="str">
        <f>VLOOKUP(Q983,Mapping!L:M,2,0)</f>
        <v>W30_2024</v>
      </c>
      <c r="T983" s="589" t="str">
        <f t="shared" ca="1" si="67"/>
        <v>Not Due</v>
      </c>
      <c r="W983" s="591"/>
    </row>
    <row r="984" spans="1:23" s="589" customFormat="1" x14ac:dyDescent="0.2">
      <c r="A984" s="589" t="s">
        <v>56</v>
      </c>
      <c r="B984" s="589" t="s">
        <v>611</v>
      </c>
      <c r="C984" s="590" t="s">
        <v>2422</v>
      </c>
      <c r="D984" s="589" t="s">
        <v>100</v>
      </c>
      <c r="E984" s="589" t="s">
        <v>104</v>
      </c>
      <c r="F984" s="589" t="s">
        <v>112</v>
      </c>
      <c r="G984" s="589" t="s">
        <v>51</v>
      </c>
      <c r="H984" s="589" t="s">
        <v>242</v>
      </c>
      <c r="I984" s="589" t="s">
        <v>2751</v>
      </c>
      <c r="J984" s="589" t="s">
        <v>35</v>
      </c>
      <c r="K984" s="591">
        <v>741.93399999999997</v>
      </c>
      <c r="L984" s="592">
        <f>IF(J984="TND",1,IF(J984="EUR",Vertical_Cash_flow!$C$16,IF(J984="USD",Vertical_Cash_flow!$F$16,0)))</f>
        <v>1</v>
      </c>
      <c r="M984" s="593">
        <f t="shared" si="64"/>
        <v>741.93399999999997</v>
      </c>
      <c r="N984" s="589" t="s">
        <v>251</v>
      </c>
      <c r="O984" s="594">
        <v>45408</v>
      </c>
      <c r="P984" s="593">
        <f t="shared" si="65"/>
        <v>-90</v>
      </c>
      <c r="Q984" s="594">
        <v>45498</v>
      </c>
      <c r="R984" s="593">
        <f t="shared" ca="1" si="66"/>
        <v>-57</v>
      </c>
      <c r="S984" s="589" t="str">
        <f>VLOOKUP(Q984,Mapping!L:M,2,0)</f>
        <v>W30_2024</v>
      </c>
      <c r="T984" s="589" t="str">
        <f t="shared" ca="1" si="67"/>
        <v>Not Due</v>
      </c>
      <c r="W984" s="591"/>
    </row>
    <row r="985" spans="1:23" s="589" customFormat="1" x14ac:dyDescent="0.2">
      <c r="A985" s="589" t="s">
        <v>56</v>
      </c>
      <c r="B985" s="589" t="s">
        <v>892</v>
      </c>
      <c r="C985" s="590" t="s">
        <v>2420</v>
      </c>
      <c r="D985" s="589" t="s">
        <v>100</v>
      </c>
      <c r="E985" s="589" t="s">
        <v>104</v>
      </c>
      <c r="F985" s="589" t="s">
        <v>112</v>
      </c>
      <c r="G985" s="589" t="s">
        <v>51</v>
      </c>
      <c r="H985" s="589" t="s">
        <v>242</v>
      </c>
      <c r="I985" s="589" t="s">
        <v>2749</v>
      </c>
      <c r="J985" s="589" t="s">
        <v>35</v>
      </c>
      <c r="K985" s="591">
        <v>2500</v>
      </c>
      <c r="L985" s="592">
        <f>IF(J985="TND",1,IF(J985="EUR",Vertical_Cash_flow!$C$16,IF(J985="USD",Vertical_Cash_flow!$F$16,0)))</f>
        <v>1</v>
      </c>
      <c r="M985" s="593">
        <f t="shared" si="64"/>
        <v>2500</v>
      </c>
      <c r="N985" s="589" t="s">
        <v>251</v>
      </c>
      <c r="O985" s="594">
        <v>45408</v>
      </c>
      <c r="P985" s="593">
        <f t="shared" si="65"/>
        <v>-90</v>
      </c>
      <c r="Q985" s="594">
        <v>45498</v>
      </c>
      <c r="R985" s="593">
        <f t="shared" ca="1" si="66"/>
        <v>-57</v>
      </c>
      <c r="S985" s="589" t="str">
        <f>VLOOKUP(Q985,Mapping!L:M,2,0)</f>
        <v>W30_2024</v>
      </c>
      <c r="T985" s="589" t="str">
        <f t="shared" ca="1" si="67"/>
        <v>Not Due</v>
      </c>
      <c r="W985" s="591"/>
    </row>
    <row r="986" spans="1:23" s="589" customFormat="1" x14ac:dyDescent="0.2">
      <c r="A986" s="589" t="s">
        <v>56</v>
      </c>
      <c r="B986" s="589" t="s">
        <v>358</v>
      </c>
      <c r="C986" s="590" t="s">
        <v>3140</v>
      </c>
      <c r="D986" s="589" t="s">
        <v>100</v>
      </c>
      <c r="E986" s="589" t="s">
        <v>104</v>
      </c>
      <c r="F986" s="589" t="s">
        <v>112</v>
      </c>
      <c r="G986" s="589" t="s">
        <v>51</v>
      </c>
      <c r="H986" s="589" t="s">
        <v>242</v>
      </c>
      <c r="I986" s="589" t="s">
        <v>3303</v>
      </c>
      <c r="J986" s="589" t="s">
        <v>35</v>
      </c>
      <c r="K986" s="591">
        <v>1813.1079999999999</v>
      </c>
      <c r="L986" s="592">
        <f>IF(J986="TND",1,IF(J986="EUR",Vertical_Cash_flow!$C$16,IF(J986="USD",Vertical_Cash_flow!$F$16,0)))</f>
        <v>1</v>
      </c>
      <c r="M986" s="593">
        <f t="shared" si="64"/>
        <v>1813.1079999999999</v>
      </c>
      <c r="N986" s="589" t="s">
        <v>251</v>
      </c>
      <c r="O986" s="594">
        <v>45412</v>
      </c>
      <c r="P986" s="593">
        <f t="shared" si="65"/>
        <v>-86</v>
      </c>
      <c r="Q986" s="594">
        <v>45498</v>
      </c>
      <c r="R986" s="593">
        <f t="shared" ca="1" si="66"/>
        <v>-57</v>
      </c>
      <c r="S986" s="589" t="str">
        <f>VLOOKUP(Q986,Mapping!L:M,2,0)</f>
        <v>W30_2024</v>
      </c>
      <c r="T986" s="589" t="str">
        <f t="shared" ca="1" si="67"/>
        <v>Not Due</v>
      </c>
      <c r="W986" s="591"/>
    </row>
    <row r="987" spans="1:23" s="589" customFormat="1" x14ac:dyDescent="0.2">
      <c r="A987" s="589" t="s">
        <v>56</v>
      </c>
      <c r="B987" s="589" t="s">
        <v>288</v>
      </c>
      <c r="C987" s="590" t="s">
        <v>3139</v>
      </c>
      <c r="D987" s="589" t="s">
        <v>100</v>
      </c>
      <c r="E987" s="589" t="s">
        <v>104</v>
      </c>
      <c r="F987" s="589" t="s">
        <v>112</v>
      </c>
      <c r="G987" s="589" t="s">
        <v>51</v>
      </c>
      <c r="H987" s="589" t="s">
        <v>242</v>
      </c>
      <c r="I987" s="589" t="s">
        <v>3328</v>
      </c>
      <c r="J987" s="589" t="s">
        <v>35</v>
      </c>
      <c r="K987" s="591">
        <v>724.08900000000006</v>
      </c>
      <c r="L987" s="592">
        <f>IF(J987="TND",1,IF(J987="EUR",Vertical_Cash_flow!$C$16,IF(J987="USD",Vertical_Cash_flow!$F$16,0)))</f>
        <v>1</v>
      </c>
      <c r="M987" s="593">
        <f t="shared" si="64"/>
        <v>724.08900000000006</v>
      </c>
      <c r="N987" s="589" t="s">
        <v>251</v>
      </c>
      <c r="O987" s="594">
        <v>45414</v>
      </c>
      <c r="P987" s="593">
        <f t="shared" si="65"/>
        <v>-84</v>
      </c>
      <c r="Q987" s="594">
        <v>45498</v>
      </c>
      <c r="R987" s="593">
        <f t="shared" ca="1" si="66"/>
        <v>-57</v>
      </c>
      <c r="S987" s="589" t="str">
        <f>VLOOKUP(Q987,Mapping!L:M,2,0)</f>
        <v>W30_2024</v>
      </c>
      <c r="T987" s="589" t="str">
        <f t="shared" ca="1" si="67"/>
        <v>Not Due</v>
      </c>
      <c r="W987" s="591"/>
    </row>
    <row r="988" spans="1:23" s="589" customFormat="1" x14ac:dyDescent="0.2">
      <c r="A988" s="589" t="s">
        <v>56</v>
      </c>
      <c r="B988" s="589" t="s">
        <v>398</v>
      </c>
      <c r="C988" s="590" t="s">
        <v>2418</v>
      </c>
      <c r="D988" s="589" t="s">
        <v>100</v>
      </c>
      <c r="E988" s="589" t="s">
        <v>104</v>
      </c>
      <c r="F988" s="589" t="s">
        <v>112</v>
      </c>
      <c r="G988" s="589" t="s">
        <v>51</v>
      </c>
      <c r="H988" s="589" t="s">
        <v>242</v>
      </c>
      <c r="I988" s="589" t="s">
        <v>2747</v>
      </c>
      <c r="J988" s="589" t="s">
        <v>35</v>
      </c>
      <c r="K988" s="591">
        <v>3000</v>
      </c>
      <c r="L988" s="592">
        <f>IF(J988="TND",1,IF(J988="EUR",Vertical_Cash_flow!$C$16,IF(J988="USD",Vertical_Cash_flow!$F$16,0)))</f>
        <v>1</v>
      </c>
      <c r="M988" s="593">
        <f t="shared" si="64"/>
        <v>3000</v>
      </c>
      <c r="N988" s="589" t="s">
        <v>251</v>
      </c>
      <c r="O988" s="594">
        <v>45401</v>
      </c>
      <c r="P988" s="593">
        <f t="shared" si="65"/>
        <v>-97</v>
      </c>
      <c r="Q988" s="594">
        <v>45498</v>
      </c>
      <c r="R988" s="593">
        <f t="shared" ca="1" si="66"/>
        <v>-57</v>
      </c>
      <c r="S988" s="589" t="str">
        <f>VLOOKUP(Q988,Mapping!L:M,2,0)</f>
        <v>W30_2024</v>
      </c>
      <c r="T988" s="589" t="str">
        <f t="shared" ca="1" si="67"/>
        <v>Not Due</v>
      </c>
      <c r="W988" s="591"/>
    </row>
    <row r="989" spans="1:23" s="589" customFormat="1" x14ac:dyDescent="0.2">
      <c r="A989" s="589" t="s">
        <v>56</v>
      </c>
      <c r="B989" s="589" t="s">
        <v>808</v>
      </c>
      <c r="C989" s="590" t="s">
        <v>2419</v>
      </c>
      <c r="D989" s="589" t="s">
        <v>100</v>
      </c>
      <c r="E989" s="589" t="s">
        <v>104</v>
      </c>
      <c r="F989" s="589" t="s">
        <v>112</v>
      </c>
      <c r="G989" s="589" t="s">
        <v>51</v>
      </c>
      <c r="H989" s="589" t="s">
        <v>242</v>
      </c>
      <c r="I989" s="589" t="s">
        <v>2748</v>
      </c>
      <c r="J989" s="589" t="s">
        <v>35</v>
      </c>
      <c r="K989" s="591">
        <v>2600</v>
      </c>
      <c r="L989" s="592">
        <f>IF(J989="TND",1,IF(J989="EUR",Vertical_Cash_flow!$C$16,IF(J989="USD",Vertical_Cash_flow!$F$16,0)))</f>
        <v>1</v>
      </c>
      <c r="M989" s="593">
        <f t="shared" si="64"/>
        <v>2600</v>
      </c>
      <c r="N989" s="589" t="s">
        <v>251</v>
      </c>
      <c r="O989" s="594">
        <v>45400</v>
      </c>
      <c r="P989" s="593">
        <f t="shared" si="65"/>
        <v>-98</v>
      </c>
      <c r="Q989" s="594">
        <v>45498</v>
      </c>
      <c r="R989" s="593">
        <f t="shared" ca="1" si="66"/>
        <v>-57</v>
      </c>
      <c r="S989" s="589" t="str">
        <f>VLOOKUP(Q989,Mapping!L:M,2,0)</f>
        <v>W30_2024</v>
      </c>
      <c r="T989" s="589" t="str">
        <f t="shared" ca="1" si="67"/>
        <v>Not Due</v>
      </c>
      <c r="W989" s="591"/>
    </row>
    <row r="990" spans="1:23" s="589" customFormat="1" x14ac:dyDescent="0.2">
      <c r="A990" s="589" t="s">
        <v>56</v>
      </c>
      <c r="B990" s="589" t="s">
        <v>344</v>
      </c>
      <c r="C990" s="590" t="s">
        <v>3513</v>
      </c>
      <c r="D990" s="589" t="s">
        <v>100</v>
      </c>
      <c r="E990" s="589" t="s">
        <v>104</v>
      </c>
      <c r="F990" s="589" t="s">
        <v>112</v>
      </c>
      <c r="G990" s="589" t="s">
        <v>51</v>
      </c>
      <c r="H990" s="589" t="s">
        <v>242</v>
      </c>
      <c r="I990" s="589" t="s">
        <v>3670</v>
      </c>
      <c r="J990" s="589" t="s">
        <v>35</v>
      </c>
      <c r="K990" s="591">
        <v>1500</v>
      </c>
      <c r="L990" s="592">
        <f>IF(J990="TND",1,IF(J990="EUR",Vertical_Cash_flow!$C$16,IF(J990="USD",Vertical_Cash_flow!$F$16,0)))</f>
        <v>1</v>
      </c>
      <c r="M990" s="593">
        <f t="shared" si="64"/>
        <v>1500</v>
      </c>
      <c r="N990" s="589" t="s">
        <v>251</v>
      </c>
      <c r="O990" s="594">
        <v>45423</v>
      </c>
      <c r="P990" s="593">
        <f t="shared" si="65"/>
        <v>-75</v>
      </c>
      <c r="Q990" s="594">
        <v>45498</v>
      </c>
      <c r="R990" s="593">
        <f t="shared" ca="1" si="66"/>
        <v>-57</v>
      </c>
      <c r="S990" s="589" t="str">
        <f>VLOOKUP(Q990,Mapping!L:M,2,0)</f>
        <v>W30_2024</v>
      </c>
      <c r="T990" s="589" t="str">
        <f t="shared" ca="1" si="67"/>
        <v>Not Due</v>
      </c>
      <c r="W990" s="591"/>
    </row>
    <row r="991" spans="1:23" s="589" customFormat="1" x14ac:dyDescent="0.2">
      <c r="A991" s="589" t="s">
        <v>56</v>
      </c>
      <c r="B991" s="589" t="s">
        <v>386</v>
      </c>
      <c r="C991" s="590" t="s">
        <v>1541</v>
      </c>
      <c r="D991" s="589" t="s">
        <v>100</v>
      </c>
      <c r="E991" s="589" t="s">
        <v>104</v>
      </c>
      <c r="F991" s="589" t="s">
        <v>112</v>
      </c>
      <c r="G991" s="589" t="s">
        <v>51</v>
      </c>
      <c r="H991" s="589" t="s">
        <v>242</v>
      </c>
      <c r="I991" s="589" t="s">
        <v>1949</v>
      </c>
      <c r="J991" s="589" t="s">
        <v>35</v>
      </c>
      <c r="K991" s="591">
        <v>3267.1239999999998</v>
      </c>
      <c r="L991" s="592">
        <f>IF(J991="TND",1,IF(J991="EUR",Vertical_Cash_flow!$C$16,IF(J991="USD",Vertical_Cash_flow!$F$16,0)))</f>
        <v>1</v>
      </c>
      <c r="M991" s="593">
        <f t="shared" si="64"/>
        <v>3267.1239999999998</v>
      </c>
      <c r="N991" s="589" t="s">
        <v>251</v>
      </c>
      <c r="O991" s="594">
        <v>45373</v>
      </c>
      <c r="P991" s="593">
        <f t="shared" si="65"/>
        <v>-125</v>
      </c>
      <c r="Q991" s="594">
        <v>45498</v>
      </c>
      <c r="R991" s="593">
        <f t="shared" ca="1" si="66"/>
        <v>-57</v>
      </c>
      <c r="S991" s="589" t="str">
        <f>VLOOKUP(Q991,Mapping!L:M,2,0)</f>
        <v>W30_2024</v>
      </c>
      <c r="T991" s="589" t="str">
        <f t="shared" ca="1" si="67"/>
        <v>Not Due</v>
      </c>
      <c r="W991" s="591"/>
    </row>
    <row r="992" spans="1:23" s="589" customFormat="1" x14ac:dyDescent="0.2">
      <c r="A992" s="589" t="s">
        <v>56</v>
      </c>
      <c r="B992" s="589" t="s">
        <v>388</v>
      </c>
      <c r="C992" s="590" t="s">
        <v>3138</v>
      </c>
      <c r="D992" s="589" t="s">
        <v>100</v>
      </c>
      <c r="E992" s="589" t="s">
        <v>104</v>
      </c>
      <c r="F992" s="589" t="s">
        <v>112</v>
      </c>
      <c r="G992" s="589" t="s">
        <v>51</v>
      </c>
      <c r="H992" s="589" t="s">
        <v>242</v>
      </c>
      <c r="I992" s="589" t="s">
        <v>3327</v>
      </c>
      <c r="J992" s="589" t="s">
        <v>35</v>
      </c>
      <c r="K992" s="591">
        <v>5302</v>
      </c>
      <c r="L992" s="592">
        <f>IF(J992="TND",1,IF(J992="EUR",Vertical_Cash_flow!$C$16,IF(J992="USD",Vertical_Cash_flow!$F$16,0)))</f>
        <v>1</v>
      </c>
      <c r="M992" s="593">
        <f t="shared" si="64"/>
        <v>5302</v>
      </c>
      <c r="N992" s="589" t="s">
        <v>251</v>
      </c>
      <c r="O992" s="594">
        <v>45412</v>
      </c>
      <c r="P992" s="593">
        <f t="shared" si="65"/>
        <v>-86</v>
      </c>
      <c r="Q992" s="594">
        <v>45498</v>
      </c>
      <c r="R992" s="593">
        <f t="shared" ca="1" si="66"/>
        <v>-57</v>
      </c>
      <c r="S992" s="589" t="str">
        <f>VLOOKUP(Q992,Mapping!L:M,2,0)</f>
        <v>W30_2024</v>
      </c>
      <c r="T992" s="589" t="str">
        <f t="shared" ca="1" si="67"/>
        <v>Not Due</v>
      </c>
      <c r="W992" s="591"/>
    </row>
    <row r="993" spans="1:23" s="589" customFormat="1" x14ac:dyDescent="0.2">
      <c r="A993" s="589" t="s">
        <v>56</v>
      </c>
      <c r="B993" s="589" t="s">
        <v>387</v>
      </c>
      <c r="C993" s="590" t="s">
        <v>1540</v>
      </c>
      <c r="D993" s="589" t="s">
        <v>100</v>
      </c>
      <c r="E993" s="589" t="s">
        <v>104</v>
      </c>
      <c r="F993" s="589" t="s">
        <v>112</v>
      </c>
      <c r="G993" s="589" t="s">
        <v>51</v>
      </c>
      <c r="H993" s="589" t="s">
        <v>242</v>
      </c>
      <c r="I993" s="589" t="s">
        <v>999</v>
      </c>
      <c r="J993" s="589" t="s">
        <v>35</v>
      </c>
      <c r="K993" s="591">
        <v>1301.9749999999999</v>
      </c>
      <c r="L993" s="592">
        <f>IF(J993="TND",1,IF(J993="EUR",Vertical_Cash_flow!$C$16,IF(J993="USD",Vertical_Cash_flow!$F$16,0)))</f>
        <v>1</v>
      </c>
      <c r="M993" s="593">
        <f t="shared" si="64"/>
        <v>1301.9749999999999</v>
      </c>
      <c r="N993" s="589" t="s">
        <v>251</v>
      </c>
      <c r="O993" s="594">
        <v>45378</v>
      </c>
      <c r="P993" s="593">
        <f t="shared" si="65"/>
        <v>-120</v>
      </c>
      <c r="Q993" s="594">
        <v>45498</v>
      </c>
      <c r="R993" s="593">
        <f t="shared" ca="1" si="66"/>
        <v>-57</v>
      </c>
      <c r="S993" s="589" t="str">
        <f>VLOOKUP(Q993,Mapping!L:M,2,0)</f>
        <v>W30_2024</v>
      </c>
      <c r="T993" s="589" t="str">
        <f t="shared" ca="1" si="67"/>
        <v>Not Due</v>
      </c>
      <c r="W993" s="591"/>
    </row>
    <row r="994" spans="1:23" s="589" customFormat="1" x14ac:dyDescent="0.2">
      <c r="A994" s="589" t="s">
        <v>56</v>
      </c>
      <c r="B994" s="589" t="s">
        <v>482</v>
      </c>
      <c r="C994" s="590" t="s">
        <v>1539</v>
      </c>
      <c r="D994" s="589" t="s">
        <v>100</v>
      </c>
      <c r="E994" s="589" t="s">
        <v>104</v>
      </c>
      <c r="F994" s="589" t="s">
        <v>112</v>
      </c>
      <c r="G994" s="589" t="s">
        <v>51</v>
      </c>
      <c r="H994" s="589" t="s">
        <v>242</v>
      </c>
      <c r="I994" s="589" t="s">
        <v>1948</v>
      </c>
      <c r="J994" s="589" t="s">
        <v>35</v>
      </c>
      <c r="K994" s="591">
        <v>1250</v>
      </c>
      <c r="L994" s="592">
        <f>IF(J994="TND",1,IF(J994="EUR",Vertical_Cash_flow!$C$16,IF(J994="USD",Vertical_Cash_flow!$F$16,0)))</f>
        <v>1</v>
      </c>
      <c r="M994" s="593">
        <f t="shared" si="64"/>
        <v>1250</v>
      </c>
      <c r="N994" s="589" t="s">
        <v>251</v>
      </c>
      <c r="O994" s="594">
        <v>45379</v>
      </c>
      <c r="P994" s="593">
        <f t="shared" si="65"/>
        <v>-119</v>
      </c>
      <c r="Q994" s="594">
        <v>45498</v>
      </c>
      <c r="R994" s="593">
        <f t="shared" ca="1" si="66"/>
        <v>-57</v>
      </c>
      <c r="S994" s="589" t="str">
        <f>VLOOKUP(Q994,Mapping!L:M,2,0)</f>
        <v>W30_2024</v>
      </c>
      <c r="T994" s="589" t="str">
        <f t="shared" ca="1" si="67"/>
        <v>Not Due</v>
      </c>
      <c r="W994" s="591"/>
    </row>
    <row r="995" spans="1:23" s="589" customFormat="1" x14ac:dyDescent="0.2">
      <c r="A995" s="589" t="s">
        <v>56</v>
      </c>
      <c r="B995" s="589" t="s">
        <v>482</v>
      </c>
      <c r="C995" s="590" t="s">
        <v>1538</v>
      </c>
      <c r="D995" s="589" t="s">
        <v>100</v>
      </c>
      <c r="E995" s="589" t="s">
        <v>104</v>
      </c>
      <c r="F995" s="589" t="s">
        <v>112</v>
      </c>
      <c r="G995" s="589" t="s">
        <v>51</v>
      </c>
      <c r="H995" s="589" t="s">
        <v>242</v>
      </c>
      <c r="I995" s="589" t="s">
        <v>1947</v>
      </c>
      <c r="J995" s="589" t="s">
        <v>35</v>
      </c>
      <c r="K995" s="591">
        <v>1255.8040000000001</v>
      </c>
      <c r="L995" s="592">
        <f>IF(J995="TND",1,IF(J995="EUR",Vertical_Cash_flow!$C$16,IF(J995="USD",Vertical_Cash_flow!$F$16,0)))</f>
        <v>1</v>
      </c>
      <c r="M995" s="593">
        <f t="shared" si="64"/>
        <v>1255.8040000000001</v>
      </c>
      <c r="N995" s="589" t="s">
        <v>251</v>
      </c>
      <c r="O995" s="594">
        <v>45379</v>
      </c>
      <c r="P995" s="593">
        <f t="shared" si="65"/>
        <v>-119</v>
      </c>
      <c r="Q995" s="594">
        <v>45498</v>
      </c>
      <c r="R995" s="593">
        <f t="shared" ca="1" si="66"/>
        <v>-57</v>
      </c>
      <c r="S995" s="589" t="str">
        <f>VLOOKUP(Q995,Mapping!L:M,2,0)</f>
        <v>W30_2024</v>
      </c>
      <c r="T995" s="589" t="str">
        <f t="shared" ca="1" si="67"/>
        <v>Not Due</v>
      </c>
      <c r="W995" s="591"/>
    </row>
    <row r="996" spans="1:23" s="589" customFormat="1" x14ac:dyDescent="0.2">
      <c r="A996" s="589" t="s">
        <v>56</v>
      </c>
      <c r="B996" s="589" t="s">
        <v>566</v>
      </c>
      <c r="C996" s="590" t="s">
        <v>3137</v>
      </c>
      <c r="D996" s="589" t="s">
        <v>100</v>
      </c>
      <c r="E996" s="589" t="s">
        <v>104</v>
      </c>
      <c r="F996" s="589" t="s">
        <v>112</v>
      </c>
      <c r="G996" s="589" t="s">
        <v>51</v>
      </c>
      <c r="H996" s="589" t="s">
        <v>242</v>
      </c>
      <c r="I996" s="589" t="s">
        <v>3326</v>
      </c>
      <c r="J996" s="589" t="s">
        <v>35</v>
      </c>
      <c r="K996" s="591">
        <v>2119.9209999999998</v>
      </c>
      <c r="L996" s="592">
        <f>IF(J996="TND",1,IF(J996="EUR",Vertical_Cash_flow!$C$16,IF(J996="USD",Vertical_Cash_flow!$F$16,0)))</f>
        <v>1</v>
      </c>
      <c r="M996" s="593">
        <f t="shared" si="64"/>
        <v>2119.9209999999998</v>
      </c>
      <c r="N996" s="589" t="s">
        <v>251</v>
      </c>
      <c r="O996" s="594">
        <v>45420</v>
      </c>
      <c r="P996" s="593">
        <f t="shared" si="65"/>
        <v>-79</v>
      </c>
      <c r="Q996" s="594">
        <v>45499</v>
      </c>
      <c r="R996" s="593">
        <f t="shared" ca="1" si="66"/>
        <v>-58</v>
      </c>
      <c r="S996" s="589" t="str">
        <f>VLOOKUP(Q996,Mapping!L:M,2,0)</f>
        <v>W30_2024</v>
      </c>
      <c r="T996" s="589" t="str">
        <f t="shared" ca="1" si="67"/>
        <v>Not Due</v>
      </c>
      <c r="W996" s="591"/>
    </row>
    <row r="997" spans="1:23" s="589" customFormat="1" x14ac:dyDescent="0.2">
      <c r="A997" s="589" t="s">
        <v>56</v>
      </c>
      <c r="B997" s="589" t="s">
        <v>1242</v>
      </c>
      <c r="C997" s="590" t="s">
        <v>2417</v>
      </c>
      <c r="D997" s="589" t="s">
        <v>100</v>
      </c>
      <c r="E997" s="589" t="s">
        <v>104</v>
      </c>
      <c r="F997" s="589" t="s">
        <v>112</v>
      </c>
      <c r="G997" s="589" t="s">
        <v>51</v>
      </c>
      <c r="H997" s="589" t="s">
        <v>242</v>
      </c>
      <c r="I997" s="589" t="s">
        <v>2746</v>
      </c>
      <c r="J997" s="589" t="s">
        <v>35</v>
      </c>
      <c r="K997" s="591">
        <v>5000</v>
      </c>
      <c r="L997" s="592">
        <f>IF(J997="TND",1,IF(J997="EUR",Vertical_Cash_flow!$C$16,IF(J997="USD",Vertical_Cash_flow!$F$16,0)))</f>
        <v>1</v>
      </c>
      <c r="M997" s="593">
        <f t="shared" si="64"/>
        <v>5000</v>
      </c>
      <c r="N997" s="589" t="s">
        <v>251</v>
      </c>
      <c r="O997" s="594">
        <v>45402</v>
      </c>
      <c r="P997" s="593">
        <f t="shared" si="65"/>
        <v>-97</v>
      </c>
      <c r="Q997" s="594">
        <v>45499</v>
      </c>
      <c r="R997" s="593">
        <f t="shared" ca="1" si="66"/>
        <v>-58</v>
      </c>
      <c r="S997" s="589" t="str">
        <f>VLOOKUP(Q997,Mapping!L:M,2,0)</f>
        <v>W30_2024</v>
      </c>
      <c r="T997" s="589" t="str">
        <f t="shared" ca="1" si="67"/>
        <v>Not Due</v>
      </c>
      <c r="W997" s="591"/>
    </row>
    <row r="998" spans="1:23" s="589" customFormat="1" x14ac:dyDescent="0.2">
      <c r="A998" s="589" t="s">
        <v>56</v>
      </c>
      <c r="B998" s="589" t="s">
        <v>288</v>
      </c>
      <c r="C998" s="590" t="s">
        <v>1537</v>
      </c>
      <c r="D998" s="589" t="s">
        <v>100</v>
      </c>
      <c r="E998" s="589" t="s">
        <v>104</v>
      </c>
      <c r="F998" s="589" t="s">
        <v>112</v>
      </c>
      <c r="G998" s="589" t="s">
        <v>51</v>
      </c>
      <c r="H998" s="589" t="s">
        <v>242</v>
      </c>
      <c r="I998" s="589" t="s">
        <v>1946</v>
      </c>
      <c r="J998" s="589" t="s">
        <v>35</v>
      </c>
      <c r="K998" s="591">
        <v>700</v>
      </c>
      <c r="L998" s="592">
        <f>IF(J998="TND",1,IF(J998="EUR",Vertical_Cash_flow!$C$16,IF(J998="USD",Vertical_Cash_flow!$F$16,0)))</f>
        <v>1</v>
      </c>
      <c r="M998" s="593">
        <f t="shared" si="64"/>
        <v>700</v>
      </c>
      <c r="N998" s="589" t="s">
        <v>251</v>
      </c>
      <c r="O998" s="594">
        <v>45379</v>
      </c>
      <c r="P998" s="593">
        <f t="shared" si="65"/>
        <v>-121</v>
      </c>
      <c r="Q998" s="594">
        <v>45500</v>
      </c>
      <c r="R998" s="593">
        <f t="shared" ca="1" si="66"/>
        <v>-59</v>
      </c>
      <c r="S998" s="589" t="str">
        <f>VLOOKUP(Q998,Mapping!L:M,2,0)</f>
        <v>W31_2024</v>
      </c>
      <c r="T998" s="589" t="str">
        <f t="shared" ca="1" si="67"/>
        <v>Not Due</v>
      </c>
      <c r="W998" s="591"/>
    </row>
    <row r="999" spans="1:23" s="589" customFormat="1" x14ac:dyDescent="0.2">
      <c r="A999" s="589" t="s">
        <v>56</v>
      </c>
      <c r="B999" s="589" t="s">
        <v>481</v>
      </c>
      <c r="C999" s="590" t="s">
        <v>2416</v>
      </c>
      <c r="D999" s="589" t="s">
        <v>100</v>
      </c>
      <c r="E999" s="589" t="s">
        <v>104</v>
      </c>
      <c r="F999" s="589" t="s">
        <v>112</v>
      </c>
      <c r="G999" s="589" t="s">
        <v>51</v>
      </c>
      <c r="H999" s="589" t="s">
        <v>242</v>
      </c>
      <c r="I999" s="589" t="s">
        <v>2745</v>
      </c>
      <c r="J999" s="589" t="s">
        <v>35</v>
      </c>
      <c r="K999" s="591">
        <v>5400</v>
      </c>
      <c r="L999" s="592">
        <f>IF(J999="TND",1,IF(J999="EUR",Vertical_Cash_flow!$C$16,IF(J999="USD",Vertical_Cash_flow!$F$16,0)))</f>
        <v>1</v>
      </c>
      <c r="M999" s="593">
        <f t="shared" si="64"/>
        <v>5400</v>
      </c>
      <c r="N999" s="589" t="s">
        <v>251</v>
      </c>
      <c r="O999" s="594">
        <v>45383</v>
      </c>
      <c r="P999" s="593">
        <f t="shared" si="65"/>
        <v>-117</v>
      </c>
      <c r="Q999" s="594">
        <v>45500</v>
      </c>
      <c r="R999" s="593">
        <f t="shared" ca="1" si="66"/>
        <v>-59</v>
      </c>
      <c r="S999" s="589" t="str">
        <f>VLOOKUP(Q999,Mapping!L:M,2,0)</f>
        <v>W31_2024</v>
      </c>
      <c r="T999" s="589" t="str">
        <f t="shared" ca="1" si="67"/>
        <v>Not Due</v>
      </c>
      <c r="W999" s="591"/>
    </row>
    <row r="1000" spans="1:23" s="589" customFormat="1" x14ac:dyDescent="0.2">
      <c r="A1000" s="589" t="s">
        <v>56</v>
      </c>
      <c r="B1000" s="589" t="s">
        <v>277</v>
      </c>
      <c r="C1000" s="590" t="s">
        <v>1536</v>
      </c>
      <c r="D1000" s="589" t="s">
        <v>100</v>
      </c>
      <c r="E1000" s="589" t="s">
        <v>104</v>
      </c>
      <c r="F1000" s="589" t="s">
        <v>112</v>
      </c>
      <c r="G1000" s="589" t="s">
        <v>51</v>
      </c>
      <c r="H1000" s="589" t="s">
        <v>242</v>
      </c>
      <c r="I1000" s="589" t="s">
        <v>1945</v>
      </c>
      <c r="J1000" s="589" t="s">
        <v>35</v>
      </c>
      <c r="K1000" s="591">
        <v>18135.904999999999</v>
      </c>
      <c r="L1000" s="592">
        <f>IF(J1000="TND",1,IF(J1000="EUR",Vertical_Cash_flow!$C$16,IF(J1000="USD",Vertical_Cash_flow!$F$16,0)))</f>
        <v>1</v>
      </c>
      <c r="M1000" s="593">
        <f t="shared" si="64"/>
        <v>18135.904999999999</v>
      </c>
      <c r="N1000" s="589" t="s">
        <v>251</v>
      </c>
      <c r="O1000" s="594">
        <v>45348</v>
      </c>
      <c r="P1000" s="593">
        <f t="shared" si="65"/>
        <v>-152</v>
      </c>
      <c r="Q1000" s="594">
        <v>45500</v>
      </c>
      <c r="R1000" s="593">
        <f t="shared" ca="1" si="66"/>
        <v>-59</v>
      </c>
      <c r="S1000" s="589" t="str">
        <f>VLOOKUP(Q1000,Mapping!L:M,2,0)</f>
        <v>W31_2024</v>
      </c>
      <c r="T1000" s="589" t="str">
        <f t="shared" ca="1" si="67"/>
        <v>Not Due</v>
      </c>
      <c r="W1000" s="591"/>
    </row>
    <row r="1001" spans="1:23" s="589" customFormat="1" x14ac:dyDescent="0.2">
      <c r="A1001" s="589" t="s">
        <v>56</v>
      </c>
      <c r="B1001" s="589" t="s">
        <v>940</v>
      </c>
      <c r="C1001" s="590" t="s">
        <v>2415</v>
      </c>
      <c r="D1001" s="589" t="s">
        <v>100</v>
      </c>
      <c r="E1001" s="589" t="s">
        <v>104</v>
      </c>
      <c r="F1001" s="589" t="s">
        <v>112</v>
      </c>
      <c r="G1001" s="589" t="s">
        <v>51</v>
      </c>
      <c r="H1001" s="589" t="s">
        <v>242</v>
      </c>
      <c r="I1001" s="589" t="s">
        <v>2744</v>
      </c>
      <c r="J1001" s="589" t="s">
        <v>35</v>
      </c>
      <c r="K1001" s="591">
        <v>5091.973</v>
      </c>
      <c r="L1001" s="592">
        <f>IF(J1001="TND",1,IF(J1001="EUR",Vertical_Cash_flow!$C$16,IF(J1001="USD",Vertical_Cash_flow!$F$16,0)))</f>
        <v>1</v>
      </c>
      <c r="M1001" s="593">
        <f t="shared" si="64"/>
        <v>5091.973</v>
      </c>
      <c r="N1001" s="589" t="s">
        <v>251</v>
      </c>
      <c r="O1001" s="594">
        <v>45399</v>
      </c>
      <c r="P1001" s="593">
        <f t="shared" si="65"/>
        <v>-101</v>
      </c>
      <c r="Q1001" s="594">
        <v>45500</v>
      </c>
      <c r="R1001" s="593">
        <f t="shared" ca="1" si="66"/>
        <v>-59</v>
      </c>
      <c r="S1001" s="589" t="str">
        <f>VLOOKUP(Q1001,Mapping!L:M,2,0)</f>
        <v>W31_2024</v>
      </c>
      <c r="T1001" s="589" t="str">
        <f t="shared" ca="1" si="67"/>
        <v>Not Due</v>
      </c>
      <c r="W1001" s="591"/>
    </row>
    <row r="1002" spans="1:23" s="589" customFormat="1" x14ac:dyDescent="0.2">
      <c r="A1002" s="589" t="s">
        <v>56</v>
      </c>
      <c r="B1002" s="589" t="s">
        <v>285</v>
      </c>
      <c r="C1002" s="590" t="s">
        <v>2414</v>
      </c>
      <c r="D1002" s="589" t="s">
        <v>100</v>
      </c>
      <c r="E1002" s="589" t="s">
        <v>104</v>
      </c>
      <c r="F1002" s="589" t="s">
        <v>112</v>
      </c>
      <c r="G1002" s="589" t="s">
        <v>51</v>
      </c>
      <c r="H1002" s="589" t="s">
        <v>242</v>
      </c>
      <c r="I1002" s="589" t="s">
        <v>2743</v>
      </c>
      <c r="J1002" s="589" t="s">
        <v>35</v>
      </c>
      <c r="K1002" s="591">
        <v>1123.277</v>
      </c>
      <c r="L1002" s="592">
        <f>IF(J1002="TND",1,IF(J1002="EUR",Vertical_Cash_flow!$C$16,IF(J1002="USD",Vertical_Cash_flow!$F$16,0)))</f>
        <v>1</v>
      </c>
      <c r="M1002" s="593">
        <f t="shared" si="64"/>
        <v>1123.277</v>
      </c>
      <c r="N1002" s="589" t="s">
        <v>251</v>
      </c>
      <c r="O1002" s="594">
        <v>45387</v>
      </c>
      <c r="P1002" s="593">
        <f t="shared" si="65"/>
        <v>-114</v>
      </c>
      <c r="Q1002" s="594">
        <v>45501</v>
      </c>
      <c r="R1002" s="593">
        <f t="shared" ca="1" si="66"/>
        <v>-60</v>
      </c>
      <c r="S1002" s="589" t="str">
        <f>VLOOKUP(Q1002,Mapping!L:M,2,0)</f>
        <v>W31_2024</v>
      </c>
      <c r="T1002" s="589" t="str">
        <f t="shared" ca="1" si="67"/>
        <v>Not Due</v>
      </c>
      <c r="W1002" s="591"/>
    </row>
    <row r="1003" spans="1:23" s="589" customFormat="1" x14ac:dyDescent="0.2">
      <c r="A1003" s="589" t="s">
        <v>56</v>
      </c>
      <c r="B1003" s="589" t="s">
        <v>942</v>
      </c>
      <c r="C1003" s="590" t="s">
        <v>1535</v>
      </c>
      <c r="D1003" s="589" t="s">
        <v>100</v>
      </c>
      <c r="E1003" s="589" t="s">
        <v>104</v>
      </c>
      <c r="F1003" s="589" t="s">
        <v>112</v>
      </c>
      <c r="G1003" s="589" t="s">
        <v>51</v>
      </c>
      <c r="H1003" s="589" t="s">
        <v>242</v>
      </c>
      <c r="I1003" s="589" t="s">
        <v>1944</v>
      </c>
      <c r="J1003" s="589" t="s">
        <v>35</v>
      </c>
      <c r="K1003" s="591">
        <v>1652.2840000000001</v>
      </c>
      <c r="L1003" s="592">
        <f>IF(J1003="TND",1,IF(J1003="EUR",Vertical_Cash_flow!$C$16,IF(J1003="USD",Vertical_Cash_flow!$F$16,0)))</f>
        <v>1</v>
      </c>
      <c r="M1003" s="593">
        <f t="shared" si="64"/>
        <v>1652.2840000000001</v>
      </c>
      <c r="N1003" s="589" t="s">
        <v>251</v>
      </c>
      <c r="O1003" s="594">
        <v>45370</v>
      </c>
      <c r="P1003" s="593">
        <f t="shared" si="65"/>
        <v>-131</v>
      </c>
      <c r="Q1003" s="594">
        <v>45501</v>
      </c>
      <c r="R1003" s="593">
        <f t="shared" ca="1" si="66"/>
        <v>-60</v>
      </c>
      <c r="S1003" s="589" t="str">
        <f>VLOOKUP(Q1003,Mapping!L:M,2,0)</f>
        <v>W31_2024</v>
      </c>
      <c r="T1003" s="589" t="str">
        <f t="shared" ca="1" si="67"/>
        <v>Not Due</v>
      </c>
      <c r="W1003" s="591"/>
    </row>
    <row r="1004" spans="1:23" s="589" customFormat="1" x14ac:dyDescent="0.2">
      <c r="A1004" s="589" t="s">
        <v>56</v>
      </c>
      <c r="B1004" s="589" t="s">
        <v>1488</v>
      </c>
      <c r="C1004" s="590" t="s">
        <v>2412</v>
      </c>
      <c r="D1004" s="589" t="s">
        <v>100</v>
      </c>
      <c r="E1004" s="589" t="s">
        <v>104</v>
      </c>
      <c r="F1004" s="589" t="s">
        <v>112</v>
      </c>
      <c r="G1004" s="589" t="s">
        <v>51</v>
      </c>
      <c r="H1004" s="589" t="s">
        <v>242</v>
      </c>
      <c r="I1004" s="589" t="s">
        <v>2741</v>
      </c>
      <c r="J1004" s="589" t="s">
        <v>35</v>
      </c>
      <c r="K1004" s="591">
        <v>2250.8139999999999</v>
      </c>
      <c r="L1004" s="592">
        <f>IF(J1004="TND",1,IF(J1004="EUR",Vertical_Cash_flow!$C$16,IF(J1004="USD",Vertical_Cash_flow!$F$16,0)))</f>
        <v>1</v>
      </c>
      <c r="M1004" s="593">
        <f t="shared" si="64"/>
        <v>2250.8139999999999</v>
      </c>
      <c r="N1004" s="589" t="s">
        <v>251</v>
      </c>
      <c r="O1004" s="594">
        <v>45408</v>
      </c>
      <c r="P1004" s="593">
        <f t="shared" si="65"/>
        <v>-93</v>
      </c>
      <c r="Q1004" s="594">
        <v>45501</v>
      </c>
      <c r="R1004" s="593">
        <f t="shared" ca="1" si="66"/>
        <v>-60</v>
      </c>
      <c r="S1004" s="589" t="str">
        <f>VLOOKUP(Q1004,Mapping!L:M,2,0)</f>
        <v>W31_2024</v>
      </c>
      <c r="T1004" s="589" t="str">
        <f t="shared" ca="1" si="67"/>
        <v>Not Due</v>
      </c>
      <c r="W1004" s="591"/>
    </row>
    <row r="1005" spans="1:23" s="589" customFormat="1" x14ac:dyDescent="0.2">
      <c r="A1005" s="589" t="s">
        <v>56</v>
      </c>
      <c r="B1005" s="589" t="s">
        <v>491</v>
      </c>
      <c r="C1005" s="590" t="s">
        <v>3134</v>
      </c>
      <c r="D1005" s="589" t="s">
        <v>100</v>
      </c>
      <c r="E1005" s="589" t="s">
        <v>104</v>
      </c>
      <c r="F1005" s="589" t="s">
        <v>112</v>
      </c>
      <c r="G1005" s="589" t="s">
        <v>51</v>
      </c>
      <c r="H1005" s="589" t="s">
        <v>242</v>
      </c>
      <c r="I1005" s="589" t="s">
        <v>3323</v>
      </c>
      <c r="J1005" s="589" t="s">
        <v>35</v>
      </c>
      <c r="K1005" s="591">
        <v>1500</v>
      </c>
      <c r="L1005" s="592">
        <f>IF(J1005="TND",1,IF(J1005="EUR",Vertical_Cash_flow!$C$16,IF(J1005="USD",Vertical_Cash_flow!$F$16,0)))</f>
        <v>1</v>
      </c>
      <c r="M1005" s="593">
        <f t="shared" si="64"/>
        <v>1500</v>
      </c>
      <c r="N1005" s="589" t="s">
        <v>251</v>
      </c>
      <c r="O1005" s="594">
        <v>45420</v>
      </c>
      <c r="P1005" s="593">
        <f t="shared" si="65"/>
        <v>-81</v>
      </c>
      <c r="Q1005" s="594">
        <v>45501</v>
      </c>
      <c r="R1005" s="593">
        <f t="shared" ca="1" si="66"/>
        <v>-60</v>
      </c>
      <c r="S1005" s="589" t="str">
        <f>VLOOKUP(Q1005,Mapping!L:M,2,0)</f>
        <v>W31_2024</v>
      </c>
      <c r="T1005" s="589" t="str">
        <f t="shared" ca="1" si="67"/>
        <v>Not Due</v>
      </c>
      <c r="W1005" s="591"/>
    </row>
    <row r="1006" spans="1:23" s="589" customFormat="1" x14ac:dyDescent="0.2">
      <c r="A1006" s="589" t="s">
        <v>56</v>
      </c>
      <c r="B1006" s="589" t="s">
        <v>1049</v>
      </c>
      <c r="C1006" s="590" t="s">
        <v>3135</v>
      </c>
      <c r="D1006" s="589" t="s">
        <v>100</v>
      </c>
      <c r="E1006" s="589" t="s">
        <v>104</v>
      </c>
      <c r="F1006" s="589" t="s">
        <v>112</v>
      </c>
      <c r="G1006" s="589" t="s">
        <v>51</v>
      </c>
      <c r="H1006" s="589" t="s">
        <v>242</v>
      </c>
      <c r="I1006" s="589" t="s">
        <v>3324</v>
      </c>
      <c r="J1006" s="589" t="s">
        <v>35</v>
      </c>
      <c r="K1006" s="591">
        <v>709.49</v>
      </c>
      <c r="L1006" s="592">
        <f>IF(J1006="TND",1,IF(J1006="EUR",Vertical_Cash_flow!$C$16,IF(J1006="USD",Vertical_Cash_flow!$F$16,0)))</f>
        <v>1</v>
      </c>
      <c r="M1006" s="593">
        <f t="shared" si="64"/>
        <v>709.49</v>
      </c>
      <c r="N1006" s="589" t="s">
        <v>251</v>
      </c>
      <c r="O1006" s="594">
        <v>45414</v>
      </c>
      <c r="P1006" s="593">
        <f t="shared" si="65"/>
        <v>-87</v>
      </c>
      <c r="Q1006" s="594">
        <v>45501</v>
      </c>
      <c r="R1006" s="593">
        <f t="shared" ca="1" si="66"/>
        <v>-60</v>
      </c>
      <c r="S1006" s="589" t="str">
        <f>VLOOKUP(Q1006,Mapping!L:M,2,0)</f>
        <v>W31_2024</v>
      </c>
      <c r="T1006" s="589" t="str">
        <f t="shared" ca="1" si="67"/>
        <v>Not Due</v>
      </c>
      <c r="W1006" s="591"/>
    </row>
    <row r="1007" spans="1:23" s="589" customFormat="1" x14ac:dyDescent="0.2">
      <c r="A1007" s="589" t="s">
        <v>56</v>
      </c>
      <c r="B1007" s="589" t="s">
        <v>611</v>
      </c>
      <c r="C1007" s="590" t="s">
        <v>2413</v>
      </c>
      <c r="D1007" s="589" t="s">
        <v>100</v>
      </c>
      <c r="E1007" s="589" t="s">
        <v>104</v>
      </c>
      <c r="F1007" s="589" t="s">
        <v>112</v>
      </c>
      <c r="G1007" s="589" t="s">
        <v>51</v>
      </c>
      <c r="H1007" s="589" t="s">
        <v>242</v>
      </c>
      <c r="I1007" s="589" t="s">
        <v>2742</v>
      </c>
      <c r="J1007" s="589" t="s">
        <v>35</v>
      </c>
      <c r="K1007" s="591">
        <v>1210</v>
      </c>
      <c r="L1007" s="592">
        <f>IF(J1007="TND",1,IF(J1007="EUR",Vertical_Cash_flow!$C$16,IF(J1007="USD",Vertical_Cash_flow!$F$16,0)))</f>
        <v>1</v>
      </c>
      <c r="M1007" s="593">
        <f t="shared" si="64"/>
        <v>1210</v>
      </c>
      <c r="N1007" s="589" t="s">
        <v>251</v>
      </c>
      <c r="O1007" s="594">
        <v>45408</v>
      </c>
      <c r="P1007" s="593">
        <f t="shared" si="65"/>
        <v>-93</v>
      </c>
      <c r="Q1007" s="594">
        <v>45501</v>
      </c>
      <c r="R1007" s="593">
        <f t="shared" ca="1" si="66"/>
        <v>-60</v>
      </c>
      <c r="S1007" s="589" t="str">
        <f>VLOOKUP(Q1007,Mapping!L:M,2,0)</f>
        <v>W31_2024</v>
      </c>
      <c r="T1007" s="589" t="str">
        <f t="shared" ca="1" si="67"/>
        <v>Not Due</v>
      </c>
      <c r="W1007" s="591"/>
    </row>
    <row r="1008" spans="1:23" s="589" customFormat="1" x14ac:dyDescent="0.2">
      <c r="A1008" s="589" t="s">
        <v>56</v>
      </c>
      <c r="B1008" s="589" t="s">
        <v>634</v>
      </c>
      <c r="C1008" s="590" t="s">
        <v>3136</v>
      </c>
      <c r="D1008" s="589" t="s">
        <v>100</v>
      </c>
      <c r="E1008" s="589" t="s">
        <v>104</v>
      </c>
      <c r="F1008" s="589" t="s">
        <v>112</v>
      </c>
      <c r="G1008" s="589" t="s">
        <v>51</v>
      </c>
      <c r="H1008" s="589" t="s">
        <v>242</v>
      </c>
      <c r="I1008" s="589" t="s">
        <v>3325</v>
      </c>
      <c r="J1008" s="589" t="s">
        <v>35</v>
      </c>
      <c r="K1008" s="591">
        <v>1217.1420000000001</v>
      </c>
      <c r="L1008" s="592">
        <f>IF(J1008="TND",1,IF(J1008="EUR",Vertical_Cash_flow!$C$16,IF(J1008="USD",Vertical_Cash_flow!$F$16,0)))</f>
        <v>1</v>
      </c>
      <c r="M1008" s="593">
        <f t="shared" si="64"/>
        <v>1217.1420000000001</v>
      </c>
      <c r="N1008" s="589" t="s">
        <v>251</v>
      </c>
      <c r="O1008" s="594">
        <v>45418</v>
      </c>
      <c r="P1008" s="593">
        <f t="shared" si="65"/>
        <v>-83</v>
      </c>
      <c r="Q1008" s="594">
        <v>45501</v>
      </c>
      <c r="R1008" s="593">
        <f t="shared" ca="1" si="66"/>
        <v>-60</v>
      </c>
      <c r="S1008" s="589" t="str">
        <f>VLOOKUP(Q1008,Mapping!L:M,2,0)</f>
        <v>W31_2024</v>
      </c>
      <c r="T1008" s="589" t="str">
        <f t="shared" ca="1" si="67"/>
        <v>Not Due</v>
      </c>
      <c r="W1008" s="591"/>
    </row>
    <row r="1009" spans="1:23" s="589" customFormat="1" x14ac:dyDescent="0.2">
      <c r="A1009" s="589" t="s">
        <v>56</v>
      </c>
      <c r="B1009" s="589" t="s">
        <v>943</v>
      </c>
      <c r="C1009" s="590" t="s">
        <v>2411</v>
      </c>
      <c r="D1009" s="589" t="s">
        <v>100</v>
      </c>
      <c r="E1009" s="589" t="s">
        <v>104</v>
      </c>
      <c r="F1009" s="589" t="s">
        <v>112</v>
      </c>
      <c r="G1009" s="589" t="s">
        <v>51</v>
      </c>
      <c r="H1009" s="589" t="s">
        <v>242</v>
      </c>
      <c r="I1009" s="589" t="s">
        <v>2740</v>
      </c>
      <c r="J1009" s="589" t="s">
        <v>35</v>
      </c>
      <c r="K1009" s="591">
        <v>2650.788</v>
      </c>
      <c r="L1009" s="592">
        <f>IF(J1009="TND",1,IF(J1009="EUR",Vertical_Cash_flow!$C$16,IF(J1009="USD",Vertical_Cash_flow!$F$16,0)))</f>
        <v>1</v>
      </c>
      <c r="M1009" s="593">
        <f t="shared" si="64"/>
        <v>2650.788</v>
      </c>
      <c r="N1009" s="589" t="s">
        <v>251</v>
      </c>
      <c r="O1009" s="594">
        <v>45402</v>
      </c>
      <c r="P1009" s="593">
        <f t="shared" si="65"/>
        <v>-99</v>
      </c>
      <c r="Q1009" s="594">
        <v>45501</v>
      </c>
      <c r="R1009" s="593">
        <f t="shared" ca="1" si="66"/>
        <v>-60</v>
      </c>
      <c r="S1009" s="589" t="str">
        <f>VLOOKUP(Q1009,Mapping!L:M,2,0)</f>
        <v>W31_2024</v>
      </c>
      <c r="T1009" s="589" t="str">
        <f t="shared" ca="1" si="67"/>
        <v>Not Due</v>
      </c>
      <c r="W1009" s="591"/>
    </row>
    <row r="1010" spans="1:23" s="589" customFormat="1" x14ac:dyDescent="0.2">
      <c r="A1010" s="589" t="s">
        <v>56</v>
      </c>
      <c r="B1010" s="589" t="s">
        <v>1034</v>
      </c>
      <c r="C1010" s="590" t="s">
        <v>3512</v>
      </c>
      <c r="D1010" s="589" t="s">
        <v>100</v>
      </c>
      <c r="E1010" s="589" t="s">
        <v>104</v>
      </c>
      <c r="F1010" s="589" t="s">
        <v>112</v>
      </c>
      <c r="G1010" s="589" t="s">
        <v>51</v>
      </c>
      <c r="H1010" s="589" t="s">
        <v>242</v>
      </c>
      <c r="I1010" s="589" t="s">
        <v>3669</v>
      </c>
      <c r="J1010" s="589" t="s">
        <v>35</v>
      </c>
      <c r="K1010" s="591">
        <v>668.245</v>
      </c>
      <c r="L1010" s="592">
        <f>IF(J1010="TND",1,IF(J1010="EUR",Vertical_Cash_flow!$C$16,IF(J1010="USD",Vertical_Cash_flow!$F$16,0)))</f>
        <v>1</v>
      </c>
      <c r="M1010" s="593">
        <f t="shared" si="64"/>
        <v>668.245</v>
      </c>
      <c r="N1010" s="589" t="s">
        <v>251</v>
      </c>
      <c r="O1010" s="594">
        <v>45426</v>
      </c>
      <c r="P1010" s="593">
        <f t="shared" si="65"/>
        <v>-76</v>
      </c>
      <c r="Q1010" s="594">
        <v>45502</v>
      </c>
      <c r="R1010" s="593">
        <f t="shared" ca="1" si="66"/>
        <v>-61</v>
      </c>
      <c r="S1010" s="589" t="str">
        <f>VLOOKUP(Q1010,Mapping!L:M,2,0)</f>
        <v>W31_2024</v>
      </c>
      <c r="T1010" s="589" t="str">
        <f t="shared" ca="1" si="67"/>
        <v>Not Due</v>
      </c>
      <c r="W1010" s="591"/>
    </row>
    <row r="1011" spans="1:23" s="589" customFormat="1" x14ac:dyDescent="0.2">
      <c r="A1011" s="589" t="s">
        <v>56</v>
      </c>
      <c r="B1011" s="589" t="s">
        <v>570</v>
      </c>
      <c r="C1011" s="590" t="s">
        <v>3511</v>
      </c>
      <c r="D1011" s="589" t="s">
        <v>100</v>
      </c>
      <c r="E1011" s="589" t="s">
        <v>104</v>
      </c>
      <c r="F1011" s="589" t="s">
        <v>112</v>
      </c>
      <c r="G1011" s="589" t="s">
        <v>51</v>
      </c>
      <c r="H1011" s="589" t="s">
        <v>242</v>
      </c>
      <c r="I1011" s="589" t="s">
        <v>3668</v>
      </c>
      <c r="J1011" s="589" t="s">
        <v>35</v>
      </c>
      <c r="K1011" s="591">
        <v>12575.501</v>
      </c>
      <c r="L1011" s="592">
        <f>IF(J1011="TND",1,IF(J1011="EUR",Vertical_Cash_flow!$C$16,IF(J1011="USD",Vertical_Cash_flow!$F$16,0)))</f>
        <v>1</v>
      </c>
      <c r="M1011" s="593">
        <f t="shared" si="64"/>
        <v>12575.501</v>
      </c>
      <c r="N1011" s="589" t="s">
        <v>251</v>
      </c>
      <c r="O1011" s="594">
        <v>45429</v>
      </c>
      <c r="P1011" s="593">
        <f t="shared" si="65"/>
        <v>-73</v>
      </c>
      <c r="Q1011" s="594">
        <v>45502</v>
      </c>
      <c r="R1011" s="593">
        <f t="shared" ca="1" si="66"/>
        <v>-61</v>
      </c>
      <c r="S1011" s="589" t="str">
        <f>VLOOKUP(Q1011,Mapping!L:M,2,0)</f>
        <v>W31_2024</v>
      </c>
      <c r="T1011" s="589" t="str">
        <f t="shared" ca="1" si="67"/>
        <v>Not Due</v>
      </c>
      <c r="W1011" s="591"/>
    </row>
    <row r="1012" spans="1:23" s="589" customFormat="1" x14ac:dyDescent="0.2">
      <c r="A1012" s="589" t="s">
        <v>56</v>
      </c>
      <c r="B1012" s="589" t="s">
        <v>278</v>
      </c>
      <c r="C1012" s="590" t="s">
        <v>1252</v>
      </c>
      <c r="D1012" s="589" t="s">
        <v>100</v>
      </c>
      <c r="E1012" s="589" t="s">
        <v>104</v>
      </c>
      <c r="F1012" s="589" t="s">
        <v>112</v>
      </c>
      <c r="G1012" s="589" t="s">
        <v>51</v>
      </c>
      <c r="H1012" s="589" t="s">
        <v>242</v>
      </c>
      <c r="I1012" s="589" t="s">
        <v>1363</v>
      </c>
      <c r="J1012" s="589" t="s">
        <v>35</v>
      </c>
      <c r="K1012" s="591">
        <v>9745.5</v>
      </c>
      <c r="L1012" s="592">
        <f>IF(J1012="TND",1,IF(J1012="EUR",Vertical_Cash_flow!$C$16,IF(J1012="USD",Vertical_Cash_flow!$F$16,0)))</f>
        <v>1</v>
      </c>
      <c r="M1012" s="593">
        <f t="shared" si="64"/>
        <v>9745.5</v>
      </c>
      <c r="N1012" s="589" t="s">
        <v>251</v>
      </c>
      <c r="O1012" s="594">
        <v>45345</v>
      </c>
      <c r="P1012" s="593">
        <f t="shared" si="65"/>
        <v>-157</v>
      </c>
      <c r="Q1012" s="594">
        <v>45502</v>
      </c>
      <c r="R1012" s="593">
        <f t="shared" ca="1" si="66"/>
        <v>-61</v>
      </c>
      <c r="S1012" s="589" t="str">
        <f>VLOOKUP(Q1012,Mapping!L:M,2,0)</f>
        <v>W31_2024</v>
      </c>
      <c r="T1012" s="589" t="str">
        <f t="shared" ca="1" si="67"/>
        <v>Not Due</v>
      </c>
      <c r="W1012" s="591"/>
    </row>
    <row r="1013" spans="1:23" s="589" customFormat="1" x14ac:dyDescent="0.2">
      <c r="A1013" s="589" t="s">
        <v>56</v>
      </c>
      <c r="B1013" s="589" t="s">
        <v>3406</v>
      </c>
      <c r="C1013" s="590" t="s">
        <v>3510</v>
      </c>
      <c r="D1013" s="589" t="s">
        <v>100</v>
      </c>
      <c r="E1013" s="589" t="s">
        <v>104</v>
      </c>
      <c r="F1013" s="589" t="s">
        <v>112</v>
      </c>
      <c r="G1013" s="589" t="s">
        <v>51</v>
      </c>
      <c r="H1013" s="589" t="s">
        <v>242</v>
      </c>
      <c r="I1013" s="589" t="s">
        <v>3667</v>
      </c>
      <c r="J1013" s="589" t="s">
        <v>35</v>
      </c>
      <c r="K1013" s="591">
        <v>3334.2890000000002</v>
      </c>
      <c r="L1013" s="592">
        <f>IF(J1013="TND",1,IF(J1013="EUR",Vertical_Cash_flow!$C$16,IF(J1013="USD",Vertical_Cash_flow!$F$16,0)))</f>
        <v>1</v>
      </c>
      <c r="M1013" s="593">
        <f t="shared" si="64"/>
        <v>3334.2890000000002</v>
      </c>
      <c r="N1013" s="589" t="s">
        <v>251</v>
      </c>
      <c r="O1013" s="594">
        <v>45427</v>
      </c>
      <c r="P1013" s="593">
        <f t="shared" si="65"/>
        <v>-75</v>
      </c>
      <c r="Q1013" s="594">
        <v>45502</v>
      </c>
      <c r="R1013" s="593">
        <f t="shared" ca="1" si="66"/>
        <v>-61</v>
      </c>
      <c r="S1013" s="589" t="str">
        <f>VLOOKUP(Q1013,Mapping!L:M,2,0)</f>
        <v>W31_2024</v>
      </c>
      <c r="T1013" s="589" t="str">
        <f t="shared" ca="1" si="67"/>
        <v>Not Due</v>
      </c>
      <c r="W1013" s="591"/>
    </row>
    <row r="1014" spans="1:23" s="589" customFormat="1" x14ac:dyDescent="0.2">
      <c r="A1014" s="589" t="s">
        <v>56</v>
      </c>
      <c r="B1014" s="589" t="s">
        <v>301</v>
      </c>
      <c r="C1014" s="590" t="s">
        <v>3132</v>
      </c>
      <c r="D1014" s="589" t="s">
        <v>100</v>
      </c>
      <c r="E1014" s="589" t="s">
        <v>104</v>
      </c>
      <c r="F1014" s="589" t="s">
        <v>112</v>
      </c>
      <c r="G1014" s="589" t="s">
        <v>51</v>
      </c>
      <c r="H1014" s="589" t="s">
        <v>242</v>
      </c>
      <c r="I1014" s="589" t="s">
        <v>906</v>
      </c>
      <c r="J1014" s="589" t="s">
        <v>35</v>
      </c>
      <c r="K1014" s="591">
        <v>1859.646</v>
      </c>
      <c r="L1014" s="592">
        <f>IF(J1014="TND",1,IF(J1014="EUR",Vertical_Cash_flow!$C$16,IF(J1014="USD",Vertical_Cash_flow!$F$16,0)))</f>
        <v>1</v>
      </c>
      <c r="M1014" s="593">
        <f t="shared" si="64"/>
        <v>1859.646</v>
      </c>
      <c r="N1014" s="589" t="s">
        <v>251</v>
      </c>
      <c r="O1014" s="594">
        <v>45412</v>
      </c>
      <c r="P1014" s="593">
        <f t="shared" si="65"/>
        <v>-91</v>
      </c>
      <c r="Q1014" s="594">
        <v>45503</v>
      </c>
      <c r="R1014" s="593">
        <f t="shared" ca="1" si="66"/>
        <v>-62</v>
      </c>
      <c r="S1014" s="589" t="str">
        <f>VLOOKUP(Q1014,Mapping!L:M,2,0)</f>
        <v>W31_2024</v>
      </c>
      <c r="T1014" s="589" t="str">
        <f t="shared" ca="1" si="67"/>
        <v>Not Due</v>
      </c>
      <c r="W1014" s="591"/>
    </row>
    <row r="1015" spans="1:23" s="589" customFormat="1" x14ac:dyDescent="0.2">
      <c r="A1015" s="589" t="s">
        <v>56</v>
      </c>
      <c r="B1015" s="589" t="s">
        <v>486</v>
      </c>
      <c r="C1015" s="590" t="s">
        <v>2410</v>
      </c>
      <c r="D1015" s="589" t="s">
        <v>100</v>
      </c>
      <c r="E1015" s="589" t="s">
        <v>104</v>
      </c>
      <c r="F1015" s="589" t="s">
        <v>112</v>
      </c>
      <c r="G1015" s="589" t="s">
        <v>51</v>
      </c>
      <c r="H1015" s="589" t="s">
        <v>242</v>
      </c>
      <c r="I1015" s="589" t="s">
        <v>643</v>
      </c>
      <c r="J1015" s="589" t="s">
        <v>35</v>
      </c>
      <c r="K1015" s="591">
        <v>2755.578</v>
      </c>
      <c r="L1015" s="592">
        <f>IF(J1015="TND",1,IF(J1015="EUR",Vertical_Cash_flow!$C$16,IF(J1015="USD",Vertical_Cash_flow!$F$16,0)))</f>
        <v>1</v>
      </c>
      <c r="M1015" s="593">
        <f t="shared" si="64"/>
        <v>2755.578</v>
      </c>
      <c r="N1015" s="589" t="s">
        <v>251</v>
      </c>
      <c r="O1015" s="594">
        <v>45386</v>
      </c>
      <c r="P1015" s="593">
        <f t="shared" si="65"/>
        <v>-117</v>
      </c>
      <c r="Q1015" s="594">
        <v>45503</v>
      </c>
      <c r="R1015" s="593">
        <f t="shared" ca="1" si="66"/>
        <v>-62</v>
      </c>
      <c r="S1015" s="589" t="str">
        <f>VLOOKUP(Q1015,Mapping!L:M,2,0)</f>
        <v>W31_2024</v>
      </c>
      <c r="T1015" s="589" t="str">
        <f t="shared" ca="1" si="67"/>
        <v>Not Due</v>
      </c>
      <c r="W1015" s="591"/>
    </row>
    <row r="1016" spans="1:23" s="589" customFormat="1" x14ac:dyDescent="0.2">
      <c r="A1016" s="589" t="s">
        <v>56</v>
      </c>
      <c r="B1016" s="589" t="s">
        <v>485</v>
      </c>
      <c r="C1016" s="590" t="s">
        <v>3125</v>
      </c>
      <c r="D1016" s="589" t="s">
        <v>100</v>
      </c>
      <c r="E1016" s="589" t="s">
        <v>104</v>
      </c>
      <c r="F1016" s="589" t="s">
        <v>112</v>
      </c>
      <c r="G1016" s="589" t="s">
        <v>51</v>
      </c>
      <c r="H1016" s="589" t="s">
        <v>242</v>
      </c>
      <c r="I1016" s="589" t="s">
        <v>3315</v>
      </c>
      <c r="J1016" s="589" t="s">
        <v>35</v>
      </c>
      <c r="K1016" s="591">
        <v>2791.306</v>
      </c>
      <c r="L1016" s="592">
        <f>IF(J1016="TND",1,IF(J1016="EUR",Vertical_Cash_flow!$C$16,IF(J1016="USD",Vertical_Cash_flow!$F$16,0)))</f>
        <v>1</v>
      </c>
      <c r="M1016" s="593">
        <f t="shared" si="64"/>
        <v>2791.306</v>
      </c>
      <c r="N1016" s="589" t="s">
        <v>251</v>
      </c>
      <c r="O1016" s="594">
        <v>45411</v>
      </c>
      <c r="P1016" s="593">
        <f t="shared" si="65"/>
        <v>-92</v>
      </c>
      <c r="Q1016" s="594">
        <v>45503</v>
      </c>
      <c r="R1016" s="593">
        <f t="shared" ca="1" si="66"/>
        <v>-62</v>
      </c>
      <c r="S1016" s="589" t="str">
        <f>VLOOKUP(Q1016,Mapping!L:M,2,0)</f>
        <v>W31_2024</v>
      </c>
      <c r="T1016" s="589" t="str">
        <f t="shared" ca="1" si="67"/>
        <v>Not Due</v>
      </c>
      <c r="W1016" s="591"/>
    </row>
    <row r="1017" spans="1:23" s="589" customFormat="1" x14ac:dyDescent="0.2">
      <c r="A1017" s="589" t="s">
        <v>56</v>
      </c>
      <c r="B1017" s="589" t="s">
        <v>640</v>
      </c>
      <c r="C1017" s="590" t="s">
        <v>3126</v>
      </c>
      <c r="D1017" s="589" t="s">
        <v>100</v>
      </c>
      <c r="E1017" s="589" t="s">
        <v>104</v>
      </c>
      <c r="F1017" s="589" t="s">
        <v>112</v>
      </c>
      <c r="G1017" s="589" t="s">
        <v>51</v>
      </c>
      <c r="H1017" s="589" t="s">
        <v>242</v>
      </c>
      <c r="I1017" s="589" t="s">
        <v>3316</v>
      </c>
      <c r="J1017" s="589" t="s">
        <v>35</v>
      </c>
      <c r="K1017" s="591">
        <v>2931.8090000000002</v>
      </c>
      <c r="L1017" s="592">
        <f>IF(J1017="TND",1,IF(J1017="EUR",Vertical_Cash_flow!$C$16,IF(J1017="USD",Vertical_Cash_flow!$F$16,0)))</f>
        <v>1</v>
      </c>
      <c r="M1017" s="593">
        <f t="shared" si="64"/>
        <v>2931.8090000000002</v>
      </c>
      <c r="N1017" s="589" t="s">
        <v>251</v>
      </c>
      <c r="O1017" s="594">
        <v>45412</v>
      </c>
      <c r="P1017" s="593">
        <f t="shared" si="65"/>
        <v>-91</v>
      </c>
      <c r="Q1017" s="594">
        <v>45503</v>
      </c>
      <c r="R1017" s="593">
        <f t="shared" ca="1" si="66"/>
        <v>-62</v>
      </c>
      <c r="S1017" s="589" t="str">
        <f>VLOOKUP(Q1017,Mapping!L:M,2,0)</f>
        <v>W31_2024</v>
      </c>
      <c r="T1017" s="589" t="str">
        <f t="shared" ca="1" si="67"/>
        <v>Not Due</v>
      </c>
      <c r="W1017" s="591"/>
    </row>
    <row r="1018" spans="1:23" s="589" customFormat="1" x14ac:dyDescent="0.2">
      <c r="A1018" s="589" t="s">
        <v>56</v>
      </c>
      <c r="B1018" s="589" t="s">
        <v>579</v>
      </c>
      <c r="C1018" s="590" t="s">
        <v>3127</v>
      </c>
      <c r="D1018" s="589" t="s">
        <v>100</v>
      </c>
      <c r="E1018" s="589" t="s">
        <v>104</v>
      </c>
      <c r="F1018" s="589" t="s">
        <v>112</v>
      </c>
      <c r="G1018" s="589" t="s">
        <v>51</v>
      </c>
      <c r="H1018" s="589" t="s">
        <v>242</v>
      </c>
      <c r="I1018" s="589" t="s">
        <v>3317</v>
      </c>
      <c r="J1018" s="589" t="s">
        <v>35</v>
      </c>
      <c r="K1018" s="591">
        <v>3175.047</v>
      </c>
      <c r="L1018" s="592">
        <f>IF(J1018="TND",1,IF(J1018="EUR",Vertical_Cash_flow!$C$16,IF(J1018="USD",Vertical_Cash_flow!$F$16,0)))</f>
        <v>1</v>
      </c>
      <c r="M1018" s="593">
        <f t="shared" si="64"/>
        <v>3175.047</v>
      </c>
      <c r="N1018" s="589" t="s">
        <v>251</v>
      </c>
      <c r="O1018" s="594">
        <v>45412</v>
      </c>
      <c r="P1018" s="593">
        <f t="shared" si="65"/>
        <v>-91</v>
      </c>
      <c r="Q1018" s="594">
        <v>45503</v>
      </c>
      <c r="R1018" s="593">
        <f t="shared" ca="1" si="66"/>
        <v>-62</v>
      </c>
      <c r="S1018" s="589" t="str">
        <f>VLOOKUP(Q1018,Mapping!L:M,2,0)</f>
        <v>W31_2024</v>
      </c>
      <c r="T1018" s="589" t="str">
        <f t="shared" ca="1" si="67"/>
        <v>Not Due</v>
      </c>
      <c r="W1018" s="591"/>
    </row>
    <row r="1019" spans="1:23" s="589" customFormat="1" x14ac:dyDescent="0.2">
      <c r="A1019" s="589" t="s">
        <v>56</v>
      </c>
      <c r="B1019" s="589" t="s">
        <v>295</v>
      </c>
      <c r="C1019" s="590" t="s">
        <v>3131</v>
      </c>
      <c r="D1019" s="589" t="s">
        <v>100</v>
      </c>
      <c r="E1019" s="589" t="s">
        <v>104</v>
      </c>
      <c r="F1019" s="589" t="s">
        <v>112</v>
      </c>
      <c r="G1019" s="589" t="s">
        <v>51</v>
      </c>
      <c r="H1019" s="589" t="s">
        <v>242</v>
      </c>
      <c r="I1019" s="589" t="s">
        <v>3321</v>
      </c>
      <c r="J1019" s="589" t="s">
        <v>35</v>
      </c>
      <c r="K1019" s="591">
        <v>848.79100000000005</v>
      </c>
      <c r="L1019" s="592">
        <f>IF(J1019="TND",1,IF(J1019="EUR",Vertical_Cash_flow!$C$16,IF(J1019="USD",Vertical_Cash_flow!$F$16,0)))</f>
        <v>1</v>
      </c>
      <c r="M1019" s="593">
        <f t="shared" si="64"/>
        <v>848.79100000000005</v>
      </c>
      <c r="N1019" s="589" t="s">
        <v>251</v>
      </c>
      <c r="O1019" s="594">
        <v>45416</v>
      </c>
      <c r="P1019" s="593">
        <f t="shared" si="65"/>
        <v>-87</v>
      </c>
      <c r="Q1019" s="594">
        <v>45503</v>
      </c>
      <c r="R1019" s="593">
        <f t="shared" ca="1" si="66"/>
        <v>-62</v>
      </c>
      <c r="S1019" s="589" t="str">
        <f>VLOOKUP(Q1019,Mapping!L:M,2,0)</f>
        <v>W31_2024</v>
      </c>
      <c r="T1019" s="589" t="str">
        <f t="shared" ca="1" si="67"/>
        <v>Not Due</v>
      </c>
      <c r="W1019" s="591"/>
    </row>
    <row r="1020" spans="1:23" s="589" customFormat="1" x14ac:dyDescent="0.2">
      <c r="A1020" s="589" t="s">
        <v>56</v>
      </c>
      <c r="B1020" s="589" t="s">
        <v>488</v>
      </c>
      <c r="C1020" s="590" t="s">
        <v>3130</v>
      </c>
      <c r="D1020" s="589" t="s">
        <v>100</v>
      </c>
      <c r="E1020" s="589" t="s">
        <v>104</v>
      </c>
      <c r="F1020" s="589" t="s">
        <v>112</v>
      </c>
      <c r="G1020" s="589" t="s">
        <v>51</v>
      </c>
      <c r="H1020" s="589" t="s">
        <v>242</v>
      </c>
      <c r="I1020" s="589" t="s">
        <v>3320</v>
      </c>
      <c r="J1020" s="589" t="s">
        <v>35</v>
      </c>
      <c r="K1020" s="591">
        <v>7773.3540000000003</v>
      </c>
      <c r="L1020" s="592">
        <f>IF(J1020="TND",1,IF(J1020="EUR",Vertical_Cash_flow!$C$16,IF(J1020="USD",Vertical_Cash_flow!$F$16,0)))</f>
        <v>1</v>
      </c>
      <c r="M1020" s="593">
        <f t="shared" si="64"/>
        <v>7773.3540000000003</v>
      </c>
      <c r="N1020" s="589" t="s">
        <v>251</v>
      </c>
      <c r="O1020" s="594">
        <v>45412</v>
      </c>
      <c r="P1020" s="593">
        <f t="shared" si="65"/>
        <v>-91</v>
      </c>
      <c r="Q1020" s="594">
        <v>45503</v>
      </c>
      <c r="R1020" s="593">
        <f t="shared" ca="1" si="66"/>
        <v>-62</v>
      </c>
      <c r="S1020" s="589" t="str">
        <f>VLOOKUP(Q1020,Mapping!L:M,2,0)</f>
        <v>W31_2024</v>
      </c>
      <c r="T1020" s="589" t="str">
        <f t="shared" ca="1" si="67"/>
        <v>Not Due</v>
      </c>
      <c r="W1020" s="591"/>
    </row>
    <row r="1021" spans="1:23" s="589" customFormat="1" x14ac:dyDescent="0.2">
      <c r="A1021" s="589" t="s">
        <v>56</v>
      </c>
      <c r="B1021" s="589" t="s">
        <v>1033</v>
      </c>
      <c r="C1021" s="590" t="s">
        <v>3129</v>
      </c>
      <c r="D1021" s="589" t="s">
        <v>100</v>
      </c>
      <c r="E1021" s="589" t="s">
        <v>104</v>
      </c>
      <c r="F1021" s="589" t="s">
        <v>112</v>
      </c>
      <c r="G1021" s="589" t="s">
        <v>51</v>
      </c>
      <c r="H1021" s="589" t="s">
        <v>242</v>
      </c>
      <c r="I1021" s="589" t="s">
        <v>3319</v>
      </c>
      <c r="J1021" s="589" t="s">
        <v>35</v>
      </c>
      <c r="K1021" s="591">
        <v>531.10900000000004</v>
      </c>
      <c r="L1021" s="592">
        <f>IF(J1021="TND",1,IF(J1021="EUR",Vertical_Cash_flow!$C$16,IF(J1021="USD",Vertical_Cash_flow!$F$16,0)))</f>
        <v>1</v>
      </c>
      <c r="M1021" s="593">
        <f t="shared" si="64"/>
        <v>531.10900000000004</v>
      </c>
      <c r="N1021" s="589" t="s">
        <v>251</v>
      </c>
      <c r="O1021" s="594">
        <v>45420</v>
      </c>
      <c r="P1021" s="593">
        <f t="shared" si="65"/>
        <v>-83</v>
      </c>
      <c r="Q1021" s="594">
        <v>45503</v>
      </c>
      <c r="R1021" s="593">
        <f t="shared" ca="1" si="66"/>
        <v>-62</v>
      </c>
      <c r="S1021" s="589" t="str">
        <f>VLOOKUP(Q1021,Mapping!L:M,2,0)</f>
        <v>W31_2024</v>
      </c>
      <c r="T1021" s="589" t="str">
        <f t="shared" ca="1" si="67"/>
        <v>Not Due</v>
      </c>
      <c r="W1021" s="591"/>
    </row>
    <row r="1022" spans="1:23" s="589" customFormat="1" x14ac:dyDescent="0.2">
      <c r="A1022" s="589" t="s">
        <v>56</v>
      </c>
      <c r="B1022" s="589" t="s">
        <v>304</v>
      </c>
      <c r="C1022" s="590" t="s">
        <v>2407</v>
      </c>
      <c r="D1022" s="589" t="s">
        <v>100</v>
      </c>
      <c r="E1022" s="589" t="s">
        <v>104</v>
      </c>
      <c r="F1022" s="589" t="s">
        <v>112</v>
      </c>
      <c r="G1022" s="589" t="s">
        <v>51</v>
      </c>
      <c r="H1022" s="589" t="s">
        <v>242</v>
      </c>
      <c r="I1022" s="589" t="s">
        <v>2737</v>
      </c>
      <c r="J1022" s="589" t="s">
        <v>35</v>
      </c>
      <c r="K1022" s="591">
        <v>1191.7429999999999</v>
      </c>
      <c r="L1022" s="592">
        <f>IF(J1022="TND",1,IF(J1022="EUR",Vertical_Cash_flow!$C$16,IF(J1022="USD",Vertical_Cash_flow!$F$16,0)))</f>
        <v>1</v>
      </c>
      <c r="M1022" s="593">
        <f t="shared" si="64"/>
        <v>1191.7429999999999</v>
      </c>
      <c r="N1022" s="589" t="s">
        <v>251</v>
      </c>
      <c r="O1022" s="594">
        <v>45404</v>
      </c>
      <c r="P1022" s="593">
        <f t="shared" si="65"/>
        <v>-99</v>
      </c>
      <c r="Q1022" s="594">
        <v>45503</v>
      </c>
      <c r="R1022" s="593">
        <f t="shared" ca="1" si="66"/>
        <v>-62</v>
      </c>
      <c r="S1022" s="589" t="str">
        <f>VLOOKUP(Q1022,Mapping!L:M,2,0)</f>
        <v>W31_2024</v>
      </c>
      <c r="T1022" s="589" t="str">
        <f t="shared" ca="1" si="67"/>
        <v>Not Due</v>
      </c>
      <c r="W1022" s="591"/>
    </row>
    <row r="1023" spans="1:23" s="589" customFormat="1" x14ac:dyDescent="0.2">
      <c r="A1023" s="589" t="s">
        <v>56</v>
      </c>
      <c r="B1023" s="589" t="s">
        <v>846</v>
      </c>
      <c r="C1023" s="590" t="s">
        <v>2406</v>
      </c>
      <c r="D1023" s="589" t="s">
        <v>100</v>
      </c>
      <c r="E1023" s="589" t="s">
        <v>104</v>
      </c>
      <c r="F1023" s="589" t="s">
        <v>112</v>
      </c>
      <c r="G1023" s="589" t="s">
        <v>51</v>
      </c>
      <c r="H1023" s="589" t="s">
        <v>242</v>
      </c>
      <c r="I1023" s="589" t="s">
        <v>2736</v>
      </c>
      <c r="J1023" s="589" t="s">
        <v>35</v>
      </c>
      <c r="K1023" s="591">
        <v>11855.08</v>
      </c>
      <c r="L1023" s="592">
        <f>IF(J1023="TND",1,IF(J1023="EUR",Vertical_Cash_flow!$C$16,IF(J1023="USD",Vertical_Cash_flow!$F$16,0)))</f>
        <v>1</v>
      </c>
      <c r="M1023" s="593">
        <f t="shared" si="64"/>
        <v>11855.08</v>
      </c>
      <c r="N1023" s="589" t="s">
        <v>251</v>
      </c>
      <c r="O1023" s="594">
        <v>45407</v>
      </c>
      <c r="P1023" s="593">
        <f t="shared" si="65"/>
        <v>-96</v>
      </c>
      <c r="Q1023" s="594">
        <v>45503</v>
      </c>
      <c r="R1023" s="593">
        <f t="shared" ca="1" si="66"/>
        <v>-62</v>
      </c>
      <c r="S1023" s="589" t="str">
        <f>VLOOKUP(Q1023,Mapping!L:M,2,0)</f>
        <v>W31_2024</v>
      </c>
      <c r="T1023" s="589" t="str">
        <f t="shared" ca="1" si="67"/>
        <v>Not Due</v>
      </c>
      <c r="W1023" s="591"/>
    </row>
    <row r="1024" spans="1:23" s="589" customFormat="1" x14ac:dyDescent="0.2">
      <c r="A1024" s="589" t="s">
        <v>56</v>
      </c>
      <c r="B1024" s="589" t="s">
        <v>490</v>
      </c>
      <c r="C1024" s="590" t="s">
        <v>3128</v>
      </c>
      <c r="D1024" s="589" t="s">
        <v>100</v>
      </c>
      <c r="E1024" s="589" t="s">
        <v>104</v>
      </c>
      <c r="F1024" s="589" t="s">
        <v>112</v>
      </c>
      <c r="G1024" s="589" t="s">
        <v>51</v>
      </c>
      <c r="H1024" s="589" t="s">
        <v>242</v>
      </c>
      <c r="I1024" s="589" t="s">
        <v>3318</v>
      </c>
      <c r="J1024" s="589" t="s">
        <v>35</v>
      </c>
      <c r="K1024" s="591">
        <v>1953.55</v>
      </c>
      <c r="L1024" s="592">
        <f>IF(J1024="TND",1,IF(J1024="EUR",Vertical_Cash_flow!$C$16,IF(J1024="USD",Vertical_Cash_flow!$F$16,0)))</f>
        <v>1</v>
      </c>
      <c r="M1024" s="593">
        <f t="shared" si="64"/>
        <v>1953.55</v>
      </c>
      <c r="N1024" s="589" t="s">
        <v>251</v>
      </c>
      <c r="O1024" s="594">
        <v>45420</v>
      </c>
      <c r="P1024" s="593">
        <f t="shared" si="65"/>
        <v>-83</v>
      </c>
      <c r="Q1024" s="594">
        <v>45503</v>
      </c>
      <c r="R1024" s="593">
        <f t="shared" ca="1" si="66"/>
        <v>-62</v>
      </c>
      <c r="S1024" s="589" t="str">
        <f>VLOOKUP(Q1024,Mapping!L:M,2,0)</f>
        <v>W31_2024</v>
      </c>
      <c r="T1024" s="589" t="str">
        <f t="shared" ca="1" si="67"/>
        <v>Not Due</v>
      </c>
      <c r="W1024" s="591"/>
    </row>
    <row r="1025" spans="1:23" s="589" customFormat="1" x14ac:dyDescent="0.2">
      <c r="A1025" s="589" t="s">
        <v>56</v>
      </c>
      <c r="B1025" s="589" t="s">
        <v>760</v>
      </c>
      <c r="C1025" s="590" t="s">
        <v>1534</v>
      </c>
      <c r="D1025" s="589" t="s">
        <v>100</v>
      </c>
      <c r="E1025" s="589" t="s">
        <v>104</v>
      </c>
      <c r="F1025" s="589" t="s">
        <v>112</v>
      </c>
      <c r="G1025" s="589" t="s">
        <v>51</v>
      </c>
      <c r="H1025" s="589" t="s">
        <v>242</v>
      </c>
      <c r="I1025" s="589" t="s">
        <v>1004</v>
      </c>
      <c r="J1025" s="589" t="s">
        <v>35</v>
      </c>
      <c r="K1025" s="591">
        <v>3436.3649999999998</v>
      </c>
      <c r="L1025" s="592">
        <f>IF(J1025="TND",1,IF(J1025="EUR",Vertical_Cash_flow!$C$16,IF(J1025="USD",Vertical_Cash_flow!$F$16,0)))</f>
        <v>1</v>
      </c>
      <c r="M1025" s="593">
        <f t="shared" si="64"/>
        <v>3436.3649999999998</v>
      </c>
      <c r="N1025" s="589" t="s">
        <v>251</v>
      </c>
      <c r="O1025" s="594">
        <v>45365</v>
      </c>
      <c r="P1025" s="593">
        <f t="shared" si="65"/>
        <v>-138</v>
      </c>
      <c r="Q1025" s="594">
        <v>45503</v>
      </c>
      <c r="R1025" s="593">
        <f t="shared" ca="1" si="66"/>
        <v>-62</v>
      </c>
      <c r="S1025" s="589" t="str">
        <f>VLOOKUP(Q1025,Mapping!L:M,2,0)</f>
        <v>W31_2024</v>
      </c>
      <c r="T1025" s="589" t="str">
        <f t="shared" ca="1" si="67"/>
        <v>Not Due</v>
      </c>
      <c r="W1025" s="591"/>
    </row>
    <row r="1026" spans="1:23" s="589" customFormat="1" x14ac:dyDescent="0.2">
      <c r="A1026" s="589" t="s">
        <v>56</v>
      </c>
      <c r="B1026" s="589" t="s">
        <v>1051</v>
      </c>
      <c r="C1026" s="590" t="s">
        <v>2403</v>
      </c>
      <c r="D1026" s="589" t="s">
        <v>100</v>
      </c>
      <c r="E1026" s="589" t="s">
        <v>104</v>
      </c>
      <c r="F1026" s="589" t="s">
        <v>112</v>
      </c>
      <c r="G1026" s="589" t="s">
        <v>51</v>
      </c>
      <c r="H1026" s="589" t="s">
        <v>242</v>
      </c>
      <c r="I1026" s="589" t="s">
        <v>2733</v>
      </c>
      <c r="J1026" s="589" t="s">
        <v>35</v>
      </c>
      <c r="K1026" s="591">
        <v>4344.0789999999997</v>
      </c>
      <c r="L1026" s="592">
        <f>IF(J1026="TND",1,IF(J1026="EUR",Vertical_Cash_flow!$C$16,IF(J1026="USD",Vertical_Cash_flow!$F$16,0)))</f>
        <v>1</v>
      </c>
      <c r="M1026" s="593">
        <f t="shared" si="64"/>
        <v>4344.0789999999997</v>
      </c>
      <c r="N1026" s="589" t="s">
        <v>251</v>
      </c>
      <c r="O1026" s="594">
        <v>45408</v>
      </c>
      <c r="P1026" s="593">
        <f t="shared" si="65"/>
        <v>-95</v>
      </c>
      <c r="Q1026" s="594">
        <v>45503</v>
      </c>
      <c r="R1026" s="593">
        <f t="shared" ca="1" si="66"/>
        <v>-62</v>
      </c>
      <c r="S1026" s="589" t="str">
        <f>VLOOKUP(Q1026,Mapping!L:M,2,0)</f>
        <v>W31_2024</v>
      </c>
      <c r="T1026" s="589" t="str">
        <f t="shared" ca="1" si="67"/>
        <v>Not Due</v>
      </c>
      <c r="W1026" s="591"/>
    </row>
    <row r="1027" spans="1:23" s="589" customFormat="1" x14ac:dyDescent="0.2">
      <c r="A1027" s="589" t="s">
        <v>56</v>
      </c>
      <c r="B1027" s="589" t="s">
        <v>294</v>
      </c>
      <c r="C1027" s="590" t="s">
        <v>2409</v>
      </c>
      <c r="D1027" s="589" t="s">
        <v>100</v>
      </c>
      <c r="E1027" s="589" t="s">
        <v>104</v>
      </c>
      <c r="F1027" s="589" t="s">
        <v>112</v>
      </c>
      <c r="G1027" s="589" t="s">
        <v>51</v>
      </c>
      <c r="H1027" s="589" t="s">
        <v>242</v>
      </c>
      <c r="I1027" s="589" t="s">
        <v>2739</v>
      </c>
      <c r="J1027" s="589" t="s">
        <v>35</v>
      </c>
      <c r="K1027" s="591">
        <v>2000</v>
      </c>
      <c r="L1027" s="592">
        <f>IF(J1027="TND",1,IF(J1027="EUR",Vertical_Cash_flow!$C$16,IF(J1027="USD",Vertical_Cash_flow!$F$16,0)))</f>
        <v>1</v>
      </c>
      <c r="M1027" s="593">
        <f t="shared" si="64"/>
        <v>2000</v>
      </c>
      <c r="N1027" s="589" t="s">
        <v>251</v>
      </c>
      <c r="O1027" s="594">
        <v>45399</v>
      </c>
      <c r="P1027" s="593">
        <f t="shared" si="65"/>
        <v>-104</v>
      </c>
      <c r="Q1027" s="594">
        <v>45503</v>
      </c>
      <c r="R1027" s="593">
        <f t="shared" ca="1" si="66"/>
        <v>-62</v>
      </c>
      <c r="S1027" s="589" t="str">
        <f>VLOOKUP(Q1027,Mapping!L:M,2,0)</f>
        <v>W31_2024</v>
      </c>
      <c r="T1027" s="589" t="str">
        <f t="shared" ca="1" si="67"/>
        <v>Not Due</v>
      </c>
      <c r="W1027" s="591"/>
    </row>
    <row r="1028" spans="1:23" s="589" customFormat="1" x14ac:dyDescent="0.2">
      <c r="A1028" s="589" t="s">
        <v>56</v>
      </c>
      <c r="B1028" s="589" t="s">
        <v>610</v>
      </c>
      <c r="C1028" s="590" t="s">
        <v>2404</v>
      </c>
      <c r="D1028" s="589" t="s">
        <v>100</v>
      </c>
      <c r="E1028" s="589" t="s">
        <v>104</v>
      </c>
      <c r="F1028" s="589" t="s">
        <v>112</v>
      </c>
      <c r="G1028" s="589" t="s">
        <v>51</v>
      </c>
      <c r="H1028" s="589" t="s">
        <v>242</v>
      </c>
      <c r="I1028" s="589" t="s">
        <v>2734</v>
      </c>
      <c r="J1028" s="589" t="s">
        <v>35</v>
      </c>
      <c r="K1028" s="591">
        <v>1070.751</v>
      </c>
      <c r="L1028" s="592">
        <f>IF(J1028="TND",1,IF(J1028="EUR",Vertical_Cash_flow!$C$16,IF(J1028="USD",Vertical_Cash_flow!$F$16,0)))</f>
        <v>1</v>
      </c>
      <c r="M1028" s="593">
        <f t="shared" si="64"/>
        <v>1070.751</v>
      </c>
      <c r="N1028" s="589" t="s">
        <v>251</v>
      </c>
      <c r="O1028" s="594">
        <v>45408</v>
      </c>
      <c r="P1028" s="593">
        <f t="shared" si="65"/>
        <v>-95</v>
      </c>
      <c r="Q1028" s="594">
        <v>45503</v>
      </c>
      <c r="R1028" s="593">
        <f t="shared" ca="1" si="66"/>
        <v>-62</v>
      </c>
      <c r="S1028" s="589" t="str">
        <f>VLOOKUP(Q1028,Mapping!L:M,2,0)</f>
        <v>W31_2024</v>
      </c>
      <c r="T1028" s="589" t="str">
        <f t="shared" ca="1" si="67"/>
        <v>Not Due</v>
      </c>
      <c r="W1028" s="591"/>
    </row>
    <row r="1029" spans="1:23" s="589" customFormat="1" x14ac:dyDescent="0.2">
      <c r="A1029" s="589" t="s">
        <v>56</v>
      </c>
      <c r="B1029" s="589" t="s">
        <v>487</v>
      </c>
      <c r="C1029" s="590" t="s">
        <v>2405</v>
      </c>
      <c r="D1029" s="589" t="s">
        <v>100</v>
      </c>
      <c r="E1029" s="589" t="s">
        <v>104</v>
      </c>
      <c r="F1029" s="589" t="s">
        <v>112</v>
      </c>
      <c r="G1029" s="589" t="s">
        <v>51</v>
      </c>
      <c r="H1029" s="589" t="s">
        <v>242</v>
      </c>
      <c r="I1029" s="589" t="s">
        <v>2735</v>
      </c>
      <c r="J1029" s="589" t="s">
        <v>35</v>
      </c>
      <c r="K1029" s="591">
        <v>2692.1950000000002</v>
      </c>
      <c r="L1029" s="592">
        <f>IF(J1029="TND",1,IF(J1029="EUR",Vertical_Cash_flow!$C$16,IF(J1029="USD",Vertical_Cash_flow!$F$16,0)))</f>
        <v>1</v>
      </c>
      <c r="M1029" s="593">
        <f t="shared" si="64"/>
        <v>2692.1950000000002</v>
      </c>
      <c r="N1029" s="589" t="s">
        <v>251</v>
      </c>
      <c r="O1029" s="594">
        <v>45408</v>
      </c>
      <c r="P1029" s="593">
        <f t="shared" si="65"/>
        <v>-95</v>
      </c>
      <c r="Q1029" s="594">
        <v>45503</v>
      </c>
      <c r="R1029" s="593">
        <f t="shared" ca="1" si="66"/>
        <v>-62</v>
      </c>
      <c r="S1029" s="589" t="str">
        <f>VLOOKUP(Q1029,Mapping!L:M,2,0)</f>
        <v>W31_2024</v>
      </c>
      <c r="T1029" s="589" t="str">
        <f t="shared" ca="1" si="67"/>
        <v>Not Due</v>
      </c>
      <c r="W1029" s="591"/>
    </row>
    <row r="1030" spans="1:23" s="589" customFormat="1" x14ac:dyDescent="0.2">
      <c r="A1030" s="589" t="s">
        <v>56</v>
      </c>
      <c r="B1030" s="589" t="s">
        <v>3007</v>
      </c>
      <c r="C1030" s="590" t="s">
        <v>3133</v>
      </c>
      <c r="D1030" s="589" t="s">
        <v>100</v>
      </c>
      <c r="E1030" s="589" t="s">
        <v>104</v>
      </c>
      <c r="F1030" s="589" t="s">
        <v>112</v>
      </c>
      <c r="G1030" s="589" t="s">
        <v>51</v>
      </c>
      <c r="H1030" s="589" t="s">
        <v>242</v>
      </c>
      <c r="I1030" s="589" t="s">
        <v>3322</v>
      </c>
      <c r="J1030" s="589" t="s">
        <v>35</v>
      </c>
      <c r="K1030" s="591">
        <v>1601.7570000000001</v>
      </c>
      <c r="L1030" s="592">
        <f>IF(J1030="TND",1,IF(J1030="EUR",Vertical_Cash_flow!$C$16,IF(J1030="USD",Vertical_Cash_flow!$F$16,0)))</f>
        <v>1</v>
      </c>
      <c r="M1030" s="593">
        <f t="shared" si="64"/>
        <v>1601.7570000000001</v>
      </c>
      <c r="N1030" s="589" t="s">
        <v>251</v>
      </c>
      <c r="O1030" s="594">
        <v>45420</v>
      </c>
      <c r="P1030" s="593">
        <f t="shared" si="65"/>
        <v>-83</v>
      </c>
      <c r="Q1030" s="594">
        <v>45503</v>
      </c>
      <c r="R1030" s="593">
        <f t="shared" ca="1" si="66"/>
        <v>-62</v>
      </c>
      <c r="S1030" s="589" t="str">
        <f>VLOOKUP(Q1030,Mapping!L:M,2,0)</f>
        <v>W31_2024</v>
      </c>
      <c r="T1030" s="589" t="str">
        <f t="shared" ca="1" si="67"/>
        <v>Not Due</v>
      </c>
      <c r="W1030" s="591"/>
    </row>
    <row r="1031" spans="1:23" s="589" customFormat="1" x14ac:dyDescent="0.2">
      <c r="A1031" s="589" t="s">
        <v>56</v>
      </c>
      <c r="B1031" s="589" t="s">
        <v>760</v>
      </c>
      <c r="C1031" s="590" t="s">
        <v>2408</v>
      </c>
      <c r="D1031" s="589" t="s">
        <v>100</v>
      </c>
      <c r="E1031" s="589" t="s">
        <v>104</v>
      </c>
      <c r="F1031" s="589" t="s">
        <v>112</v>
      </c>
      <c r="G1031" s="589" t="s">
        <v>51</v>
      </c>
      <c r="H1031" s="589" t="s">
        <v>242</v>
      </c>
      <c r="I1031" s="589" t="s">
        <v>2738</v>
      </c>
      <c r="J1031" s="589" t="s">
        <v>35</v>
      </c>
      <c r="K1031" s="591">
        <v>4120.482</v>
      </c>
      <c r="L1031" s="592">
        <f>IF(J1031="TND",1,IF(J1031="EUR",Vertical_Cash_flow!$C$16,IF(J1031="USD",Vertical_Cash_flow!$F$16,0)))</f>
        <v>1</v>
      </c>
      <c r="M1031" s="593">
        <f t="shared" si="64"/>
        <v>4120.482</v>
      </c>
      <c r="N1031" s="589" t="s">
        <v>251</v>
      </c>
      <c r="O1031" s="594">
        <v>45400</v>
      </c>
      <c r="P1031" s="593">
        <f t="shared" si="65"/>
        <v>-103</v>
      </c>
      <c r="Q1031" s="594">
        <v>45503</v>
      </c>
      <c r="R1031" s="593">
        <f t="shared" ca="1" si="66"/>
        <v>-62</v>
      </c>
      <c r="S1031" s="589" t="str">
        <f>VLOOKUP(Q1031,Mapping!L:M,2,0)</f>
        <v>W31_2024</v>
      </c>
      <c r="T1031" s="589" t="str">
        <f t="shared" ca="1" si="67"/>
        <v>Not Due</v>
      </c>
      <c r="W1031" s="591"/>
    </row>
    <row r="1032" spans="1:23" s="589" customFormat="1" x14ac:dyDescent="0.2">
      <c r="A1032" s="589" t="s">
        <v>56</v>
      </c>
      <c r="B1032" s="589" t="s">
        <v>314</v>
      </c>
      <c r="C1032" s="590" t="s">
        <v>3509</v>
      </c>
      <c r="D1032" s="589" t="s">
        <v>100</v>
      </c>
      <c r="E1032" s="589" t="s">
        <v>104</v>
      </c>
      <c r="F1032" s="589" t="s">
        <v>112</v>
      </c>
      <c r="G1032" s="589" t="s">
        <v>51</v>
      </c>
      <c r="H1032" s="589" t="s">
        <v>242</v>
      </c>
      <c r="I1032" s="589" t="s">
        <v>3666</v>
      </c>
      <c r="J1032" s="589" t="s">
        <v>35</v>
      </c>
      <c r="K1032" s="591">
        <v>3179.9690000000001</v>
      </c>
      <c r="L1032" s="592">
        <f>IF(J1032="TND",1,IF(J1032="EUR",Vertical_Cash_flow!$C$16,IF(J1032="USD",Vertical_Cash_flow!$F$16,0)))</f>
        <v>1</v>
      </c>
      <c r="M1032" s="593">
        <f t="shared" si="64"/>
        <v>3179.9690000000001</v>
      </c>
      <c r="N1032" s="589" t="s">
        <v>251</v>
      </c>
      <c r="O1032" s="594">
        <v>45429</v>
      </c>
      <c r="P1032" s="593">
        <f t="shared" si="65"/>
        <v>-74</v>
      </c>
      <c r="Q1032" s="594">
        <v>45503</v>
      </c>
      <c r="R1032" s="593">
        <f t="shared" ca="1" si="66"/>
        <v>-62</v>
      </c>
      <c r="S1032" s="589" t="str">
        <f>VLOOKUP(Q1032,Mapping!L:M,2,0)</f>
        <v>W31_2024</v>
      </c>
      <c r="T1032" s="589" t="str">
        <f t="shared" ca="1" si="67"/>
        <v>Not Due</v>
      </c>
      <c r="W1032" s="591"/>
    </row>
    <row r="1033" spans="1:23" s="589" customFormat="1" x14ac:dyDescent="0.2">
      <c r="A1033" s="589" t="s">
        <v>56</v>
      </c>
      <c r="B1033" s="589" t="s">
        <v>563</v>
      </c>
      <c r="C1033" s="590" t="s">
        <v>3508</v>
      </c>
      <c r="D1033" s="589" t="s">
        <v>100</v>
      </c>
      <c r="E1033" s="589" t="s">
        <v>104</v>
      </c>
      <c r="F1033" s="589" t="s">
        <v>112</v>
      </c>
      <c r="G1033" s="589" t="s">
        <v>51</v>
      </c>
      <c r="H1033" s="589" t="s">
        <v>242</v>
      </c>
      <c r="I1033" s="589" t="s">
        <v>3665</v>
      </c>
      <c r="J1033" s="589" t="s">
        <v>35</v>
      </c>
      <c r="K1033" s="591">
        <v>1008.871</v>
      </c>
      <c r="L1033" s="592">
        <f>IF(J1033="TND",1,IF(J1033="EUR",Vertical_Cash_flow!$C$16,IF(J1033="USD",Vertical_Cash_flow!$F$16,0)))</f>
        <v>1</v>
      </c>
      <c r="M1033" s="593">
        <f t="shared" si="64"/>
        <v>1008.871</v>
      </c>
      <c r="N1033" s="589" t="s">
        <v>251</v>
      </c>
      <c r="O1033" s="594">
        <v>45426</v>
      </c>
      <c r="P1033" s="593">
        <f t="shared" si="65"/>
        <v>-77</v>
      </c>
      <c r="Q1033" s="594">
        <v>45503</v>
      </c>
      <c r="R1033" s="593">
        <f t="shared" ca="1" si="66"/>
        <v>-62</v>
      </c>
      <c r="S1033" s="589" t="str">
        <f>VLOOKUP(Q1033,Mapping!L:M,2,0)</f>
        <v>W31_2024</v>
      </c>
      <c r="T1033" s="589" t="str">
        <f t="shared" ca="1" si="67"/>
        <v>Not Due</v>
      </c>
      <c r="W1033" s="591"/>
    </row>
    <row r="1034" spans="1:23" s="589" customFormat="1" x14ac:dyDescent="0.2">
      <c r="A1034" s="589" t="s">
        <v>56</v>
      </c>
      <c r="B1034" s="589" t="s">
        <v>551</v>
      </c>
      <c r="C1034" s="590" t="s">
        <v>3507</v>
      </c>
      <c r="D1034" s="589" t="s">
        <v>100</v>
      </c>
      <c r="E1034" s="589" t="s">
        <v>104</v>
      </c>
      <c r="F1034" s="589" t="s">
        <v>112</v>
      </c>
      <c r="G1034" s="589" t="s">
        <v>51</v>
      </c>
      <c r="H1034" s="589" t="s">
        <v>242</v>
      </c>
      <c r="I1034" s="589" t="s">
        <v>3664</v>
      </c>
      <c r="J1034" s="589" t="s">
        <v>35</v>
      </c>
      <c r="K1034" s="591">
        <v>2976.37</v>
      </c>
      <c r="L1034" s="592">
        <f>IF(J1034="TND",1,IF(J1034="EUR",Vertical_Cash_flow!$C$16,IF(J1034="USD",Vertical_Cash_flow!$F$16,0)))</f>
        <v>1</v>
      </c>
      <c r="M1034" s="593">
        <f t="shared" si="64"/>
        <v>2976.37</v>
      </c>
      <c r="N1034" s="589" t="s">
        <v>251</v>
      </c>
      <c r="O1034" s="594">
        <v>45429</v>
      </c>
      <c r="P1034" s="593">
        <f t="shared" si="65"/>
        <v>-74</v>
      </c>
      <c r="Q1034" s="594">
        <v>45503</v>
      </c>
      <c r="R1034" s="593">
        <f t="shared" ca="1" si="66"/>
        <v>-62</v>
      </c>
      <c r="S1034" s="589" t="str">
        <f>VLOOKUP(Q1034,Mapping!L:M,2,0)</f>
        <v>W31_2024</v>
      </c>
      <c r="T1034" s="589" t="str">
        <f t="shared" ca="1" si="67"/>
        <v>Not Due</v>
      </c>
      <c r="W1034" s="591"/>
    </row>
    <row r="1035" spans="1:23" s="589" customFormat="1" x14ac:dyDescent="0.2">
      <c r="A1035" s="589" t="s">
        <v>56</v>
      </c>
      <c r="B1035" s="589" t="s">
        <v>401</v>
      </c>
      <c r="C1035" s="590" t="s">
        <v>3123</v>
      </c>
      <c r="D1035" s="589" t="s">
        <v>100</v>
      </c>
      <c r="E1035" s="589" t="s">
        <v>104</v>
      </c>
      <c r="F1035" s="589" t="s">
        <v>112</v>
      </c>
      <c r="G1035" s="589" t="s">
        <v>51</v>
      </c>
      <c r="H1035" s="589" t="s">
        <v>242</v>
      </c>
      <c r="I1035" s="589" t="s">
        <v>3313</v>
      </c>
      <c r="J1035" s="589" t="s">
        <v>35</v>
      </c>
      <c r="K1035" s="591">
        <v>2395.5079999999998</v>
      </c>
      <c r="L1035" s="592">
        <f>IF(J1035="TND",1,IF(J1035="EUR",Vertical_Cash_flow!$C$16,IF(J1035="USD",Vertical_Cash_flow!$F$16,0)))</f>
        <v>1</v>
      </c>
      <c r="M1035" s="593">
        <f t="shared" si="64"/>
        <v>2395.5079999999998</v>
      </c>
      <c r="N1035" s="589" t="s">
        <v>251</v>
      </c>
      <c r="O1035" s="594">
        <v>45415</v>
      </c>
      <c r="P1035" s="593">
        <f t="shared" si="65"/>
        <v>-88</v>
      </c>
      <c r="Q1035" s="594">
        <v>45503</v>
      </c>
      <c r="R1035" s="593">
        <f t="shared" ca="1" si="66"/>
        <v>-62</v>
      </c>
      <c r="S1035" s="589" t="str">
        <f>VLOOKUP(Q1035,Mapping!L:M,2,0)</f>
        <v>W31_2024</v>
      </c>
      <c r="T1035" s="589" t="str">
        <f t="shared" ca="1" si="67"/>
        <v>Not Due</v>
      </c>
      <c r="W1035" s="591"/>
    </row>
    <row r="1036" spans="1:23" s="589" customFormat="1" x14ac:dyDescent="0.2">
      <c r="A1036" s="589" t="s">
        <v>56</v>
      </c>
      <c r="B1036" s="589" t="s">
        <v>793</v>
      </c>
      <c r="C1036" s="590" t="s">
        <v>3506</v>
      </c>
      <c r="D1036" s="589" t="s">
        <v>100</v>
      </c>
      <c r="E1036" s="589" t="s">
        <v>104</v>
      </c>
      <c r="F1036" s="589" t="s">
        <v>112</v>
      </c>
      <c r="G1036" s="589" t="s">
        <v>51</v>
      </c>
      <c r="H1036" s="589" t="s">
        <v>242</v>
      </c>
      <c r="I1036" s="589" t="s">
        <v>3663</v>
      </c>
      <c r="J1036" s="589" t="s">
        <v>35</v>
      </c>
      <c r="K1036" s="591">
        <v>3055.2759999999998</v>
      </c>
      <c r="L1036" s="592">
        <f>IF(J1036="TND",1,IF(J1036="EUR",Vertical_Cash_flow!$C$16,IF(J1036="USD",Vertical_Cash_flow!$F$16,0)))</f>
        <v>1</v>
      </c>
      <c r="M1036" s="593">
        <f t="shared" si="64"/>
        <v>3055.2759999999998</v>
      </c>
      <c r="N1036" s="589" t="s">
        <v>251</v>
      </c>
      <c r="O1036" s="594">
        <v>45427</v>
      </c>
      <c r="P1036" s="593">
        <f t="shared" si="65"/>
        <v>-76</v>
      </c>
      <c r="Q1036" s="594">
        <v>45503</v>
      </c>
      <c r="R1036" s="593">
        <f t="shared" ca="1" si="66"/>
        <v>-62</v>
      </c>
      <c r="S1036" s="589" t="str">
        <f>VLOOKUP(Q1036,Mapping!L:M,2,0)</f>
        <v>W31_2024</v>
      </c>
      <c r="T1036" s="589" t="str">
        <f t="shared" ca="1" si="67"/>
        <v>Not Due</v>
      </c>
      <c r="W1036" s="591"/>
    </row>
    <row r="1037" spans="1:23" s="589" customFormat="1" x14ac:dyDescent="0.2">
      <c r="A1037" s="589" t="s">
        <v>56</v>
      </c>
      <c r="B1037" s="589" t="s">
        <v>400</v>
      </c>
      <c r="C1037" s="590" t="s">
        <v>3124</v>
      </c>
      <c r="D1037" s="589" t="s">
        <v>100</v>
      </c>
      <c r="E1037" s="589" t="s">
        <v>104</v>
      </c>
      <c r="F1037" s="589" t="s">
        <v>112</v>
      </c>
      <c r="G1037" s="589" t="s">
        <v>51</v>
      </c>
      <c r="H1037" s="589" t="s">
        <v>242</v>
      </c>
      <c r="I1037" s="589" t="s">
        <v>3314</v>
      </c>
      <c r="J1037" s="589" t="s">
        <v>35</v>
      </c>
      <c r="K1037" s="591">
        <v>3878.442</v>
      </c>
      <c r="L1037" s="592">
        <f>IF(J1037="TND",1,IF(J1037="EUR",Vertical_Cash_flow!$C$16,IF(J1037="USD",Vertical_Cash_flow!$F$16,0)))</f>
        <v>1</v>
      </c>
      <c r="M1037" s="593">
        <f t="shared" si="64"/>
        <v>3878.442</v>
      </c>
      <c r="N1037" s="589" t="s">
        <v>251</v>
      </c>
      <c r="O1037" s="594">
        <v>45420</v>
      </c>
      <c r="P1037" s="593">
        <f t="shared" si="65"/>
        <v>-83</v>
      </c>
      <c r="Q1037" s="594">
        <v>45503</v>
      </c>
      <c r="R1037" s="593">
        <f t="shared" ca="1" si="66"/>
        <v>-62</v>
      </c>
      <c r="S1037" s="589" t="str">
        <f>VLOOKUP(Q1037,Mapping!L:M,2,0)</f>
        <v>W31_2024</v>
      </c>
      <c r="T1037" s="589" t="str">
        <f t="shared" ca="1" si="67"/>
        <v>Not Due</v>
      </c>
      <c r="W1037" s="591"/>
    </row>
    <row r="1038" spans="1:23" s="589" customFormat="1" x14ac:dyDescent="0.2">
      <c r="A1038" s="589" t="s">
        <v>56</v>
      </c>
      <c r="B1038" s="589" t="s">
        <v>808</v>
      </c>
      <c r="C1038" s="590" t="s">
        <v>1533</v>
      </c>
      <c r="D1038" s="589" t="s">
        <v>100</v>
      </c>
      <c r="E1038" s="589" t="s">
        <v>104</v>
      </c>
      <c r="F1038" s="589" t="s">
        <v>112</v>
      </c>
      <c r="G1038" s="589" t="s">
        <v>51</v>
      </c>
      <c r="H1038" s="589" t="s">
        <v>242</v>
      </c>
      <c r="I1038" s="589" t="s">
        <v>1943</v>
      </c>
      <c r="J1038" s="589" t="s">
        <v>35</v>
      </c>
      <c r="K1038" s="591">
        <v>2724.6709999999998</v>
      </c>
      <c r="L1038" s="592">
        <f>IF(J1038="TND",1,IF(J1038="EUR",Vertical_Cash_flow!$C$16,IF(J1038="USD",Vertical_Cash_flow!$F$16,0)))</f>
        <v>1</v>
      </c>
      <c r="M1038" s="593">
        <f t="shared" si="64"/>
        <v>2724.6709999999998</v>
      </c>
      <c r="N1038" s="589" t="s">
        <v>251</v>
      </c>
      <c r="O1038" s="594">
        <v>45358</v>
      </c>
      <c r="P1038" s="593">
        <f t="shared" si="65"/>
        <v>-145</v>
      </c>
      <c r="Q1038" s="594">
        <v>45503</v>
      </c>
      <c r="R1038" s="593">
        <f t="shared" ca="1" si="66"/>
        <v>-62</v>
      </c>
      <c r="S1038" s="589" t="str">
        <f>VLOOKUP(Q1038,Mapping!L:M,2,0)</f>
        <v>W31_2024</v>
      </c>
      <c r="T1038" s="589" t="str">
        <f t="shared" ca="1" si="67"/>
        <v>Not Due</v>
      </c>
      <c r="W1038" s="591"/>
    </row>
    <row r="1039" spans="1:23" s="589" customFormat="1" x14ac:dyDescent="0.2">
      <c r="A1039" s="589" t="s">
        <v>56</v>
      </c>
      <c r="B1039" s="589" t="s">
        <v>279</v>
      </c>
      <c r="C1039" s="590" t="s">
        <v>1532</v>
      </c>
      <c r="D1039" s="589" t="s">
        <v>100</v>
      </c>
      <c r="E1039" s="589" t="s">
        <v>104</v>
      </c>
      <c r="F1039" s="589" t="s">
        <v>112</v>
      </c>
      <c r="G1039" s="589" t="s">
        <v>51</v>
      </c>
      <c r="H1039" s="589" t="s">
        <v>242</v>
      </c>
      <c r="I1039" s="589" t="s">
        <v>1942</v>
      </c>
      <c r="J1039" s="589" t="s">
        <v>35</v>
      </c>
      <c r="K1039" s="591">
        <v>2500</v>
      </c>
      <c r="L1039" s="592">
        <f>IF(J1039="TND",1,IF(J1039="EUR",Vertical_Cash_flow!$C$16,IF(J1039="USD",Vertical_Cash_flow!$F$16,0)))</f>
        <v>1</v>
      </c>
      <c r="M1039" s="593">
        <f t="shared" si="64"/>
        <v>2500</v>
      </c>
      <c r="N1039" s="589" t="s">
        <v>251</v>
      </c>
      <c r="O1039" s="594">
        <v>45358</v>
      </c>
      <c r="P1039" s="593">
        <f t="shared" si="65"/>
        <v>-145</v>
      </c>
      <c r="Q1039" s="594">
        <v>45503</v>
      </c>
      <c r="R1039" s="593">
        <f t="shared" ca="1" si="66"/>
        <v>-62</v>
      </c>
      <c r="S1039" s="589" t="str">
        <f>VLOOKUP(Q1039,Mapping!L:M,2,0)</f>
        <v>W31_2024</v>
      </c>
      <c r="T1039" s="589" t="str">
        <f t="shared" ca="1" si="67"/>
        <v>Not Due</v>
      </c>
      <c r="W1039" s="591"/>
    </row>
    <row r="1040" spans="1:23" s="589" customFormat="1" x14ac:dyDescent="0.2">
      <c r="A1040" s="589" t="s">
        <v>56</v>
      </c>
      <c r="B1040" s="589" t="s">
        <v>343</v>
      </c>
      <c r="C1040" s="590" t="s">
        <v>3121</v>
      </c>
      <c r="D1040" s="589" t="s">
        <v>100</v>
      </c>
      <c r="E1040" s="589" t="s">
        <v>104</v>
      </c>
      <c r="F1040" s="589" t="s">
        <v>112</v>
      </c>
      <c r="G1040" s="589" t="s">
        <v>51</v>
      </c>
      <c r="H1040" s="589" t="s">
        <v>242</v>
      </c>
      <c r="I1040" s="589" t="s">
        <v>3311</v>
      </c>
      <c r="J1040" s="589" t="s">
        <v>35</v>
      </c>
      <c r="K1040" s="591">
        <v>1162.22</v>
      </c>
      <c r="L1040" s="592">
        <f>IF(J1040="TND",1,IF(J1040="EUR",Vertical_Cash_flow!$C$16,IF(J1040="USD",Vertical_Cash_flow!$F$16,0)))</f>
        <v>1</v>
      </c>
      <c r="M1040" s="593">
        <f t="shared" si="64"/>
        <v>1162.22</v>
      </c>
      <c r="N1040" s="589" t="s">
        <v>251</v>
      </c>
      <c r="O1040" s="594">
        <v>45408</v>
      </c>
      <c r="P1040" s="593">
        <f t="shared" si="65"/>
        <v>-95</v>
      </c>
      <c r="Q1040" s="594">
        <v>45503</v>
      </c>
      <c r="R1040" s="593">
        <f t="shared" ca="1" si="66"/>
        <v>-62</v>
      </c>
      <c r="S1040" s="589" t="str">
        <f>VLOOKUP(Q1040,Mapping!L:M,2,0)</f>
        <v>W31_2024</v>
      </c>
      <c r="T1040" s="589" t="str">
        <f t="shared" ca="1" si="67"/>
        <v>Not Due</v>
      </c>
      <c r="W1040" s="591"/>
    </row>
    <row r="1041" spans="1:23" s="589" customFormat="1" x14ac:dyDescent="0.2">
      <c r="A1041" s="589" t="s">
        <v>56</v>
      </c>
      <c r="B1041" s="589" t="s">
        <v>532</v>
      </c>
      <c r="C1041" s="590" t="s">
        <v>3122</v>
      </c>
      <c r="D1041" s="589" t="s">
        <v>100</v>
      </c>
      <c r="E1041" s="589" t="s">
        <v>104</v>
      </c>
      <c r="F1041" s="589" t="s">
        <v>112</v>
      </c>
      <c r="G1041" s="589" t="s">
        <v>51</v>
      </c>
      <c r="H1041" s="589" t="s">
        <v>242</v>
      </c>
      <c r="I1041" s="589" t="s">
        <v>3312</v>
      </c>
      <c r="J1041" s="589" t="s">
        <v>35</v>
      </c>
      <c r="K1041" s="591">
        <v>1500</v>
      </c>
      <c r="L1041" s="592">
        <f>IF(J1041="TND",1,IF(J1041="EUR",Vertical_Cash_flow!$C$16,IF(J1041="USD",Vertical_Cash_flow!$F$16,0)))</f>
        <v>1</v>
      </c>
      <c r="M1041" s="593">
        <f t="shared" si="64"/>
        <v>1500</v>
      </c>
      <c r="N1041" s="589" t="s">
        <v>251</v>
      </c>
      <c r="O1041" s="594">
        <v>45412</v>
      </c>
      <c r="P1041" s="593">
        <f t="shared" si="65"/>
        <v>-91</v>
      </c>
      <c r="Q1041" s="594">
        <v>45503</v>
      </c>
      <c r="R1041" s="593">
        <f t="shared" ca="1" si="66"/>
        <v>-62</v>
      </c>
      <c r="S1041" s="589" t="str">
        <f>VLOOKUP(Q1041,Mapping!L:M,2,0)</f>
        <v>W31_2024</v>
      </c>
      <c r="T1041" s="589" t="str">
        <f t="shared" ca="1" si="67"/>
        <v>Not Due</v>
      </c>
      <c r="W1041" s="591"/>
    </row>
    <row r="1042" spans="1:23" s="589" customFormat="1" x14ac:dyDescent="0.2">
      <c r="A1042" s="589" t="s">
        <v>56</v>
      </c>
      <c r="B1042" s="589" t="s">
        <v>637</v>
      </c>
      <c r="C1042" s="590" t="s">
        <v>3505</v>
      </c>
      <c r="D1042" s="589" t="s">
        <v>100</v>
      </c>
      <c r="E1042" s="589" t="s">
        <v>104</v>
      </c>
      <c r="F1042" s="589" t="s">
        <v>112</v>
      </c>
      <c r="G1042" s="589" t="s">
        <v>51</v>
      </c>
      <c r="H1042" s="589" t="s">
        <v>242</v>
      </c>
      <c r="I1042" s="589" t="s">
        <v>2820</v>
      </c>
      <c r="J1042" s="589" t="s">
        <v>35</v>
      </c>
      <c r="K1042" s="591">
        <v>3136.0790000000002</v>
      </c>
      <c r="L1042" s="592">
        <f>IF(J1042="TND",1,IF(J1042="EUR",Vertical_Cash_flow!$C$16,IF(J1042="USD",Vertical_Cash_flow!$F$16,0)))</f>
        <v>1</v>
      </c>
      <c r="M1042" s="593">
        <f t="shared" si="64"/>
        <v>3136.0790000000002</v>
      </c>
      <c r="N1042" s="589" t="s">
        <v>251</v>
      </c>
      <c r="O1042" s="594">
        <v>45430</v>
      </c>
      <c r="P1042" s="593">
        <f t="shared" si="65"/>
        <v>-73</v>
      </c>
      <c r="Q1042" s="594">
        <v>45503</v>
      </c>
      <c r="R1042" s="593">
        <f t="shared" ca="1" si="66"/>
        <v>-62</v>
      </c>
      <c r="S1042" s="589" t="str">
        <f>VLOOKUP(Q1042,Mapping!L:M,2,0)</f>
        <v>W31_2024</v>
      </c>
      <c r="T1042" s="589" t="str">
        <f t="shared" ca="1" si="67"/>
        <v>Not Due</v>
      </c>
      <c r="W1042" s="591"/>
    </row>
    <row r="1043" spans="1:23" s="589" customFormat="1" x14ac:dyDescent="0.2">
      <c r="A1043" s="589" t="s">
        <v>56</v>
      </c>
      <c r="B1043" s="589" t="s">
        <v>273</v>
      </c>
      <c r="C1043" s="590" t="s">
        <v>3504</v>
      </c>
      <c r="D1043" s="589" t="s">
        <v>100</v>
      </c>
      <c r="E1043" s="589" t="s">
        <v>104</v>
      </c>
      <c r="F1043" s="589" t="s">
        <v>112</v>
      </c>
      <c r="G1043" s="589" t="s">
        <v>51</v>
      </c>
      <c r="H1043" s="589" t="s">
        <v>242</v>
      </c>
      <c r="I1043" s="589" t="s">
        <v>3662</v>
      </c>
      <c r="J1043" s="589" t="s">
        <v>35</v>
      </c>
      <c r="K1043" s="591">
        <v>700</v>
      </c>
      <c r="L1043" s="592">
        <f>IF(J1043="TND",1,IF(J1043="EUR",Vertical_Cash_flow!$C$16,IF(J1043="USD",Vertical_Cash_flow!$F$16,0)))</f>
        <v>1</v>
      </c>
      <c r="M1043" s="593">
        <f t="shared" si="64"/>
        <v>700</v>
      </c>
      <c r="N1043" s="589" t="s">
        <v>251</v>
      </c>
      <c r="O1043" s="594">
        <v>45427</v>
      </c>
      <c r="P1043" s="593">
        <f t="shared" si="65"/>
        <v>-76</v>
      </c>
      <c r="Q1043" s="594">
        <v>45503</v>
      </c>
      <c r="R1043" s="593">
        <f t="shared" ca="1" si="66"/>
        <v>-62</v>
      </c>
      <c r="S1043" s="589" t="str">
        <f>VLOOKUP(Q1043,Mapping!L:M,2,0)</f>
        <v>W31_2024</v>
      </c>
      <c r="T1043" s="589" t="str">
        <f t="shared" ca="1" si="67"/>
        <v>Not Due</v>
      </c>
      <c r="W1043" s="591"/>
    </row>
    <row r="1044" spans="1:23" s="589" customFormat="1" x14ac:dyDescent="0.2">
      <c r="A1044" s="589" t="s">
        <v>56</v>
      </c>
      <c r="B1044" s="589" t="s">
        <v>324</v>
      </c>
      <c r="C1044" s="590" t="s">
        <v>3503</v>
      </c>
      <c r="D1044" s="589" t="s">
        <v>100</v>
      </c>
      <c r="E1044" s="589" t="s">
        <v>104</v>
      </c>
      <c r="F1044" s="589" t="s">
        <v>112</v>
      </c>
      <c r="G1044" s="589" t="s">
        <v>51</v>
      </c>
      <c r="H1044" s="589" t="s">
        <v>242</v>
      </c>
      <c r="I1044" s="589" t="s">
        <v>3661</v>
      </c>
      <c r="J1044" s="589" t="s">
        <v>35</v>
      </c>
      <c r="K1044" s="591">
        <v>957.40300000000002</v>
      </c>
      <c r="L1044" s="592">
        <f>IF(J1044="TND",1,IF(J1044="EUR",Vertical_Cash_flow!$C$16,IF(J1044="USD",Vertical_Cash_flow!$F$16,0)))</f>
        <v>1</v>
      </c>
      <c r="M1044" s="593">
        <f t="shared" si="64"/>
        <v>957.40300000000002</v>
      </c>
      <c r="N1044" s="589" t="s">
        <v>251</v>
      </c>
      <c r="O1044" s="594">
        <v>45429</v>
      </c>
      <c r="P1044" s="593">
        <f t="shared" si="65"/>
        <v>-74</v>
      </c>
      <c r="Q1044" s="594">
        <v>45503</v>
      </c>
      <c r="R1044" s="593">
        <f t="shared" ca="1" si="66"/>
        <v>-62</v>
      </c>
      <c r="S1044" s="589" t="str">
        <f>VLOOKUP(Q1044,Mapping!L:M,2,0)</f>
        <v>W31_2024</v>
      </c>
      <c r="T1044" s="589" t="str">
        <f t="shared" ca="1" si="67"/>
        <v>Not Due</v>
      </c>
      <c r="W1044" s="591"/>
    </row>
    <row r="1045" spans="1:23" s="589" customFormat="1" x14ac:dyDescent="0.2">
      <c r="A1045" s="589" t="s">
        <v>56</v>
      </c>
      <c r="B1045" s="589" t="s">
        <v>500</v>
      </c>
      <c r="C1045" s="590" t="s">
        <v>2402</v>
      </c>
      <c r="D1045" s="589" t="s">
        <v>100</v>
      </c>
      <c r="E1045" s="589" t="s">
        <v>104</v>
      </c>
      <c r="F1045" s="589" t="s">
        <v>112</v>
      </c>
      <c r="G1045" s="589" t="s">
        <v>51</v>
      </c>
      <c r="H1045" s="589" t="s">
        <v>242</v>
      </c>
      <c r="I1045" s="589" t="s">
        <v>2697</v>
      </c>
      <c r="J1045" s="589" t="s">
        <v>35</v>
      </c>
      <c r="K1045" s="591">
        <v>1500</v>
      </c>
      <c r="L1045" s="592">
        <f>IF(J1045="TND",1,IF(J1045="EUR",Vertical_Cash_flow!$C$16,IF(J1045="USD",Vertical_Cash_flow!$F$16,0)))</f>
        <v>1</v>
      </c>
      <c r="M1045" s="593">
        <f t="shared" ref="M1045:M1108" si="68">K1045/L1045</f>
        <v>1500</v>
      </c>
      <c r="N1045" s="589" t="s">
        <v>251</v>
      </c>
      <c r="O1045" s="594">
        <v>45395</v>
      </c>
      <c r="P1045" s="593">
        <f t="shared" ref="P1045:P1108" si="69">O1045-Q1045</f>
        <v>-108</v>
      </c>
      <c r="Q1045" s="594">
        <v>45503</v>
      </c>
      <c r="R1045" s="593">
        <f t="shared" ref="R1045:R1108" ca="1" si="70">$W$1-Q1045</f>
        <v>-62</v>
      </c>
      <c r="S1045" s="589" t="str">
        <f>VLOOKUP(Q1045,Mapping!L:M,2,0)</f>
        <v>W31_2024</v>
      </c>
      <c r="T1045" s="589" t="str">
        <f t="shared" ref="T1045:T1108" ca="1" si="71">IF(R1045="","",IF(R1045&lt;0,"Not Due",IF(AND(R1045&gt;=0,R1045&lt;=30),"up to 30 days",IF(AND(R1045&gt;30,R1045&lt;=60),"30-60 days",IF(AND(R1045&gt;60,R1045&lt;=90),"60-90 days",IF(AND(R1045&gt;90,R1045&lt;=120),"90-120 days",IF(AND(R1045&gt;120,R1045&lt;=180),"120-180 days",IF(AND(R1045&gt;180,R1045&lt;=360),"180-360 days",IF(R1045&gt;360,"more than 360 days","ok")))))))))</f>
        <v>Not Due</v>
      </c>
      <c r="W1045" s="591"/>
    </row>
    <row r="1046" spans="1:23" s="589" customFormat="1" x14ac:dyDescent="0.2">
      <c r="A1046" s="589" t="s">
        <v>56</v>
      </c>
      <c r="B1046" s="589" t="s">
        <v>323</v>
      </c>
      <c r="C1046" s="590" t="s">
        <v>3120</v>
      </c>
      <c r="D1046" s="589" t="s">
        <v>100</v>
      </c>
      <c r="E1046" s="589" t="s">
        <v>104</v>
      </c>
      <c r="F1046" s="589" t="s">
        <v>112</v>
      </c>
      <c r="G1046" s="589" t="s">
        <v>51</v>
      </c>
      <c r="H1046" s="589" t="s">
        <v>242</v>
      </c>
      <c r="I1046" s="589" t="s">
        <v>3310</v>
      </c>
      <c r="J1046" s="589" t="s">
        <v>35</v>
      </c>
      <c r="K1046" s="591">
        <v>2101.4949999999999</v>
      </c>
      <c r="L1046" s="592">
        <f>IF(J1046="TND",1,IF(J1046="EUR",Vertical_Cash_flow!$C$16,IF(J1046="USD",Vertical_Cash_flow!$F$16,0)))</f>
        <v>1</v>
      </c>
      <c r="M1046" s="593">
        <f t="shared" si="68"/>
        <v>2101.4949999999999</v>
      </c>
      <c r="N1046" s="589" t="s">
        <v>251</v>
      </c>
      <c r="O1046" s="594">
        <v>45418</v>
      </c>
      <c r="P1046" s="593">
        <f t="shared" si="69"/>
        <v>-85</v>
      </c>
      <c r="Q1046" s="594">
        <v>45503</v>
      </c>
      <c r="R1046" s="593">
        <f t="shared" ca="1" si="70"/>
        <v>-62</v>
      </c>
      <c r="S1046" s="589" t="str">
        <f>VLOOKUP(Q1046,Mapping!L:M,2,0)</f>
        <v>W31_2024</v>
      </c>
      <c r="T1046" s="589" t="str">
        <f t="shared" ca="1" si="71"/>
        <v>Not Due</v>
      </c>
      <c r="W1046" s="591"/>
    </row>
    <row r="1047" spans="1:23" s="589" customFormat="1" x14ac:dyDescent="0.2">
      <c r="A1047" s="589" t="s">
        <v>56</v>
      </c>
      <c r="B1047" s="589" t="s">
        <v>322</v>
      </c>
      <c r="C1047" s="590" t="s">
        <v>2401</v>
      </c>
      <c r="D1047" s="589" t="s">
        <v>100</v>
      </c>
      <c r="E1047" s="589" t="s">
        <v>104</v>
      </c>
      <c r="F1047" s="589" t="s">
        <v>112</v>
      </c>
      <c r="G1047" s="589" t="s">
        <v>51</v>
      </c>
      <c r="H1047" s="589" t="s">
        <v>242</v>
      </c>
      <c r="I1047" s="589" t="s">
        <v>2732</v>
      </c>
      <c r="J1047" s="589" t="s">
        <v>35</v>
      </c>
      <c r="K1047" s="591">
        <v>4722.5349999999999</v>
      </c>
      <c r="L1047" s="592">
        <f>IF(J1047="TND",1,IF(J1047="EUR",Vertical_Cash_flow!$C$16,IF(J1047="USD",Vertical_Cash_flow!$F$16,0)))</f>
        <v>1</v>
      </c>
      <c r="M1047" s="593">
        <f t="shared" si="68"/>
        <v>4722.5349999999999</v>
      </c>
      <c r="N1047" s="589" t="s">
        <v>251</v>
      </c>
      <c r="O1047" s="594">
        <v>45408</v>
      </c>
      <c r="P1047" s="593">
        <f t="shared" si="69"/>
        <v>-95</v>
      </c>
      <c r="Q1047" s="594">
        <v>45503</v>
      </c>
      <c r="R1047" s="593">
        <f t="shared" ca="1" si="70"/>
        <v>-62</v>
      </c>
      <c r="S1047" s="589" t="str">
        <f>VLOOKUP(Q1047,Mapping!L:M,2,0)</f>
        <v>W31_2024</v>
      </c>
      <c r="T1047" s="589" t="str">
        <f t="shared" ca="1" si="71"/>
        <v>Not Due</v>
      </c>
      <c r="W1047" s="591"/>
    </row>
    <row r="1048" spans="1:23" s="589" customFormat="1" x14ac:dyDescent="0.2">
      <c r="A1048" s="589" t="s">
        <v>56</v>
      </c>
      <c r="B1048" s="589" t="s">
        <v>331</v>
      </c>
      <c r="C1048" s="590" t="s">
        <v>3118</v>
      </c>
      <c r="D1048" s="589" t="s">
        <v>100</v>
      </c>
      <c r="E1048" s="589" t="s">
        <v>104</v>
      </c>
      <c r="F1048" s="589" t="s">
        <v>112</v>
      </c>
      <c r="G1048" s="589" t="s">
        <v>51</v>
      </c>
      <c r="H1048" s="589" t="s">
        <v>242</v>
      </c>
      <c r="I1048" s="589" t="s">
        <v>3308</v>
      </c>
      <c r="J1048" s="589" t="s">
        <v>35</v>
      </c>
      <c r="K1048" s="591">
        <v>1759.623</v>
      </c>
      <c r="L1048" s="592">
        <f>IF(J1048="TND",1,IF(J1048="EUR",Vertical_Cash_flow!$C$16,IF(J1048="USD",Vertical_Cash_flow!$F$16,0)))</f>
        <v>1</v>
      </c>
      <c r="M1048" s="593">
        <f t="shared" si="68"/>
        <v>1759.623</v>
      </c>
      <c r="N1048" s="589" t="s">
        <v>251</v>
      </c>
      <c r="O1048" s="594">
        <v>45412</v>
      </c>
      <c r="P1048" s="593">
        <f t="shared" si="69"/>
        <v>-91</v>
      </c>
      <c r="Q1048" s="594">
        <v>45503</v>
      </c>
      <c r="R1048" s="593">
        <f t="shared" ca="1" si="70"/>
        <v>-62</v>
      </c>
      <c r="S1048" s="589" t="str">
        <f>VLOOKUP(Q1048,Mapping!L:M,2,0)</f>
        <v>W31_2024</v>
      </c>
      <c r="T1048" s="589" t="str">
        <f t="shared" ca="1" si="71"/>
        <v>Not Due</v>
      </c>
      <c r="W1048" s="591"/>
    </row>
    <row r="1049" spans="1:23" s="589" customFormat="1" x14ac:dyDescent="0.2">
      <c r="A1049" s="589" t="s">
        <v>56</v>
      </c>
      <c r="B1049" s="589" t="s">
        <v>573</v>
      </c>
      <c r="C1049" s="590" t="s">
        <v>3117</v>
      </c>
      <c r="D1049" s="589" t="s">
        <v>100</v>
      </c>
      <c r="E1049" s="589" t="s">
        <v>104</v>
      </c>
      <c r="F1049" s="589" t="s">
        <v>112</v>
      </c>
      <c r="G1049" s="589" t="s">
        <v>51</v>
      </c>
      <c r="H1049" s="589" t="s">
        <v>242</v>
      </c>
      <c r="I1049" s="589" t="s">
        <v>861</v>
      </c>
      <c r="J1049" s="589" t="s">
        <v>35</v>
      </c>
      <c r="K1049" s="591">
        <v>4571.0469999999996</v>
      </c>
      <c r="L1049" s="592">
        <f>IF(J1049="TND",1,IF(J1049="EUR",Vertical_Cash_flow!$C$16,IF(J1049="USD",Vertical_Cash_flow!$F$16,0)))</f>
        <v>1</v>
      </c>
      <c r="M1049" s="593">
        <f t="shared" si="68"/>
        <v>4571.0469999999996</v>
      </c>
      <c r="N1049" s="589" t="s">
        <v>251</v>
      </c>
      <c r="O1049" s="594">
        <v>45416</v>
      </c>
      <c r="P1049" s="593">
        <f t="shared" si="69"/>
        <v>-87</v>
      </c>
      <c r="Q1049" s="594">
        <v>45503</v>
      </c>
      <c r="R1049" s="593">
        <f t="shared" ca="1" si="70"/>
        <v>-62</v>
      </c>
      <c r="S1049" s="589" t="str">
        <f>VLOOKUP(Q1049,Mapping!L:M,2,0)</f>
        <v>W31_2024</v>
      </c>
      <c r="T1049" s="589" t="str">
        <f t="shared" ca="1" si="71"/>
        <v>Not Due</v>
      </c>
      <c r="W1049" s="591"/>
    </row>
    <row r="1050" spans="1:23" s="589" customFormat="1" x14ac:dyDescent="0.2">
      <c r="A1050" s="589" t="s">
        <v>56</v>
      </c>
      <c r="B1050" s="589" t="s">
        <v>331</v>
      </c>
      <c r="C1050" s="590" t="s">
        <v>3119</v>
      </c>
      <c r="D1050" s="589" t="s">
        <v>100</v>
      </c>
      <c r="E1050" s="589" t="s">
        <v>104</v>
      </c>
      <c r="F1050" s="589" t="s">
        <v>112</v>
      </c>
      <c r="G1050" s="589" t="s">
        <v>51</v>
      </c>
      <c r="H1050" s="589" t="s">
        <v>242</v>
      </c>
      <c r="I1050" s="589" t="s">
        <v>3309</v>
      </c>
      <c r="J1050" s="589" t="s">
        <v>35</v>
      </c>
      <c r="K1050" s="591">
        <v>3000</v>
      </c>
      <c r="L1050" s="592">
        <f>IF(J1050="TND",1,IF(J1050="EUR",Vertical_Cash_flow!$C$16,IF(J1050="USD",Vertical_Cash_flow!$F$16,0)))</f>
        <v>1</v>
      </c>
      <c r="M1050" s="593">
        <f t="shared" si="68"/>
        <v>3000</v>
      </c>
      <c r="N1050" s="589" t="s">
        <v>251</v>
      </c>
      <c r="O1050" s="594">
        <v>45412</v>
      </c>
      <c r="P1050" s="593">
        <f t="shared" si="69"/>
        <v>-91</v>
      </c>
      <c r="Q1050" s="594">
        <v>45503</v>
      </c>
      <c r="R1050" s="593">
        <f t="shared" ca="1" si="70"/>
        <v>-62</v>
      </c>
      <c r="S1050" s="589" t="str">
        <f>VLOOKUP(Q1050,Mapping!L:M,2,0)</f>
        <v>W31_2024</v>
      </c>
      <c r="T1050" s="589" t="str">
        <f t="shared" ca="1" si="71"/>
        <v>Not Due</v>
      </c>
      <c r="W1050" s="591"/>
    </row>
    <row r="1051" spans="1:23" s="589" customFormat="1" x14ac:dyDescent="0.2">
      <c r="A1051" s="589" t="s">
        <v>56</v>
      </c>
      <c r="B1051" s="589" t="s">
        <v>335</v>
      </c>
      <c r="C1051" s="590" t="s">
        <v>2400</v>
      </c>
      <c r="D1051" s="589" t="s">
        <v>100</v>
      </c>
      <c r="E1051" s="589" t="s">
        <v>104</v>
      </c>
      <c r="F1051" s="589" t="s">
        <v>112</v>
      </c>
      <c r="G1051" s="589" t="s">
        <v>51</v>
      </c>
      <c r="H1051" s="589" t="s">
        <v>242</v>
      </c>
      <c r="I1051" s="589" t="s">
        <v>2731</v>
      </c>
      <c r="J1051" s="589" t="s">
        <v>35</v>
      </c>
      <c r="K1051" s="591">
        <v>631.05700000000002</v>
      </c>
      <c r="L1051" s="592">
        <f>IF(J1051="TND",1,IF(J1051="EUR",Vertical_Cash_flow!$C$16,IF(J1051="USD",Vertical_Cash_flow!$F$16,0)))</f>
        <v>1</v>
      </c>
      <c r="M1051" s="593">
        <f t="shared" si="68"/>
        <v>631.05700000000002</v>
      </c>
      <c r="N1051" s="589" t="s">
        <v>251</v>
      </c>
      <c r="O1051" s="594">
        <v>45407</v>
      </c>
      <c r="P1051" s="593">
        <f t="shared" si="69"/>
        <v>-96</v>
      </c>
      <c r="Q1051" s="594">
        <v>45503</v>
      </c>
      <c r="R1051" s="593">
        <f t="shared" ca="1" si="70"/>
        <v>-62</v>
      </c>
      <c r="S1051" s="589" t="str">
        <f>VLOOKUP(Q1051,Mapping!L:M,2,0)</f>
        <v>W31_2024</v>
      </c>
      <c r="T1051" s="589" t="str">
        <f t="shared" ca="1" si="71"/>
        <v>Not Due</v>
      </c>
      <c r="W1051" s="591"/>
    </row>
    <row r="1052" spans="1:23" s="589" customFormat="1" x14ac:dyDescent="0.2">
      <c r="A1052" s="589" t="s">
        <v>56</v>
      </c>
      <c r="B1052" s="589" t="s">
        <v>283</v>
      </c>
      <c r="C1052" s="590" t="s">
        <v>3502</v>
      </c>
      <c r="D1052" s="589" t="s">
        <v>100</v>
      </c>
      <c r="E1052" s="589" t="s">
        <v>104</v>
      </c>
      <c r="F1052" s="589" t="s">
        <v>112</v>
      </c>
      <c r="G1052" s="589" t="s">
        <v>51</v>
      </c>
      <c r="H1052" s="589" t="s">
        <v>242</v>
      </c>
      <c r="I1052" s="589" t="s">
        <v>3660</v>
      </c>
      <c r="J1052" s="589" t="s">
        <v>35</v>
      </c>
      <c r="K1052" s="591">
        <v>2000</v>
      </c>
      <c r="L1052" s="592">
        <f>IF(J1052="TND",1,IF(J1052="EUR",Vertical_Cash_flow!$C$16,IF(J1052="USD",Vertical_Cash_flow!$F$16,0)))</f>
        <v>1</v>
      </c>
      <c r="M1052" s="593">
        <f t="shared" si="68"/>
        <v>2000</v>
      </c>
      <c r="N1052" s="589" t="s">
        <v>251</v>
      </c>
      <c r="O1052" s="594">
        <v>45428</v>
      </c>
      <c r="P1052" s="593">
        <f t="shared" si="69"/>
        <v>-75</v>
      </c>
      <c r="Q1052" s="594">
        <v>45503</v>
      </c>
      <c r="R1052" s="593">
        <f t="shared" ca="1" si="70"/>
        <v>-62</v>
      </c>
      <c r="S1052" s="589" t="str">
        <f>VLOOKUP(Q1052,Mapping!L:M,2,0)</f>
        <v>W31_2024</v>
      </c>
      <c r="T1052" s="589" t="str">
        <f t="shared" ca="1" si="71"/>
        <v>Not Due</v>
      </c>
      <c r="W1052" s="591"/>
    </row>
    <row r="1053" spans="1:23" s="589" customFormat="1" x14ac:dyDescent="0.2">
      <c r="A1053" s="589" t="s">
        <v>56</v>
      </c>
      <c r="B1053" s="589" t="s">
        <v>576</v>
      </c>
      <c r="C1053" s="590" t="s">
        <v>3116</v>
      </c>
      <c r="D1053" s="589" t="s">
        <v>100</v>
      </c>
      <c r="E1053" s="589" t="s">
        <v>104</v>
      </c>
      <c r="F1053" s="589" t="s">
        <v>112</v>
      </c>
      <c r="G1053" s="589" t="s">
        <v>51</v>
      </c>
      <c r="H1053" s="589" t="s">
        <v>242</v>
      </c>
      <c r="I1053" s="589" t="s">
        <v>3307</v>
      </c>
      <c r="J1053" s="589" t="s">
        <v>35</v>
      </c>
      <c r="K1053" s="591">
        <v>3239.3809999999999</v>
      </c>
      <c r="L1053" s="592">
        <f>IF(J1053="TND",1,IF(J1053="EUR",Vertical_Cash_flow!$C$16,IF(J1053="USD",Vertical_Cash_flow!$F$16,0)))</f>
        <v>1</v>
      </c>
      <c r="M1053" s="593">
        <f t="shared" si="68"/>
        <v>3239.3809999999999</v>
      </c>
      <c r="N1053" s="589" t="s">
        <v>251</v>
      </c>
      <c r="O1053" s="594">
        <v>45420</v>
      </c>
      <c r="P1053" s="593">
        <f t="shared" si="69"/>
        <v>-83</v>
      </c>
      <c r="Q1053" s="594">
        <v>45503</v>
      </c>
      <c r="R1053" s="593">
        <f t="shared" ca="1" si="70"/>
        <v>-62</v>
      </c>
      <c r="S1053" s="589" t="str">
        <f>VLOOKUP(Q1053,Mapping!L:M,2,0)</f>
        <v>W31_2024</v>
      </c>
      <c r="T1053" s="589" t="str">
        <f t="shared" ca="1" si="71"/>
        <v>Not Due</v>
      </c>
      <c r="W1053" s="591"/>
    </row>
    <row r="1054" spans="1:23" s="589" customFormat="1" x14ac:dyDescent="0.2">
      <c r="A1054" s="589" t="s">
        <v>56</v>
      </c>
      <c r="B1054" s="589" t="s">
        <v>358</v>
      </c>
      <c r="C1054" s="590" t="s">
        <v>3112</v>
      </c>
      <c r="D1054" s="589" t="s">
        <v>100</v>
      </c>
      <c r="E1054" s="589" t="s">
        <v>104</v>
      </c>
      <c r="F1054" s="589" t="s">
        <v>112</v>
      </c>
      <c r="G1054" s="589" t="s">
        <v>51</v>
      </c>
      <c r="H1054" s="589" t="s">
        <v>242</v>
      </c>
      <c r="I1054" s="589" t="s">
        <v>3303</v>
      </c>
      <c r="J1054" s="589" t="s">
        <v>35</v>
      </c>
      <c r="K1054" s="591">
        <v>1813.1079999999999</v>
      </c>
      <c r="L1054" s="592">
        <f>IF(J1054="TND",1,IF(J1054="EUR",Vertical_Cash_flow!$C$16,IF(J1054="USD",Vertical_Cash_flow!$F$16,0)))</f>
        <v>1</v>
      </c>
      <c r="M1054" s="593">
        <f t="shared" si="68"/>
        <v>1813.1079999999999</v>
      </c>
      <c r="N1054" s="589" t="s">
        <v>251</v>
      </c>
      <c r="O1054" s="594">
        <v>45412</v>
      </c>
      <c r="P1054" s="593">
        <f t="shared" si="69"/>
        <v>-92</v>
      </c>
      <c r="Q1054" s="594">
        <v>45504</v>
      </c>
      <c r="R1054" s="593">
        <f t="shared" ca="1" si="70"/>
        <v>-63</v>
      </c>
      <c r="S1054" s="589" t="str">
        <f>VLOOKUP(Q1054,Mapping!L:M,2,0)</f>
        <v>W31_2024</v>
      </c>
      <c r="T1054" s="589" t="str">
        <f t="shared" ca="1" si="71"/>
        <v>Not Due</v>
      </c>
      <c r="W1054" s="591"/>
    </row>
    <row r="1055" spans="1:23" s="589" customFormat="1" x14ac:dyDescent="0.2">
      <c r="A1055" s="589" t="s">
        <v>56</v>
      </c>
      <c r="B1055" s="589" t="s">
        <v>480</v>
      </c>
      <c r="C1055" s="590" t="s">
        <v>3109</v>
      </c>
      <c r="D1055" s="589" t="s">
        <v>100</v>
      </c>
      <c r="E1055" s="589" t="s">
        <v>104</v>
      </c>
      <c r="F1055" s="589" t="s">
        <v>112</v>
      </c>
      <c r="G1055" s="589" t="s">
        <v>51</v>
      </c>
      <c r="H1055" s="589" t="s">
        <v>242</v>
      </c>
      <c r="I1055" s="589" t="s">
        <v>3301</v>
      </c>
      <c r="J1055" s="589" t="s">
        <v>35</v>
      </c>
      <c r="K1055" s="591">
        <v>11359.534</v>
      </c>
      <c r="L1055" s="592">
        <f>IF(J1055="TND",1,IF(J1055="EUR",Vertical_Cash_flow!$C$16,IF(J1055="USD",Vertical_Cash_flow!$F$16,0)))</f>
        <v>1</v>
      </c>
      <c r="M1055" s="593">
        <f t="shared" si="68"/>
        <v>11359.534</v>
      </c>
      <c r="N1055" s="589" t="s">
        <v>251</v>
      </c>
      <c r="O1055" s="594">
        <v>45411</v>
      </c>
      <c r="P1055" s="593">
        <f t="shared" si="69"/>
        <v>-93</v>
      </c>
      <c r="Q1055" s="594">
        <v>45504</v>
      </c>
      <c r="R1055" s="593">
        <f t="shared" ca="1" si="70"/>
        <v>-63</v>
      </c>
      <c r="S1055" s="589" t="str">
        <f>VLOOKUP(Q1055,Mapping!L:M,2,0)</f>
        <v>W31_2024</v>
      </c>
      <c r="T1055" s="589" t="str">
        <f t="shared" ca="1" si="71"/>
        <v>Not Due</v>
      </c>
      <c r="W1055" s="591"/>
    </row>
    <row r="1056" spans="1:23" s="589" customFormat="1" x14ac:dyDescent="0.2">
      <c r="A1056" s="589" t="s">
        <v>56</v>
      </c>
      <c r="B1056" s="589" t="s">
        <v>357</v>
      </c>
      <c r="C1056" s="590" t="s">
        <v>3113</v>
      </c>
      <c r="D1056" s="589" t="s">
        <v>100</v>
      </c>
      <c r="E1056" s="589" t="s">
        <v>104</v>
      </c>
      <c r="F1056" s="589" t="s">
        <v>112</v>
      </c>
      <c r="G1056" s="589" t="s">
        <v>51</v>
      </c>
      <c r="H1056" s="589" t="s">
        <v>242</v>
      </c>
      <c r="I1056" s="589" t="s">
        <v>3304</v>
      </c>
      <c r="J1056" s="589" t="s">
        <v>35</v>
      </c>
      <c r="K1056" s="591">
        <v>4881.4880000000003</v>
      </c>
      <c r="L1056" s="592">
        <f>IF(J1056="TND",1,IF(J1056="EUR",Vertical_Cash_flow!$C$16,IF(J1056="USD",Vertical_Cash_flow!$F$16,0)))</f>
        <v>1</v>
      </c>
      <c r="M1056" s="593">
        <f t="shared" si="68"/>
        <v>4881.4880000000003</v>
      </c>
      <c r="N1056" s="589" t="s">
        <v>251</v>
      </c>
      <c r="O1056" s="594">
        <v>45420</v>
      </c>
      <c r="P1056" s="593">
        <f t="shared" si="69"/>
        <v>-84</v>
      </c>
      <c r="Q1056" s="594">
        <v>45504</v>
      </c>
      <c r="R1056" s="593">
        <f t="shared" ca="1" si="70"/>
        <v>-63</v>
      </c>
      <c r="S1056" s="589" t="str">
        <f>VLOOKUP(Q1056,Mapping!L:M,2,0)</f>
        <v>W31_2024</v>
      </c>
      <c r="T1056" s="589" t="str">
        <f t="shared" ca="1" si="71"/>
        <v>Not Due</v>
      </c>
      <c r="W1056" s="591"/>
    </row>
    <row r="1057" spans="1:23" s="589" customFormat="1" x14ac:dyDescent="0.2">
      <c r="A1057" s="589" t="s">
        <v>56</v>
      </c>
      <c r="B1057" s="589" t="s">
        <v>360</v>
      </c>
      <c r="C1057" s="590" t="s">
        <v>2399</v>
      </c>
      <c r="D1057" s="589" t="s">
        <v>100</v>
      </c>
      <c r="E1057" s="589" t="s">
        <v>104</v>
      </c>
      <c r="F1057" s="589" t="s">
        <v>112</v>
      </c>
      <c r="G1057" s="589" t="s">
        <v>51</v>
      </c>
      <c r="H1057" s="589" t="s">
        <v>242</v>
      </c>
      <c r="I1057" s="589" t="s">
        <v>2730</v>
      </c>
      <c r="J1057" s="589" t="s">
        <v>35</v>
      </c>
      <c r="K1057" s="591">
        <v>3010.7289999999998</v>
      </c>
      <c r="L1057" s="592">
        <f>IF(J1057="TND",1,IF(J1057="EUR",Vertical_Cash_flow!$C$16,IF(J1057="USD",Vertical_Cash_flow!$F$16,0)))</f>
        <v>1</v>
      </c>
      <c r="M1057" s="593">
        <f t="shared" si="68"/>
        <v>3010.7289999999998</v>
      </c>
      <c r="N1057" s="589" t="s">
        <v>251</v>
      </c>
      <c r="O1057" s="594">
        <v>45387</v>
      </c>
      <c r="P1057" s="593">
        <f t="shared" si="69"/>
        <v>-117</v>
      </c>
      <c r="Q1057" s="594">
        <v>45504</v>
      </c>
      <c r="R1057" s="593">
        <f t="shared" ca="1" si="70"/>
        <v>-63</v>
      </c>
      <c r="S1057" s="589" t="str">
        <f>VLOOKUP(Q1057,Mapping!L:M,2,0)</f>
        <v>W31_2024</v>
      </c>
      <c r="T1057" s="589" t="str">
        <f t="shared" ca="1" si="71"/>
        <v>Not Due</v>
      </c>
      <c r="W1057" s="591"/>
    </row>
    <row r="1058" spans="1:23" s="589" customFormat="1" x14ac:dyDescent="0.2">
      <c r="A1058" s="589" t="s">
        <v>56</v>
      </c>
      <c r="B1058" s="589" t="s">
        <v>755</v>
      </c>
      <c r="C1058" s="590" t="s">
        <v>3108</v>
      </c>
      <c r="D1058" s="589" t="s">
        <v>100</v>
      </c>
      <c r="E1058" s="589" t="s">
        <v>104</v>
      </c>
      <c r="F1058" s="589" t="s">
        <v>112</v>
      </c>
      <c r="G1058" s="589" t="s">
        <v>51</v>
      </c>
      <c r="H1058" s="589" t="s">
        <v>242</v>
      </c>
      <c r="I1058" s="589" t="s">
        <v>3300</v>
      </c>
      <c r="J1058" s="589" t="s">
        <v>35</v>
      </c>
      <c r="K1058" s="591">
        <v>2499.3760000000002</v>
      </c>
      <c r="L1058" s="592">
        <f>IF(J1058="TND",1,IF(J1058="EUR",Vertical_Cash_flow!$C$16,IF(J1058="USD",Vertical_Cash_flow!$F$16,0)))</f>
        <v>1</v>
      </c>
      <c r="M1058" s="593">
        <f t="shared" si="68"/>
        <v>2499.3760000000002</v>
      </c>
      <c r="N1058" s="589" t="s">
        <v>251</v>
      </c>
      <c r="O1058" s="594">
        <v>45420</v>
      </c>
      <c r="P1058" s="593">
        <f t="shared" si="69"/>
        <v>-84</v>
      </c>
      <c r="Q1058" s="594">
        <v>45504</v>
      </c>
      <c r="R1058" s="593">
        <f t="shared" ca="1" si="70"/>
        <v>-63</v>
      </c>
      <c r="S1058" s="589" t="str">
        <f>VLOOKUP(Q1058,Mapping!L:M,2,0)</f>
        <v>W31_2024</v>
      </c>
      <c r="T1058" s="589" t="str">
        <f t="shared" ca="1" si="71"/>
        <v>Not Due</v>
      </c>
      <c r="W1058" s="591"/>
    </row>
    <row r="1059" spans="1:23" s="589" customFormat="1" x14ac:dyDescent="0.2">
      <c r="A1059" s="589" t="s">
        <v>56</v>
      </c>
      <c r="B1059" s="589" t="s">
        <v>631</v>
      </c>
      <c r="C1059" s="590" t="s">
        <v>1530</v>
      </c>
      <c r="D1059" s="589" t="s">
        <v>100</v>
      </c>
      <c r="E1059" s="589" t="s">
        <v>104</v>
      </c>
      <c r="F1059" s="589" t="s">
        <v>112</v>
      </c>
      <c r="G1059" s="589" t="s">
        <v>51</v>
      </c>
      <c r="H1059" s="589" t="s">
        <v>242</v>
      </c>
      <c r="I1059" s="589" t="s">
        <v>1940</v>
      </c>
      <c r="J1059" s="589" t="s">
        <v>35</v>
      </c>
      <c r="K1059" s="591">
        <v>17413.031999999999</v>
      </c>
      <c r="L1059" s="592">
        <f>IF(J1059="TND",1,IF(J1059="EUR",Vertical_Cash_flow!$C$16,IF(J1059="USD",Vertical_Cash_flow!$F$16,0)))</f>
        <v>1</v>
      </c>
      <c r="M1059" s="593">
        <f t="shared" si="68"/>
        <v>17413.031999999999</v>
      </c>
      <c r="N1059" s="589" t="s">
        <v>251</v>
      </c>
      <c r="O1059" s="594">
        <v>45373</v>
      </c>
      <c r="P1059" s="593">
        <f t="shared" si="69"/>
        <v>-131</v>
      </c>
      <c r="Q1059" s="594">
        <v>45504</v>
      </c>
      <c r="R1059" s="593">
        <f t="shared" ca="1" si="70"/>
        <v>-63</v>
      </c>
      <c r="S1059" s="589" t="str">
        <f>VLOOKUP(Q1059,Mapping!L:M,2,0)</f>
        <v>W31_2024</v>
      </c>
      <c r="T1059" s="589" t="str">
        <f t="shared" ca="1" si="71"/>
        <v>Not Due</v>
      </c>
      <c r="W1059" s="591"/>
    </row>
    <row r="1060" spans="1:23" s="589" customFormat="1" x14ac:dyDescent="0.2">
      <c r="A1060" s="589" t="s">
        <v>56</v>
      </c>
      <c r="B1060" s="589" t="s">
        <v>353</v>
      </c>
      <c r="C1060" s="590" t="s">
        <v>1531</v>
      </c>
      <c r="D1060" s="589" t="s">
        <v>100</v>
      </c>
      <c r="E1060" s="589" t="s">
        <v>104</v>
      </c>
      <c r="F1060" s="589" t="s">
        <v>112</v>
      </c>
      <c r="G1060" s="589" t="s">
        <v>51</v>
      </c>
      <c r="H1060" s="589" t="s">
        <v>242</v>
      </c>
      <c r="I1060" s="589" t="s">
        <v>1941</v>
      </c>
      <c r="J1060" s="589" t="s">
        <v>35</v>
      </c>
      <c r="K1060" s="591">
        <v>764.83699999999999</v>
      </c>
      <c r="L1060" s="592">
        <f>IF(J1060="TND",1,IF(J1060="EUR",Vertical_Cash_flow!$C$16,IF(J1060="USD",Vertical_Cash_flow!$F$16,0)))</f>
        <v>1</v>
      </c>
      <c r="M1060" s="593">
        <f t="shared" si="68"/>
        <v>764.83699999999999</v>
      </c>
      <c r="N1060" s="589" t="s">
        <v>251</v>
      </c>
      <c r="O1060" s="594">
        <v>45376</v>
      </c>
      <c r="P1060" s="593">
        <f t="shared" si="69"/>
        <v>-128</v>
      </c>
      <c r="Q1060" s="594">
        <v>45504</v>
      </c>
      <c r="R1060" s="593">
        <f t="shared" ca="1" si="70"/>
        <v>-63</v>
      </c>
      <c r="S1060" s="589" t="str">
        <f>VLOOKUP(Q1060,Mapping!L:M,2,0)</f>
        <v>W31_2024</v>
      </c>
      <c r="T1060" s="589" t="str">
        <f t="shared" ca="1" si="71"/>
        <v>Not Due</v>
      </c>
      <c r="W1060" s="591"/>
    </row>
    <row r="1061" spans="1:23" s="589" customFormat="1" x14ac:dyDescent="0.2">
      <c r="A1061" s="589" t="s">
        <v>56</v>
      </c>
      <c r="B1061" s="589" t="s">
        <v>491</v>
      </c>
      <c r="C1061" s="590" t="s">
        <v>3114</v>
      </c>
      <c r="D1061" s="589" t="s">
        <v>100</v>
      </c>
      <c r="E1061" s="589" t="s">
        <v>104</v>
      </c>
      <c r="F1061" s="589" t="s">
        <v>112</v>
      </c>
      <c r="G1061" s="589" t="s">
        <v>51</v>
      </c>
      <c r="H1061" s="589" t="s">
        <v>242</v>
      </c>
      <c r="I1061" s="589" t="s">
        <v>3305</v>
      </c>
      <c r="J1061" s="589" t="s">
        <v>35</v>
      </c>
      <c r="K1061" s="591">
        <v>1500</v>
      </c>
      <c r="L1061" s="592">
        <f>IF(J1061="TND",1,IF(J1061="EUR",Vertical_Cash_flow!$C$16,IF(J1061="USD",Vertical_Cash_flow!$F$16,0)))</f>
        <v>1</v>
      </c>
      <c r="M1061" s="593">
        <f t="shared" si="68"/>
        <v>1500</v>
      </c>
      <c r="N1061" s="589" t="s">
        <v>251</v>
      </c>
      <c r="O1061" s="594">
        <v>45420</v>
      </c>
      <c r="P1061" s="593">
        <f t="shared" si="69"/>
        <v>-84</v>
      </c>
      <c r="Q1061" s="594">
        <v>45504</v>
      </c>
      <c r="R1061" s="593">
        <f t="shared" ca="1" si="70"/>
        <v>-63</v>
      </c>
      <c r="S1061" s="589" t="str">
        <f>VLOOKUP(Q1061,Mapping!L:M,2,0)</f>
        <v>W31_2024</v>
      </c>
      <c r="T1061" s="589" t="str">
        <f t="shared" ca="1" si="71"/>
        <v>Not Due</v>
      </c>
      <c r="W1061" s="591"/>
    </row>
    <row r="1062" spans="1:23" s="589" customFormat="1" x14ac:dyDescent="0.2">
      <c r="A1062" s="589" t="s">
        <v>56</v>
      </c>
      <c r="B1062" s="589" t="s">
        <v>368</v>
      </c>
      <c r="C1062" s="590" t="s">
        <v>3115</v>
      </c>
      <c r="D1062" s="589" t="s">
        <v>100</v>
      </c>
      <c r="E1062" s="589" t="s">
        <v>104</v>
      </c>
      <c r="F1062" s="589" t="s">
        <v>112</v>
      </c>
      <c r="G1062" s="589" t="s">
        <v>51</v>
      </c>
      <c r="H1062" s="589" t="s">
        <v>242</v>
      </c>
      <c r="I1062" s="589" t="s">
        <v>3306</v>
      </c>
      <c r="J1062" s="589" t="s">
        <v>35</v>
      </c>
      <c r="K1062" s="591">
        <v>690.05799999999999</v>
      </c>
      <c r="L1062" s="592">
        <f>IF(J1062="TND",1,IF(J1062="EUR",Vertical_Cash_flow!$C$16,IF(J1062="USD",Vertical_Cash_flow!$F$16,0)))</f>
        <v>1</v>
      </c>
      <c r="M1062" s="593">
        <f t="shared" si="68"/>
        <v>690.05799999999999</v>
      </c>
      <c r="N1062" s="589" t="s">
        <v>251</v>
      </c>
      <c r="O1062" s="594">
        <v>45412</v>
      </c>
      <c r="P1062" s="593">
        <f t="shared" si="69"/>
        <v>-92</v>
      </c>
      <c r="Q1062" s="594">
        <v>45504</v>
      </c>
      <c r="R1062" s="593">
        <f t="shared" ca="1" si="70"/>
        <v>-63</v>
      </c>
      <c r="S1062" s="589" t="str">
        <f>VLOOKUP(Q1062,Mapping!L:M,2,0)</f>
        <v>W31_2024</v>
      </c>
      <c r="T1062" s="589" t="str">
        <f t="shared" ca="1" si="71"/>
        <v>Not Due</v>
      </c>
      <c r="W1062" s="591"/>
    </row>
    <row r="1063" spans="1:23" s="589" customFormat="1" x14ac:dyDescent="0.2">
      <c r="A1063" s="589" t="s">
        <v>56</v>
      </c>
      <c r="B1063" s="589" t="s">
        <v>361</v>
      </c>
      <c r="C1063" s="590" t="s">
        <v>2394</v>
      </c>
      <c r="D1063" s="589" t="s">
        <v>100</v>
      </c>
      <c r="E1063" s="589" t="s">
        <v>104</v>
      </c>
      <c r="F1063" s="589" t="s">
        <v>112</v>
      </c>
      <c r="G1063" s="589" t="s">
        <v>51</v>
      </c>
      <c r="H1063" s="589" t="s">
        <v>242</v>
      </c>
      <c r="I1063" s="589" t="s">
        <v>2725</v>
      </c>
      <c r="J1063" s="589" t="s">
        <v>35</v>
      </c>
      <c r="K1063" s="591">
        <v>2491.7330000000002</v>
      </c>
      <c r="L1063" s="592">
        <f>IF(J1063="TND",1,IF(J1063="EUR",Vertical_Cash_flow!$C$16,IF(J1063="USD",Vertical_Cash_flow!$F$16,0)))</f>
        <v>1</v>
      </c>
      <c r="M1063" s="593">
        <f t="shared" si="68"/>
        <v>2491.7330000000002</v>
      </c>
      <c r="N1063" s="589" t="s">
        <v>251</v>
      </c>
      <c r="O1063" s="594">
        <v>45407</v>
      </c>
      <c r="P1063" s="593">
        <f t="shared" si="69"/>
        <v>-97</v>
      </c>
      <c r="Q1063" s="594">
        <v>45504</v>
      </c>
      <c r="R1063" s="593">
        <f t="shared" ca="1" si="70"/>
        <v>-63</v>
      </c>
      <c r="S1063" s="589" t="str">
        <f>VLOOKUP(Q1063,Mapping!L:M,2,0)</f>
        <v>W31_2024</v>
      </c>
      <c r="T1063" s="589" t="str">
        <f t="shared" ca="1" si="71"/>
        <v>Not Due</v>
      </c>
      <c r="W1063" s="591"/>
    </row>
    <row r="1064" spans="1:23" s="589" customFormat="1" x14ac:dyDescent="0.2">
      <c r="A1064" s="589" t="s">
        <v>56</v>
      </c>
      <c r="B1064" s="589" t="s">
        <v>764</v>
      </c>
      <c r="C1064" s="590" t="s">
        <v>2395</v>
      </c>
      <c r="D1064" s="589" t="s">
        <v>100</v>
      </c>
      <c r="E1064" s="589" t="s">
        <v>104</v>
      </c>
      <c r="F1064" s="589" t="s">
        <v>112</v>
      </c>
      <c r="G1064" s="589" t="s">
        <v>51</v>
      </c>
      <c r="H1064" s="589" t="s">
        <v>242</v>
      </c>
      <c r="I1064" s="589" t="s">
        <v>2726</v>
      </c>
      <c r="J1064" s="589" t="s">
        <v>35</v>
      </c>
      <c r="K1064" s="591">
        <v>2105.8310000000001</v>
      </c>
      <c r="L1064" s="592">
        <f>IF(J1064="TND",1,IF(J1064="EUR",Vertical_Cash_flow!$C$16,IF(J1064="USD",Vertical_Cash_flow!$F$16,0)))</f>
        <v>1</v>
      </c>
      <c r="M1064" s="593">
        <f t="shared" si="68"/>
        <v>2105.8310000000001</v>
      </c>
      <c r="N1064" s="589" t="s">
        <v>251</v>
      </c>
      <c r="O1064" s="594">
        <v>45404</v>
      </c>
      <c r="P1064" s="593">
        <f t="shared" si="69"/>
        <v>-100</v>
      </c>
      <c r="Q1064" s="594">
        <v>45504</v>
      </c>
      <c r="R1064" s="593">
        <f t="shared" ca="1" si="70"/>
        <v>-63</v>
      </c>
      <c r="S1064" s="589" t="str">
        <f>VLOOKUP(Q1064,Mapping!L:M,2,0)</f>
        <v>W31_2024</v>
      </c>
      <c r="T1064" s="589" t="str">
        <f t="shared" ca="1" si="71"/>
        <v>Not Due</v>
      </c>
      <c r="W1064" s="591"/>
    </row>
    <row r="1065" spans="1:23" s="589" customFormat="1" x14ac:dyDescent="0.2">
      <c r="A1065" s="589" t="s">
        <v>56</v>
      </c>
      <c r="B1065" s="589" t="s">
        <v>355</v>
      </c>
      <c r="C1065" s="590" t="s">
        <v>2396</v>
      </c>
      <c r="D1065" s="589" t="s">
        <v>100</v>
      </c>
      <c r="E1065" s="589" t="s">
        <v>104</v>
      </c>
      <c r="F1065" s="589" t="s">
        <v>112</v>
      </c>
      <c r="G1065" s="589" t="s">
        <v>51</v>
      </c>
      <c r="H1065" s="589" t="s">
        <v>242</v>
      </c>
      <c r="I1065" s="589" t="s">
        <v>2727</v>
      </c>
      <c r="J1065" s="589" t="s">
        <v>35</v>
      </c>
      <c r="K1065" s="591">
        <v>6571.442</v>
      </c>
      <c r="L1065" s="592">
        <f>IF(J1065="TND",1,IF(J1065="EUR",Vertical_Cash_flow!$C$16,IF(J1065="USD",Vertical_Cash_flow!$F$16,0)))</f>
        <v>1</v>
      </c>
      <c r="M1065" s="593">
        <f t="shared" si="68"/>
        <v>6571.442</v>
      </c>
      <c r="N1065" s="589" t="s">
        <v>251</v>
      </c>
      <c r="O1065" s="594">
        <v>45404</v>
      </c>
      <c r="P1065" s="593">
        <f t="shared" si="69"/>
        <v>-100</v>
      </c>
      <c r="Q1065" s="594">
        <v>45504</v>
      </c>
      <c r="R1065" s="593">
        <f t="shared" ca="1" si="70"/>
        <v>-63</v>
      </c>
      <c r="S1065" s="589" t="str">
        <f>VLOOKUP(Q1065,Mapping!L:M,2,0)</f>
        <v>W31_2024</v>
      </c>
      <c r="T1065" s="589" t="str">
        <f t="shared" ca="1" si="71"/>
        <v>Not Due</v>
      </c>
      <c r="W1065" s="591"/>
    </row>
    <row r="1066" spans="1:23" s="589" customFormat="1" x14ac:dyDescent="0.2">
      <c r="A1066" s="589" t="s">
        <v>56</v>
      </c>
      <c r="B1066" s="589" t="s">
        <v>354</v>
      </c>
      <c r="C1066" s="590" t="s">
        <v>2397</v>
      </c>
      <c r="D1066" s="589" t="s">
        <v>100</v>
      </c>
      <c r="E1066" s="589" t="s">
        <v>104</v>
      </c>
      <c r="F1066" s="589" t="s">
        <v>112</v>
      </c>
      <c r="G1066" s="589" t="s">
        <v>51</v>
      </c>
      <c r="H1066" s="589" t="s">
        <v>242</v>
      </c>
      <c r="I1066" s="589" t="s">
        <v>2728</v>
      </c>
      <c r="J1066" s="589" t="s">
        <v>35</v>
      </c>
      <c r="K1066" s="591">
        <v>707.62800000000004</v>
      </c>
      <c r="L1066" s="592">
        <f>IF(J1066="TND",1,IF(J1066="EUR",Vertical_Cash_flow!$C$16,IF(J1066="USD",Vertical_Cash_flow!$F$16,0)))</f>
        <v>1</v>
      </c>
      <c r="M1066" s="593">
        <f t="shared" si="68"/>
        <v>707.62800000000004</v>
      </c>
      <c r="N1066" s="589" t="s">
        <v>251</v>
      </c>
      <c r="O1066" s="594">
        <v>45404</v>
      </c>
      <c r="P1066" s="593">
        <f t="shared" si="69"/>
        <v>-100</v>
      </c>
      <c r="Q1066" s="594">
        <v>45504</v>
      </c>
      <c r="R1066" s="593">
        <f t="shared" ca="1" si="70"/>
        <v>-63</v>
      </c>
      <c r="S1066" s="589" t="str">
        <f>VLOOKUP(Q1066,Mapping!L:M,2,0)</f>
        <v>W31_2024</v>
      </c>
      <c r="T1066" s="589" t="str">
        <f t="shared" ca="1" si="71"/>
        <v>Not Due</v>
      </c>
      <c r="W1066" s="591"/>
    </row>
    <row r="1067" spans="1:23" s="589" customFormat="1" x14ac:dyDescent="0.2">
      <c r="A1067" s="589" t="s">
        <v>56</v>
      </c>
      <c r="B1067" s="589" t="s">
        <v>1500</v>
      </c>
      <c r="C1067" s="590" t="s">
        <v>2398</v>
      </c>
      <c r="D1067" s="589" t="s">
        <v>100</v>
      </c>
      <c r="E1067" s="589" t="s">
        <v>104</v>
      </c>
      <c r="F1067" s="589" t="s">
        <v>112</v>
      </c>
      <c r="G1067" s="589" t="s">
        <v>51</v>
      </c>
      <c r="H1067" s="589" t="s">
        <v>242</v>
      </c>
      <c r="I1067" s="589" t="s">
        <v>2729</v>
      </c>
      <c r="J1067" s="589" t="s">
        <v>35</v>
      </c>
      <c r="K1067" s="591">
        <v>2923.0549999999998</v>
      </c>
      <c r="L1067" s="592">
        <f>IF(J1067="TND",1,IF(J1067="EUR",Vertical_Cash_flow!$C$16,IF(J1067="USD",Vertical_Cash_flow!$F$16,0)))</f>
        <v>1</v>
      </c>
      <c r="M1067" s="593">
        <f t="shared" si="68"/>
        <v>2923.0549999999998</v>
      </c>
      <c r="N1067" s="589" t="s">
        <v>251</v>
      </c>
      <c r="O1067" s="594">
        <v>45404</v>
      </c>
      <c r="P1067" s="593">
        <f t="shared" si="69"/>
        <v>-100</v>
      </c>
      <c r="Q1067" s="594">
        <v>45504</v>
      </c>
      <c r="R1067" s="593">
        <f t="shared" ca="1" si="70"/>
        <v>-63</v>
      </c>
      <c r="S1067" s="589" t="str">
        <f>VLOOKUP(Q1067,Mapping!L:M,2,0)</f>
        <v>W31_2024</v>
      </c>
      <c r="T1067" s="589" t="str">
        <f t="shared" ca="1" si="71"/>
        <v>Not Due</v>
      </c>
      <c r="W1067" s="591"/>
    </row>
    <row r="1068" spans="1:23" s="589" customFormat="1" x14ac:dyDescent="0.2">
      <c r="A1068" s="589" t="s">
        <v>56</v>
      </c>
      <c r="B1068" s="589" t="s">
        <v>370</v>
      </c>
      <c r="C1068" s="590" t="s">
        <v>3110</v>
      </c>
      <c r="D1068" s="589" t="s">
        <v>100</v>
      </c>
      <c r="E1068" s="589" t="s">
        <v>104</v>
      </c>
      <c r="F1068" s="589" t="s">
        <v>112</v>
      </c>
      <c r="G1068" s="589" t="s">
        <v>51</v>
      </c>
      <c r="H1068" s="589" t="s">
        <v>242</v>
      </c>
      <c r="I1068" s="589" t="s">
        <v>801</v>
      </c>
      <c r="J1068" s="589" t="s">
        <v>35</v>
      </c>
      <c r="K1068" s="591">
        <v>403.69600000000003</v>
      </c>
      <c r="L1068" s="592">
        <f>IF(J1068="TND",1,IF(J1068="EUR",Vertical_Cash_flow!$C$16,IF(J1068="USD",Vertical_Cash_flow!$F$16,0)))</f>
        <v>1</v>
      </c>
      <c r="M1068" s="593">
        <f t="shared" si="68"/>
        <v>403.69600000000003</v>
      </c>
      <c r="N1068" s="589" t="s">
        <v>251</v>
      </c>
      <c r="O1068" s="594">
        <v>45412</v>
      </c>
      <c r="P1068" s="593">
        <f t="shared" si="69"/>
        <v>-92</v>
      </c>
      <c r="Q1068" s="594">
        <v>45504</v>
      </c>
      <c r="R1068" s="593">
        <f t="shared" ca="1" si="70"/>
        <v>-63</v>
      </c>
      <c r="S1068" s="589" t="str">
        <f>VLOOKUP(Q1068,Mapping!L:M,2,0)</f>
        <v>W31_2024</v>
      </c>
      <c r="T1068" s="589" t="str">
        <f t="shared" ca="1" si="71"/>
        <v>Not Due</v>
      </c>
      <c r="W1068" s="591"/>
    </row>
    <row r="1069" spans="1:23" s="589" customFormat="1" x14ac:dyDescent="0.2">
      <c r="A1069" s="589" t="s">
        <v>56</v>
      </c>
      <c r="B1069" s="589" t="s">
        <v>642</v>
      </c>
      <c r="C1069" s="590" t="s">
        <v>3111</v>
      </c>
      <c r="D1069" s="589" t="s">
        <v>100</v>
      </c>
      <c r="E1069" s="589" t="s">
        <v>104</v>
      </c>
      <c r="F1069" s="589" t="s">
        <v>112</v>
      </c>
      <c r="G1069" s="589" t="s">
        <v>51</v>
      </c>
      <c r="H1069" s="589" t="s">
        <v>242</v>
      </c>
      <c r="I1069" s="589" t="s">
        <v>3302</v>
      </c>
      <c r="J1069" s="589" t="s">
        <v>35</v>
      </c>
      <c r="K1069" s="591">
        <v>729.76800000000003</v>
      </c>
      <c r="L1069" s="592">
        <f>IF(J1069="TND",1,IF(J1069="EUR",Vertical_Cash_flow!$C$16,IF(J1069="USD",Vertical_Cash_flow!$F$16,0)))</f>
        <v>1</v>
      </c>
      <c r="M1069" s="593">
        <f t="shared" si="68"/>
        <v>729.76800000000003</v>
      </c>
      <c r="N1069" s="589" t="s">
        <v>251</v>
      </c>
      <c r="O1069" s="594">
        <v>45412</v>
      </c>
      <c r="P1069" s="593">
        <f t="shared" si="69"/>
        <v>-92</v>
      </c>
      <c r="Q1069" s="594">
        <v>45504</v>
      </c>
      <c r="R1069" s="593">
        <f t="shared" ca="1" si="70"/>
        <v>-63</v>
      </c>
      <c r="S1069" s="589" t="str">
        <f>VLOOKUP(Q1069,Mapping!L:M,2,0)</f>
        <v>W31_2024</v>
      </c>
      <c r="T1069" s="589" t="str">
        <f t="shared" ca="1" si="71"/>
        <v>Not Due</v>
      </c>
      <c r="W1069" s="591"/>
    </row>
    <row r="1070" spans="1:23" s="589" customFormat="1" x14ac:dyDescent="0.2">
      <c r="A1070" s="589" t="s">
        <v>56</v>
      </c>
      <c r="B1070" s="589" t="s">
        <v>363</v>
      </c>
      <c r="C1070" s="590" t="s">
        <v>3501</v>
      </c>
      <c r="D1070" s="589" t="s">
        <v>100</v>
      </c>
      <c r="E1070" s="589" t="s">
        <v>104</v>
      </c>
      <c r="F1070" s="589" t="s">
        <v>112</v>
      </c>
      <c r="G1070" s="589" t="s">
        <v>51</v>
      </c>
      <c r="H1070" s="589" t="s">
        <v>242</v>
      </c>
      <c r="I1070" s="589" t="s">
        <v>3659</v>
      </c>
      <c r="J1070" s="589" t="s">
        <v>35</v>
      </c>
      <c r="K1070" s="591">
        <v>3557.7330000000002</v>
      </c>
      <c r="L1070" s="592">
        <f>IF(J1070="TND",1,IF(J1070="EUR",Vertical_Cash_flow!$C$16,IF(J1070="USD",Vertical_Cash_flow!$F$16,0)))</f>
        <v>1</v>
      </c>
      <c r="M1070" s="593">
        <f t="shared" si="68"/>
        <v>3557.7330000000002</v>
      </c>
      <c r="N1070" s="589" t="s">
        <v>251</v>
      </c>
      <c r="O1070" s="594">
        <v>45427</v>
      </c>
      <c r="P1070" s="593">
        <f t="shared" si="69"/>
        <v>-77</v>
      </c>
      <c r="Q1070" s="594">
        <v>45504</v>
      </c>
      <c r="R1070" s="593">
        <f t="shared" ca="1" si="70"/>
        <v>-63</v>
      </c>
      <c r="S1070" s="589" t="str">
        <f>VLOOKUP(Q1070,Mapping!L:M,2,0)</f>
        <v>W31_2024</v>
      </c>
      <c r="T1070" s="589" t="str">
        <f t="shared" ca="1" si="71"/>
        <v>Not Due</v>
      </c>
      <c r="W1070" s="591"/>
    </row>
    <row r="1071" spans="1:23" s="589" customFormat="1" x14ac:dyDescent="0.2">
      <c r="A1071" s="589" t="s">
        <v>56</v>
      </c>
      <c r="B1071" s="589" t="s">
        <v>286</v>
      </c>
      <c r="C1071" s="590" t="s">
        <v>3500</v>
      </c>
      <c r="D1071" s="589" t="s">
        <v>100</v>
      </c>
      <c r="E1071" s="589" t="s">
        <v>104</v>
      </c>
      <c r="F1071" s="589" t="s">
        <v>112</v>
      </c>
      <c r="G1071" s="589" t="s">
        <v>51</v>
      </c>
      <c r="H1071" s="589" t="s">
        <v>242</v>
      </c>
      <c r="I1071" s="589" t="s">
        <v>794</v>
      </c>
      <c r="J1071" s="589" t="s">
        <v>35</v>
      </c>
      <c r="K1071" s="591">
        <v>4724.7950000000001</v>
      </c>
      <c r="L1071" s="592">
        <f>IF(J1071="TND",1,IF(J1071="EUR",Vertical_Cash_flow!$C$16,IF(J1071="USD",Vertical_Cash_flow!$F$16,0)))</f>
        <v>1</v>
      </c>
      <c r="M1071" s="593">
        <f t="shared" si="68"/>
        <v>4724.7950000000001</v>
      </c>
      <c r="N1071" s="589" t="s">
        <v>251</v>
      </c>
      <c r="O1071" s="594">
        <v>45429</v>
      </c>
      <c r="P1071" s="593">
        <f t="shared" si="69"/>
        <v>-75</v>
      </c>
      <c r="Q1071" s="594">
        <v>45504</v>
      </c>
      <c r="R1071" s="593">
        <f t="shared" ca="1" si="70"/>
        <v>-63</v>
      </c>
      <c r="S1071" s="589" t="str">
        <f>VLOOKUP(Q1071,Mapping!L:M,2,0)</f>
        <v>W31_2024</v>
      </c>
      <c r="T1071" s="589" t="str">
        <f t="shared" ca="1" si="71"/>
        <v>Not Due</v>
      </c>
      <c r="W1071" s="591"/>
    </row>
    <row r="1072" spans="1:23" s="589" customFormat="1" x14ac:dyDescent="0.2">
      <c r="A1072" s="589" t="s">
        <v>56</v>
      </c>
      <c r="B1072" s="589" t="s">
        <v>367</v>
      </c>
      <c r="C1072" s="590" t="s">
        <v>3499</v>
      </c>
      <c r="D1072" s="589" t="s">
        <v>100</v>
      </c>
      <c r="E1072" s="589" t="s">
        <v>104</v>
      </c>
      <c r="F1072" s="589" t="s">
        <v>112</v>
      </c>
      <c r="G1072" s="589" t="s">
        <v>51</v>
      </c>
      <c r="H1072" s="589" t="s">
        <v>242</v>
      </c>
      <c r="I1072" s="589" t="s">
        <v>3658</v>
      </c>
      <c r="J1072" s="589" t="s">
        <v>35</v>
      </c>
      <c r="K1072" s="591">
        <v>791.18299999999999</v>
      </c>
      <c r="L1072" s="592">
        <f>IF(J1072="TND",1,IF(J1072="EUR",Vertical_Cash_flow!$C$16,IF(J1072="USD",Vertical_Cash_flow!$F$16,0)))</f>
        <v>1</v>
      </c>
      <c r="M1072" s="593">
        <f t="shared" si="68"/>
        <v>791.18299999999999</v>
      </c>
      <c r="N1072" s="589" t="s">
        <v>251</v>
      </c>
      <c r="O1072" s="594">
        <v>45429</v>
      </c>
      <c r="P1072" s="593">
        <f t="shared" si="69"/>
        <v>-75</v>
      </c>
      <c r="Q1072" s="594">
        <v>45504</v>
      </c>
      <c r="R1072" s="593">
        <f t="shared" ca="1" si="70"/>
        <v>-63</v>
      </c>
      <c r="S1072" s="589" t="str">
        <f>VLOOKUP(Q1072,Mapping!L:M,2,0)</f>
        <v>W31_2024</v>
      </c>
      <c r="T1072" s="589" t="str">
        <f t="shared" ca="1" si="71"/>
        <v>Not Due</v>
      </c>
      <c r="W1072" s="591"/>
    </row>
    <row r="1073" spans="1:23" s="589" customFormat="1" x14ac:dyDescent="0.2">
      <c r="A1073" s="589" t="s">
        <v>56</v>
      </c>
      <c r="B1073" s="589" t="s">
        <v>514</v>
      </c>
      <c r="C1073" s="590" t="s">
        <v>3498</v>
      </c>
      <c r="D1073" s="589" t="s">
        <v>100</v>
      </c>
      <c r="E1073" s="589" t="s">
        <v>104</v>
      </c>
      <c r="F1073" s="589" t="s">
        <v>112</v>
      </c>
      <c r="G1073" s="589" t="s">
        <v>51</v>
      </c>
      <c r="H1073" s="589" t="s">
        <v>242</v>
      </c>
      <c r="I1073" s="589" t="s">
        <v>3657</v>
      </c>
      <c r="J1073" s="589" t="s">
        <v>35</v>
      </c>
      <c r="K1073" s="591">
        <v>406.60599999999999</v>
      </c>
      <c r="L1073" s="592">
        <f>IF(J1073="TND",1,IF(J1073="EUR",Vertical_Cash_flow!$C$16,IF(J1073="USD",Vertical_Cash_flow!$F$16,0)))</f>
        <v>1</v>
      </c>
      <c r="M1073" s="593">
        <f t="shared" si="68"/>
        <v>406.60599999999999</v>
      </c>
      <c r="N1073" s="589" t="s">
        <v>251</v>
      </c>
      <c r="O1073" s="594">
        <v>45426</v>
      </c>
      <c r="P1073" s="593">
        <f t="shared" si="69"/>
        <v>-78</v>
      </c>
      <c r="Q1073" s="594">
        <v>45504</v>
      </c>
      <c r="R1073" s="593">
        <f t="shared" ca="1" si="70"/>
        <v>-63</v>
      </c>
      <c r="S1073" s="589" t="str">
        <f>VLOOKUP(Q1073,Mapping!L:M,2,0)</f>
        <v>W31_2024</v>
      </c>
      <c r="T1073" s="589" t="str">
        <f t="shared" ca="1" si="71"/>
        <v>Not Due</v>
      </c>
      <c r="W1073" s="591"/>
    </row>
    <row r="1074" spans="1:23" s="589" customFormat="1" x14ac:dyDescent="0.2">
      <c r="A1074" s="589" t="s">
        <v>56</v>
      </c>
      <c r="B1074" s="589" t="s">
        <v>401</v>
      </c>
      <c r="C1074" s="590" t="s">
        <v>3107</v>
      </c>
      <c r="D1074" s="589" t="s">
        <v>100</v>
      </c>
      <c r="E1074" s="589" t="s">
        <v>104</v>
      </c>
      <c r="F1074" s="589" t="s">
        <v>112</v>
      </c>
      <c r="G1074" s="589" t="s">
        <v>51</v>
      </c>
      <c r="H1074" s="589" t="s">
        <v>242</v>
      </c>
      <c r="I1074" s="589" t="s">
        <v>3299</v>
      </c>
      <c r="J1074" s="589" t="s">
        <v>35</v>
      </c>
      <c r="K1074" s="591">
        <v>3000</v>
      </c>
      <c r="L1074" s="592">
        <f>IF(J1074="TND",1,IF(J1074="EUR",Vertical_Cash_flow!$C$16,IF(J1074="USD",Vertical_Cash_flow!$F$16,0)))</f>
        <v>1</v>
      </c>
      <c r="M1074" s="593">
        <f t="shared" si="68"/>
        <v>3000</v>
      </c>
      <c r="N1074" s="589" t="s">
        <v>251</v>
      </c>
      <c r="O1074" s="594">
        <v>45415</v>
      </c>
      <c r="P1074" s="593">
        <f t="shared" si="69"/>
        <v>-89</v>
      </c>
      <c r="Q1074" s="594">
        <v>45504</v>
      </c>
      <c r="R1074" s="593">
        <f t="shared" ca="1" si="70"/>
        <v>-63</v>
      </c>
      <c r="S1074" s="589" t="str">
        <f>VLOOKUP(Q1074,Mapping!L:M,2,0)</f>
        <v>W31_2024</v>
      </c>
      <c r="T1074" s="589" t="str">
        <f t="shared" ca="1" si="71"/>
        <v>Not Due</v>
      </c>
      <c r="W1074" s="591"/>
    </row>
    <row r="1075" spans="1:23" s="589" customFormat="1" x14ac:dyDescent="0.2">
      <c r="A1075" s="589" t="s">
        <v>56</v>
      </c>
      <c r="B1075" s="589" t="s">
        <v>348</v>
      </c>
      <c r="C1075" s="590" t="s">
        <v>2387</v>
      </c>
      <c r="D1075" s="589" t="s">
        <v>100</v>
      </c>
      <c r="E1075" s="589" t="s">
        <v>104</v>
      </c>
      <c r="F1075" s="589" t="s">
        <v>112</v>
      </c>
      <c r="G1075" s="589" t="s">
        <v>51</v>
      </c>
      <c r="H1075" s="589" t="s">
        <v>242</v>
      </c>
      <c r="I1075" s="589" t="s">
        <v>2718</v>
      </c>
      <c r="J1075" s="589" t="s">
        <v>35</v>
      </c>
      <c r="K1075" s="591">
        <v>3800</v>
      </c>
      <c r="L1075" s="592">
        <f>IF(J1075="TND",1,IF(J1075="EUR",Vertical_Cash_flow!$C$16,IF(J1075="USD",Vertical_Cash_flow!$F$16,0)))</f>
        <v>1</v>
      </c>
      <c r="M1075" s="593">
        <f t="shared" si="68"/>
        <v>3800</v>
      </c>
      <c r="N1075" s="589" t="s">
        <v>251</v>
      </c>
      <c r="O1075" s="594">
        <v>45408</v>
      </c>
      <c r="P1075" s="593">
        <f t="shared" si="69"/>
        <v>-96</v>
      </c>
      <c r="Q1075" s="594">
        <v>45504</v>
      </c>
      <c r="R1075" s="593">
        <f t="shared" ca="1" si="70"/>
        <v>-63</v>
      </c>
      <c r="S1075" s="589" t="str">
        <f>VLOOKUP(Q1075,Mapping!L:M,2,0)</f>
        <v>W31_2024</v>
      </c>
      <c r="T1075" s="589" t="str">
        <f t="shared" ca="1" si="71"/>
        <v>Not Due</v>
      </c>
      <c r="W1075" s="591"/>
    </row>
    <row r="1076" spans="1:23" s="589" customFormat="1" x14ac:dyDescent="0.2">
      <c r="A1076" s="589" t="s">
        <v>56</v>
      </c>
      <c r="B1076" s="589" t="s">
        <v>398</v>
      </c>
      <c r="C1076" s="590" t="s">
        <v>2389</v>
      </c>
      <c r="D1076" s="589" t="s">
        <v>100</v>
      </c>
      <c r="E1076" s="589" t="s">
        <v>104</v>
      </c>
      <c r="F1076" s="589" t="s">
        <v>112</v>
      </c>
      <c r="G1076" s="589" t="s">
        <v>51</v>
      </c>
      <c r="H1076" s="589" t="s">
        <v>242</v>
      </c>
      <c r="I1076" s="589" t="s">
        <v>2720</v>
      </c>
      <c r="J1076" s="589" t="s">
        <v>35</v>
      </c>
      <c r="K1076" s="591">
        <v>3000</v>
      </c>
      <c r="L1076" s="592">
        <f>IF(J1076="TND",1,IF(J1076="EUR",Vertical_Cash_flow!$C$16,IF(J1076="USD",Vertical_Cash_flow!$F$16,0)))</f>
        <v>1</v>
      </c>
      <c r="M1076" s="593">
        <f t="shared" si="68"/>
        <v>3000</v>
      </c>
      <c r="N1076" s="589" t="s">
        <v>251</v>
      </c>
      <c r="O1076" s="594">
        <v>45401</v>
      </c>
      <c r="P1076" s="593">
        <f t="shared" si="69"/>
        <v>-103</v>
      </c>
      <c r="Q1076" s="594">
        <v>45504</v>
      </c>
      <c r="R1076" s="593">
        <f t="shared" ca="1" si="70"/>
        <v>-63</v>
      </c>
      <c r="S1076" s="589" t="str">
        <f>VLOOKUP(Q1076,Mapping!L:M,2,0)</f>
        <v>W31_2024</v>
      </c>
      <c r="T1076" s="589" t="str">
        <f t="shared" ca="1" si="71"/>
        <v>Not Due</v>
      </c>
      <c r="W1076" s="591"/>
    </row>
    <row r="1077" spans="1:23" s="589" customFormat="1" x14ac:dyDescent="0.2">
      <c r="A1077" s="589" t="s">
        <v>56</v>
      </c>
      <c r="B1077" s="589" t="s">
        <v>404</v>
      </c>
      <c r="C1077" s="590" t="s">
        <v>3106</v>
      </c>
      <c r="D1077" s="589" t="s">
        <v>100</v>
      </c>
      <c r="E1077" s="589" t="s">
        <v>104</v>
      </c>
      <c r="F1077" s="589" t="s">
        <v>112</v>
      </c>
      <c r="G1077" s="589" t="s">
        <v>51</v>
      </c>
      <c r="H1077" s="589" t="s">
        <v>242</v>
      </c>
      <c r="I1077" s="589" t="s">
        <v>3298</v>
      </c>
      <c r="J1077" s="589" t="s">
        <v>35</v>
      </c>
      <c r="K1077" s="591">
        <v>1225.3889999999999</v>
      </c>
      <c r="L1077" s="592">
        <f>IF(J1077="TND",1,IF(J1077="EUR",Vertical_Cash_flow!$C$16,IF(J1077="USD",Vertical_Cash_flow!$F$16,0)))</f>
        <v>1</v>
      </c>
      <c r="M1077" s="593">
        <f t="shared" si="68"/>
        <v>1225.3889999999999</v>
      </c>
      <c r="N1077" s="589" t="s">
        <v>251</v>
      </c>
      <c r="O1077" s="594">
        <v>45411</v>
      </c>
      <c r="P1077" s="593">
        <f t="shared" si="69"/>
        <v>-93</v>
      </c>
      <c r="Q1077" s="594">
        <v>45504</v>
      </c>
      <c r="R1077" s="593">
        <f t="shared" ca="1" si="70"/>
        <v>-63</v>
      </c>
      <c r="S1077" s="589" t="str">
        <f>VLOOKUP(Q1077,Mapping!L:M,2,0)</f>
        <v>W31_2024</v>
      </c>
      <c r="T1077" s="589" t="str">
        <f t="shared" ca="1" si="71"/>
        <v>Not Due</v>
      </c>
      <c r="W1077" s="591"/>
    </row>
    <row r="1078" spans="1:23" s="589" customFormat="1" x14ac:dyDescent="0.2">
      <c r="A1078" s="589" t="s">
        <v>56</v>
      </c>
      <c r="B1078" s="589" t="s">
        <v>395</v>
      </c>
      <c r="C1078" s="590" t="s">
        <v>2390</v>
      </c>
      <c r="D1078" s="589" t="s">
        <v>100</v>
      </c>
      <c r="E1078" s="589" t="s">
        <v>104</v>
      </c>
      <c r="F1078" s="589" t="s">
        <v>112</v>
      </c>
      <c r="G1078" s="589" t="s">
        <v>51</v>
      </c>
      <c r="H1078" s="589" t="s">
        <v>242</v>
      </c>
      <c r="I1078" s="589" t="s">
        <v>2721</v>
      </c>
      <c r="J1078" s="589" t="s">
        <v>35</v>
      </c>
      <c r="K1078" s="591">
        <v>3519.2959999999998</v>
      </c>
      <c r="L1078" s="592">
        <f>IF(J1078="TND",1,IF(J1078="EUR",Vertical_Cash_flow!$C$16,IF(J1078="USD",Vertical_Cash_flow!$F$16,0)))</f>
        <v>1</v>
      </c>
      <c r="M1078" s="593">
        <f t="shared" si="68"/>
        <v>3519.2959999999998</v>
      </c>
      <c r="N1078" s="589" t="s">
        <v>251</v>
      </c>
      <c r="O1078" s="594">
        <v>45401</v>
      </c>
      <c r="P1078" s="593">
        <f t="shared" si="69"/>
        <v>-103</v>
      </c>
      <c r="Q1078" s="594">
        <v>45504</v>
      </c>
      <c r="R1078" s="593">
        <f t="shared" ca="1" si="70"/>
        <v>-63</v>
      </c>
      <c r="S1078" s="589" t="str">
        <f>VLOOKUP(Q1078,Mapping!L:M,2,0)</f>
        <v>W31_2024</v>
      </c>
      <c r="T1078" s="589" t="str">
        <f t="shared" ca="1" si="71"/>
        <v>Not Due</v>
      </c>
      <c r="W1078" s="591"/>
    </row>
    <row r="1079" spans="1:23" s="589" customFormat="1" x14ac:dyDescent="0.2">
      <c r="A1079" s="589" t="s">
        <v>56</v>
      </c>
      <c r="B1079" s="589" t="s">
        <v>3408</v>
      </c>
      <c r="C1079" s="590" t="s">
        <v>3497</v>
      </c>
      <c r="D1079" s="589" t="s">
        <v>100</v>
      </c>
      <c r="E1079" s="589" t="s">
        <v>104</v>
      </c>
      <c r="F1079" s="589" t="s">
        <v>112</v>
      </c>
      <c r="G1079" s="589" t="s">
        <v>51</v>
      </c>
      <c r="H1079" s="589" t="s">
        <v>242</v>
      </c>
      <c r="I1079" s="589" t="s">
        <v>3656</v>
      </c>
      <c r="J1079" s="589" t="s">
        <v>35</v>
      </c>
      <c r="K1079" s="591">
        <v>638.03700000000003</v>
      </c>
      <c r="L1079" s="592">
        <f>IF(J1079="TND",1,IF(J1079="EUR",Vertical_Cash_flow!$C$16,IF(J1079="USD",Vertical_Cash_flow!$F$16,0)))</f>
        <v>1</v>
      </c>
      <c r="M1079" s="593">
        <f t="shared" si="68"/>
        <v>638.03700000000003</v>
      </c>
      <c r="N1079" s="589" t="s">
        <v>251</v>
      </c>
      <c r="O1079" s="594">
        <v>45427</v>
      </c>
      <c r="P1079" s="593">
        <f t="shared" si="69"/>
        <v>-77</v>
      </c>
      <c r="Q1079" s="594">
        <v>45504</v>
      </c>
      <c r="R1079" s="593">
        <f t="shared" ca="1" si="70"/>
        <v>-63</v>
      </c>
      <c r="S1079" s="589" t="str">
        <f>VLOOKUP(Q1079,Mapping!L:M,2,0)</f>
        <v>W31_2024</v>
      </c>
      <c r="T1079" s="589" t="str">
        <f t="shared" ca="1" si="71"/>
        <v>Not Due</v>
      </c>
      <c r="W1079" s="591"/>
    </row>
    <row r="1080" spans="1:23" s="589" customFormat="1" x14ac:dyDescent="0.2">
      <c r="A1080" s="589" t="s">
        <v>56</v>
      </c>
      <c r="B1080" s="589" t="s">
        <v>394</v>
      </c>
      <c r="C1080" s="590" t="s">
        <v>2391</v>
      </c>
      <c r="D1080" s="589" t="s">
        <v>100</v>
      </c>
      <c r="E1080" s="589" t="s">
        <v>104</v>
      </c>
      <c r="F1080" s="589" t="s">
        <v>112</v>
      </c>
      <c r="G1080" s="589" t="s">
        <v>51</v>
      </c>
      <c r="H1080" s="589" t="s">
        <v>242</v>
      </c>
      <c r="I1080" s="589" t="s">
        <v>2722</v>
      </c>
      <c r="J1080" s="589" t="s">
        <v>35</v>
      </c>
      <c r="K1080" s="591">
        <v>960.79499999999996</v>
      </c>
      <c r="L1080" s="592">
        <f>IF(J1080="TND",1,IF(J1080="EUR",Vertical_Cash_flow!$C$16,IF(J1080="USD",Vertical_Cash_flow!$F$16,0)))</f>
        <v>1</v>
      </c>
      <c r="M1080" s="593">
        <f t="shared" si="68"/>
        <v>960.79499999999996</v>
      </c>
      <c r="N1080" s="589" t="s">
        <v>251</v>
      </c>
      <c r="O1080" s="594">
        <v>45400</v>
      </c>
      <c r="P1080" s="593">
        <f t="shared" si="69"/>
        <v>-104</v>
      </c>
      <c r="Q1080" s="594">
        <v>45504</v>
      </c>
      <c r="R1080" s="593">
        <f t="shared" ca="1" si="70"/>
        <v>-63</v>
      </c>
      <c r="S1080" s="589" t="str">
        <f>VLOOKUP(Q1080,Mapping!L:M,2,0)</f>
        <v>W31_2024</v>
      </c>
      <c r="T1080" s="589" t="str">
        <f t="shared" ca="1" si="71"/>
        <v>Not Due</v>
      </c>
      <c r="W1080" s="591"/>
    </row>
    <row r="1081" spans="1:23" s="589" customFormat="1" x14ac:dyDescent="0.2">
      <c r="A1081" s="589" t="s">
        <v>56</v>
      </c>
      <c r="B1081" s="589" t="s">
        <v>492</v>
      </c>
      <c r="C1081" s="590" t="s">
        <v>2388</v>
      </c>
      <c r="D1081" s="589" t="s">
        <v>100</v>
      </c>
      <c r="E1081" s="589" t="s">
        <v>104</v>
      </c>
      <c r="F1081" s="589" t="s">
        <v>112</v>
      </c>
      <c r="G1081" s="589" t="s">
        <v>51</v>
      </c>
      <c r="H1081" s="589" t="s">
        <v>242</v>
      </c>
      <c r="I1081" s="589" t="s">
        <v>2719</v>
      </c>
      <c r="J1081" s="589" t="s">
        <v>35</v>
      </c>
      <c r="K1081" s="591">
        <v>2412.2959999999998</v>
      </c>
      <c r="L1081" s="592">
        <f>IF(J1081="TND",1,IF(J1081="EUR",Vertical_Cash_flow!$C$16,IF(J1081="USD",Vertical_Cash_flow!$F$16,0)))</f>
        <v>1</v>
      </c>
      <c r="M1081" s="593">
        <f t="shared" si="68"/>
        <v>2412.2959999999998</v>
      </c>
      <c r="N1081" s="589" t="s">
        <v>251</v>
      </c>
      <c r="O1081" s="594">
        <v>45405</v>
      </c>
      <c r="P1081" s="593">
        <f t="shared" si="69"/>
        <v>-99</v>
      </c>
      <c r="Q1081" s="594">
        <v>45504</v>
      </c>
      <c r="R1081" s="593">
        <f t="shared" ca="1" si="70"/>
        <v>-63</v>
      </c>
      <c r="S1081" s="589" t="str">
        <f>VLOOKUP(Q1081,Mapping!L:M,2,0)</f>
        <v>W31_2024</v>
      </c>
      <c r="T1081" s="589" t="str">
        <f t="shared" ca="1" si="71"/>
        <v>Not Due</v>
      </c>
      <c r="W1081" s="591"/>
    </row>
    <row r="1082" spans="1:23" s="589" customFormat="1" x14ac:dyDescent="0.2">
      <c r="A1082" s="589" t="s">
        <v>56</v>
      </c>
      <c r="B1082" s="589" t="s">
        <v>481</v>
      </c>
      <c r="C1082" s="590" t="s">
        <v>2393</v>
      </c>
      <c r="D1082" s="589" t="s">
        <v>100</v>
      </c>
      <c r="E1082" s="589" t="s">
        <v>104</v>
      </c>
      <c r="F1082" s="589" t="s">
        <v>112</v>
      </c>
      <c r="G1082" s="589" t="s">
        <v>51</v>
      </c>
      <c r="H1082" s="589" t="s">
        <v>242</v>
      </c>
      <c r="I1082" s="589" t="s">
        <v>2724</v>
      </c>
      <c r="J1082" s="589" t="s">
        <v>35</v>
      </c>
      <c r="K1082" s="591">
        <v>5400</v>
      </c>
      <c r="L1082" s="592">
        <f>IF(J1082="TND",1,IF(J1082="EUR",Vertical_Cash_flow!$C$16,IF(J1082="USD",Vertical_Cash_flow!$F$16,0)))</f>
        <v>1</v>
      </c>
      <c r="M1082" s="593">
        <f t="shared" si="68"/>
        <v>5400</v>
      </c>
      <c r="N1082" s="589" t="s">
        <v>251</v>
      </c>
      <c r="O1082" s="594">
        <v>45383</v>
      </c>
      <c r="P1082" s="593">
        <f t="shared" si="69"/>
        <v>-121</v>
      </c>
      <c r="Q1082" s="594">
        <v>45504</v>
      </c>
      <c r="R1082" s="593">
        <f t="shared" ca="1" si="70"/>
        <v>-63</v>
      </c>
      <c r="S1082" s="589" t="str">
        <f>VLOOKUP(Q1082,Mapping!L:M,2,0)</f>
        <v>W31_2024</v>
      </c>
      <c r="T1082" s="589" t="str">
        <f t="shared" ca="1" si="71"/>
        <v>Not Due</v>
      </c>
      <c r="W1082" s="591"/>
    </row>
    <row r="1083" spans="1:23" s="589" customFormat="1" x14ac:dyDescent="0.2">
      <c r="A1083" s="589" t="s">
        <v>56</v>
      </c>
      <c r="B1083" s="589" t="s">
        <v>394</v>
      </c>
      <c r="C1083" s="590" t="s">
        <v>1528</v>
      </c>
      <c r="D1083" s="589" t="s">
        <v>100</v>
      </c>
      <c r="E1083" s="589" t="s">
        <v>104</v>
      </c>
      <c r="F1083" s="589" t="s">
        <v>112</v>
      </c>
      <c r="G1083" s="589" t="s">
        <v>51</v>
      </c>
      <c r="H1083" s="589" t="s">
        <v>242</v>
      </c>
      <c r="I1083" s="589" t="s">
        <v>1938</v>
      </c>
      <c r="J1083" s="589" t="s">
        <v>35</v>
      </c>
      <c r="K1083" s="591">
        <v>645.38499999999999</v>
      </c>
      <c r="L1083" s="592">
        <f>IF(J1083="TND",1,IF(J1083="EUR",Vertical_Cash_flow!$C$16,IF(J1083="USD",Vertical_Cash_flow!$F$16,0)))</f>
        <v>1</v>
      </c>
      <c r="M1083" s="593">
        <f t="shared" si="68"/>
        <v>645.38499999999999</v>
      </c>
      <c r="N1083" s="589" t="s">
        <v>251</v>
      </c>
      <c r="O1083" s="594">
        <v>45363</v>
      </c>
      <c r="P1083" s="593">
        <f t="shared" si="69"/>
        <v>-141</v>
      </c>
      <c r="Q1083" s="594">
        <v>45504</v>
      </c>
      <c r="R1083" s="593">
        <f t="shared" ca="1" si="70"/>
        <v>-63</v>
      </c>
      <c r="S1083" s="589" t="str">
        <f>VLOOKUP(Q1083,Mapping!L:M,2,0)</f>
        <v>W31_2024</v>
      </c>
      <c r="T1083" s="589" t="str">
        <f t="shared" ca="1" si="71"/>
        <v>Not Due</v>
      </c>
      <c r="W1083" s="591"/>
    </row>
    <row r="1084" spans="1:23" s="589" customFormat="1" x14ac:dyDescent="0.2">
      <c r="A1084" s="589" t="s">
        <v>56</v>
      </c>
      <c r="B1084" s="589" t="s">
        <v>392</v>
      </c>
      <c r="C1084" s="590" t="s">
        <v>956</v>
      </c>
      <c r="D1084" s="589" t="s">
        <v>100</v>
      </c>
      <c r="E1084" s="589" t="s">
        <v>104</v>
      </c>
      <c r="F1084" s="589" t="s">
        <v>112</v>
      </c>
      <c r="G1084" s="589" t="s">
        <v>51</v>
      </c>
      <c r="H1084" s="589" t="s">
        <v>242</v>
      </c>
      <c r="I1084" s="589" t="s">
        <v>964</v>
      </c>
      <c r="J1084" s="589" t="s">
        <v>35</v>
      </c>
      <c r="K1084" s="591">
        <v>7500</v>
      </c>
      <c r="L1084" s="592">
        <f>IF(J1084="TND",1,IF(J1084="EUR",Vertical_Cash_flow!$C$16,IF(J1084="USD",Vertical_Cash_flow!$F$16,0)))</f>
        <v>1</v>
      </c>
      <c r="M1084" s="593">
        <f t="shared" si="68"/>
        <v>7500</v>
      </c>
      <c r="N1084" s="589" t="s">
        <v>251</v>
      </c>
      <c r="O1084" s="594">
        <v>45258</v>
      </c>
      <c r="P1084" s="593">
        <f t="shared" si="69"/>
        <v>-246</v>
      </c>
      <c r="Q1084" s="594">
        <v>45504</v>
      </c>
      <c r="R1084" s="593">
        <f t="shared" ca="1" si="70"/>
        <v>-63</v>
      </c>
      <c r="S1084" s="589" t="str">
        <f>VLOOKUP(Q1084,Mapping!L:M,2,0)</f>
        <v>W31_2024</v>
      </c>
      <c r="T1084" s="589" t="str">
        <f t="shared" ca="1" si="71"/>
        <v>Not Due</v>
      </c>
      <c r="W1084" s="591"/>
    </row>
    <row r="1085" spans="1:23" s="589" customFormat="1" x14ac:dyDescent="0.2">
      <c r="A1085" s="589" t="s">
        <v>56</v>
      </c>
      <c r="B1085" s="589" t="s">
        <v>349</v>
      </c>
      <c r="C1085" s="590" t="s">
        <v>1529</v>
      </c>
      <c r="D1085" s="589" t="s">
        <v>100</v>
      </c>
      <c r="E1085" s="589" t="s">
        <v>104</v>
      </c>
      <c r="F1085" s="589" t="s">
        <v>112</v>
      </c>
      <c r="G1085" s="589" t="s">
        <v>51</v>
      </c>
      <c r="H1085" s="589" t="s">
        <v>242</v>
      </c>
      <c r="I1085" s="589" t="s">
        <v>1939</v>
      </c>
      <c r="J1085" s="589" t="s">
        <v>35</v>
      </c>
      <c r="K1085" s="591">
        <v>5429.7749999999996</v>
      </c>
      <c r="L1085" s="592">
        <f>IF(J1085="TND",1,IF(J1085="EUR",Vertical_Cash_flow!$C$16,IF(J1085="USD",Vertical_Cash_flow!$F$16,0)))</f>
        <v>1</v>
      </c>
      <c r="M1085" s="593">
        <f t="shared" si="68"/>
        <v>5429.7749999999996</v>
      </c>
      <c r="N1085" s="589" t="s">
        <v>251</v>
      </c>
      <c r="O1085" s="594">
        <v>45369</v>
      </c>
      <c r="P1085" s="593">
        <f t="shared" si="69"/>
        <v>-135</v>
      </c>
      <c r="Q1085" s="594">
        <v>45504</v>
      </c>
      <c r="R1085" s="593">
        <f t="shared" ca="1" si="70"/>
        <v>-63</v>
      </c>
      <c r="S1085" s="589" t="str">
        <f>VLOOKUP(Q1085,Mapping!L:M,2,0)</f>
        <v>W31_2024</v>
      </c>
      <c r="T1085" s="589" t="str">
        <f t="shared" ca="1" si="71"/>
        <v>Not Due</v>
      </c>
      <c r="W1085" s="591"/>
    </row>
    <row r="1086" spans="1:23" s="589" customFormat="1" x14ac:dyDescent="0.2">
      <c r="A1086" s="589" t="s">
        <v>56</v>
      </c>
      <c r="B1086" s="589" t="s">
        <v>481</v>
      </c>
      <c r="C1086" s="590" t="s">
        <v>2392</v>
      </c>
      <c r="D1086" s="589" t="s">
        <v>100</v>
      </c>
      <c r="E1086" s="589" t="s">
        <v>104</v>
      </c>
      <c r="F1086" s="589" t="s">
        <v>112</v>
      </c>
      <c r="G1086" s="589" t="s">
        <v>51</v>
      </c>
      <c r="H1086" s="589" t="s">
        <v>242</v>
      </c>
      <c r="I1086" s="589" t="s">
        <v>2723</v>
      </c>
      <c r="J1086" s="589" t="s">
        <v>35</v>
      </c>
      <c r="K1086" s="591">
        <v>5475.3410000000003</v>
      </c>
      <c r="L1086" s="592">
        <f>IF(J1086="TND",1,IF(J1086="EUR",Vertical_Cash_flow!$C$16,IF(J1086="USD",Vertical_Cash_flow!$F$16,0)))</f>
        <v>1</v>
      </c>
      <c r="M1086" s="593">
        <f t="shared" si="68"/>
        <v>5475.3410000000003</v>
      </c>
      <c r="N1086" s="589" t="s">
        <v>251</v>
      </c>
      <c r="O1086" s="594">
        <v>45383</v>
      </c>
      <c r="P1086" s="593">
        <f t="shared" si="69"/>
        <v>-121</v>
      </c>
      <c r="Q1086" s="594">
        <v>45504</v>
      </c>
      <c r="R1086" s="593">
        <f t="shared" ca="1" si="70"/>
        <v>-63</v>
      </c>
      <c r="S1086" s="589" t="str">
        <f>VLOOKUP(Q1086,Mapping!L:M,2,0)</f>
        <v>W31_2024</v>
      </c>
      <c r="T1086" s="589" t="str">
        <f t="shared" ca="1" si="71"/>
        <v>Not Due</v>
      </c>
      <c r="W1086" s="591"/>
    </row>
    <row r="1087" spans="1:23" s="589" customFormat="1" x14ac:dyDescent="0.2">
      <c r="A1087" s="589" t="s">
        <v>56</v>
      </c>
      <c r="B1087" s="589" t="s">
        <v>345</v>
      </c>
      <c r="C1087" s="590" t="s">
        <v>1526</v>
      </c>
      <c r="D1087" s="589" t="s">
        <v>100</v>
      </c>
      <c r="E1087" s="589" t="s">
        <v>104</v>
      </c>
      <c r="F1087" s="589" t="s">
        <v>112</v>
      </c>
      <c r="G1087" s="589" t="s">
        <v>51</v>
      </c>
      <c r="H1087" s="589" t="s">
        <v>242</v>
      </c>
      <c r="I1087" s="589" t="s">
        <v>1936</v>
      </c>
      <c r="J1087" s="589" t="s">
        <v>35</v>
      </c>
      <c r="K1087" s="591">
        <v>6412.5540000000001</v>
      </c>
      <c r="L1087" s="592">
        <f>IF(J1087="TND",1,IF(J1087="EUR",Vertical_Cash_flow!$C$16,IF(J1087="USD",Vertical_Cash_flow!$F$16,0)))</f>
        <v>1</v>
      </c>
      <c r="M1087" s="593">
        <f t="shared" si="68"/>
        <v>6412.5540000000001</v>
      </c>
      <c r="N1087" s="589" t="s">
        <v>251</v>
      </c>
      <c r="O1087" s="594">
        <v>45380</v>
      </c>
      <c r="P1087" s="593">
        <f t="shared" si="69"/>
        <v>-124</v>
      </c>
      <c r="Q1087" s="594">
        <v>45504</v>
      </c>
      <c r="R1087" s="593">
        <f t="shared" ca="1" si="70"/>
        <v>-63</v>
      </c>
      <c r="S1087" s="589" t="str">
        <f>VLOOKUP(Q1087,Mapping!L:M,2,0)</f>
        <v>W31_2024</v>
      </c>
      <c r="T1087" s="589" t="str">
        <f t="shared" ca="1" si="71"/>
        <v>Not Due</v>
      </c>
      <c r="W1087" s="591"/>
    </row>
    <row r="1088" spans="1:23" s="589" customFormat="1" x14ac:dyDescent="0.2">
      <c r="A1088" s="589" t="s">
        <v>56</v>
      </c>
      <c r="B1088" s="589" t="s">
        <v>1244</v>
      </c>
      <c r="C1088" s="590" t="s">
        <v>2386</v>
      </c>
      <c r="D1088" s="589" t="s">
        <v>100</v>
      </c>
      <c r="E1088" s="589" t="s">
        <v>104</v>
      </c>
      <c r="F1088" s="589" t="s">
        <v>112</v>
      </c>
      <c r="G1088" s="589" t="s">
        <v>51</v>
      </c>
      <c r="H1088" s="589" t="s">
        <v>242</v>
      </c>
      <c r="I1088" s="589" t="s">
        <v>2717</v>
      </c>
      <c r="J1088" s="589" t="s">
        <v>35</v>
      </c>
      <c r="K1088" s="591">
        <v>659.76499999999999</v>
      </c>
      <c r="L1088" s="592">
        <f>IF(J1088="TND",1,IF(J1088="EUR",Vertical_Cash_flow!$C$16,IF(J1088="USD",Vertical_Cash_flow!$F$16,0)))</f>
        <v>1</v>
      </c>
      <c r="M1088" s="593">
        <f t="shared" si="68"/>
        <v>659.76499999999999</v>
      </c>
      <c r="N1088" s="589" t="s">
        <v>251</v>
      </c>
      <c r="O1088" s="594">
        <v>45399</v>
      </c>
      <c r="P1088" s="593">
        <f t="shared" si="69"/>
        <v>-105</v>
      </c>
      <c r="Q1088" s="594">
        <v>45504</v>
      </c>
      <c r="R1088" s="593">
        <f t="shared" ca="1" si="70"/>
        <v>-63</v>
      </c>
      <c r="S1088" s="589" t="str">
        <f>VLOOKUP(Q1088,Mapping!L:M,2,0)</f>
        <v>W31_2024</v>
      </c>
      <c r="T1088" s="589" t="str">
        <f t="shared" ca="1" si="71"/>
        <v>Not Due</v>
      </c>
      <c r="W1088" s="591"/>
    </row>
    <row r="1089" spans="1:23" s="589" customFormat="1" x14ac:dyDescent="0.2">
      <c r="A1089" s="589" t="s">
        <v>56</v>
      </c>
      <c r="B1089" s="589" t="s">
        <v>384</v>
      </c>
      <c r="C1089" s="590" t="s">
        <v>2385</v>
      </c>
      <c r="D1089" s="589" t="s">
        <v>100</v>
      </c>
      <c r="E1089" s="589" t="s">
        <v>104</v>
      </c>
      <c r="F1089" s="589" t="s">
        <v>112</v>
      </c>
      <c r="G1089" s="589" t="s">
        <v>51</v>
      </c>
      <c r="H1089" s="589" t="s">
        <v>242</v>
      </c>
      <c r="I1089" s="589" t="s">
        <v>2716</v>
      </c>
      <c r="J1089" s="589" t="s">
        <v>35</v>
      </c>
      <c r="K1089" s="591">
        <v>1646.56</v>
      </c>
      <c r="L1089" s="592">
        <f>IF(J1089="TND",1,IF(J1089="EUR",Vertical_Cash_flow!$C$16,IF(J1089="USD",Vertical_Cash_flow!$F$16,0)))</f>
        <v>1</v>
      </c>
      <c r="M1089" s="593">
        <f t="shared" si="68"/>
        <v>1646.56</v>
      </c>
      <c r="N1089" s="589" t="s">
        <v>251</v>
      </c>
      <c r="O1089" s="594">
        <v>45405</v>
      </c>
      <c r="P1089" s="593">
        <f t="shared" si="69"/>
        <v>-99</v>
      </c>
      <c r="Q1089" s="594">
        <v>45504</v>
      </c>
      <c r="R1089" s="593">
        <f t="shared" ca="1" si="70"/>
        <v>-63</v>
      </c>
      <c r="S1089" s="589" t="str">
        <f>VLOOKUP(Q1089,Mapping!L:M,2,0)</f>
        <v>W31_2024</v>
      </c>
      <c r="T1089" s="589" t="str">
        <f t="shared" ca="1" si="71"/>
        <v>Not Due</v>
      </c>
      <c r="W1089" s="591"/>
    </row>
    <row r="1090" spans="1:23" s="589" customFormat="1" x14ac:dyDescent="0.2">
      <c r="A1090" s="589" t="s">
        <v>56</v>
      </c>
      <c r="B1090" s="589" t="s">
        <v>534</v>
      </c>
      <c r="C1090" s="590" t="s">
        <v>1527</v>
      </c>
      <c r="D1090" s="589" t="s">
        <v>100</v>
      </c>
      <c r="E1090" s="589" t="s">
        <v>104</v>
      </c>
      <c r="F1090" s="589" t="s">
        <v>112</v>
      </c>
      <c r="G1090" s="589" t="s">
        <v>51</v>
      </c>
      <c r="H1090" s="589" t="s">
        <v>242</v>
      </c>
      <c r="I1090" s="589" t="s">
        <v>1937</v>
      </c>
      <c r="J1090" s="589" t="s">
        <v>35</v>
      </c>
      <c r="K1090" s="591">
        <v>4145.7700000000004</v>
      </c>
      <c r="L1090" s="592">
        <f>IF(J1090="TND",1,IF(J1090="EUR",Vertical_Cash_flow!$C$16,IF(J1090="USD",Vertical_Cash_flow!$F$16,0)))</f>
        <v>1</v>
      </c>
      <c r="M1090" s="593">
        <f t="shared" si="68"/>
        <v>4145.7700000000004</v>
      </c>
      <c r="N1090" s="589" t="s">
        <v>251</v>
      </c>
      <c r="O1090" s="594">
        <v>45351</v>
      </c>
      <c r="P1090" s="593">
        <f t="shared" si="69"/>
        <v>-153</v>
      </c>
      <c r="Q1090" s="594">
        <v>45504</v>
      </c>
      <c r="R1090" s="593">
        <f t="shared" ca="1" si="70"/>
        <v>-63</v>
      </c>
      <c r="S1090" s="589" t="str">
        <f>VLOOKUP(Q1090,Mapping!L:M,2,0)</f>
        <v>W31_2024</v>
      </c>
      <c r="T1090" s="589" t="str">
        <f t="shared" ca="1" si="71"/>
        <v>Not Due</v>
      </c>
      <c r="W1090" s="591"/>
    </row>
    <row r="1091" spans="1:23" s="589" customFormat="1" x14ac:dyDescent="0.2">
      <c r="A1091" s="589" t="s">
        <v>56</v>
      </c>
      <c r="B1091" s="589" t="s">
        <v>589</v>
      </c>
      <c r="C1091" s="590" t="s">
        <v>1524</v>
      </c>
      <c r="D1091" s="589" t="s">
        <v>100</v>
      </c>
      <c r="E1091" s="589" t="s">
        <v>104</v>
      </c>
      <c r="F1091" s="589" t="s">
        <v>112</v>
      </c>
      <c r="G1091" s="589" t="s">
        <v>51</v>
      </c>
      <c r="H1091" s="589" t="s">
        <v>242</v>
      </c>
      <c r="I1091" s="589" t="s">
        <v>1935</v>
      </c>
      <c r="J1091" s="589" t="s">
        <v>35</v>
      </c>
      <c r="K1091" s="591">
        <v>2273.768</v>
      </c>
      <c r="L1091" s="592">
        <f>IF(J1091="TND",1,IF(J1091="EUR",Vertical_Cash_flow!$C$16,IF(J1091="USD",Vertical_Cash_flow!$F$16,0)))</f>
        <v>1</v>
      </c>
      <c r="M1091" s="593">
        <f t="shared" si="68"/>
        <v>2273.768</v>
      </c>
      <c r="N1091" s="589" t="s">
        <v>251</v>
      </c>
      <c r="O1091" s="594">
        <v>45378</v>
      </c>
      <c r="P1091" s="593">
        <f t="shared" si="69"/>
        <v>-126</v>
      </c>
      <c r="Q1091" s="594">
        <v>45504</v>
      </c>
      <c r="R1091" s="593">
        <f t="shared" ca="1" si="70"/>
        <v>-63</v>
      </c>
      <c r="S1091" s="589" t="str">
        <f>VLOOKUP(Q1091,Mapping!L:M,2,0)</f>
        <v>W31_2024</v>
      </c>
      <c r="T1091" s="589" t="str">
        <f t="shared" ca="1" si="71"/>
        <v>Not Due</v>
      </c>
      <c r="W1091" s="591"/>
    </row>
    <row r="1092" spans="1:23" s="589" customFormat="1" x14ac:dyDescent="0.2">
      <c r="A1092" s="589" t="s">
        <v>56</v>
      </c>
      <c r="B1092" s="589" t="s">
        <v>605</v>
      </c>
      <c r="C1092" s="590" t="s">
        <v>1251</v>
      </c>
      <c r="D1092" s="589" t="s">
        <v>100</v>
      </c>
      <c r="E1092" s="589" t="s">
        <v>104</v>
      </c>
      <c r="F1092" s="589" t="s">
        <v>112</v>
      </c>
      <c r="G1092" s="589" t="s">
        <v>51</v>
      </c>
      <c r="H1092" s="589" t="s">
        <v>242</v>
      </c>
      <c r="I1092" s="589" t="s">
        <v>1364</v>
      </c>
      <c r="J1092" s="589" t="s">
        <v>35</v>
      </c>
      <c r="K1092" s="591">
        <v>5345.116</v>
      </c>
      <c r="L1092" s="592">
        <f>IF(J1092="TND",1,IF(J1092="EUR",Vertical_Cash_flow!$C$16,IF(J1092="USD",Vertical_Cash_flow!$F$16,0)))</f>
        <v>1</v>
      </c>
      <c r="M1092" s="593">
        <f t="shared" si="68"/>
        <v>5345.116</v>
      </c>
      <c r="N1092" s="589" t="s">
        <v>251</v>
      </c>
      <c r="O1092" s="594">
        <v>45343</v>
      </c>
      <c r="P1092" s="593">
        <f t="shared" si="69"/>
        <v>-161</v>
      </c>
      <c r="Q1092" s="594">
        <v>45504</v>
      </c>
      <c r="R1092" s="593">
        <f t="shared" ca="1" si="70"/>
        <v>-63</v>
      </c>
      <c r="S1092" s="589" t="str">
        <f>VLOOKUP(Q1092,Mapping!L:M,2,0)</f>
        <v>W31_2024</v>
      </c>
      <c r="T1092" s="589" t="str">
        <f t="shared" ca="1" si="71"/>
        <v>Not Due</v>
      </c>
      <c r="W1092" s="591"/>
    </row>
    <row r="1093" spans="1:23" s="589" customFormat="1" x14ac:dyDescent="0.2">
      <c r="A1093" s="589" t="s">
        <v>56</v>
      </c>
      <c r="B1093" s="589" t="s">
        <v>387</v>
      </c>
      <c r="C1093" s="590" t="s">
        <v>1525</v>
      </c>
      <c r="D1093" s="589" t="s">
        <v>100</v>
      </c>
      <c r="E1093" s="589" t="s">
        <v>104</v>
      </c>
      <c r="F1093" s="589" t="s">
        <v>112</v>
      </c>
      <c r="G1093" s="589" t="s">
        <v>51</v>
      </c>
      <c r="H1093" s="589" t="s">
        <v>242</v>
      </c>
      <c r="I1093" s="589" t="s">
        <v>999</v>
      </c>
      <c r="J1093" s="589" t="s">
        <v>35</v>
      </c>
      <c r="K1093" s="591">
        <v>1301.9749999999999</v>
      </c>
      <c r="L1093" s="592">
        <f>IF(J1093="TND",1,IF(J1093="EUR",Vertical_Cash_flow!$C$16,IF(J1093="USD",Vertical_Cash_flow!$F$16,0)))</f>
        <v>1</v>
      </c>
      <c r="M1093" s="593">
        <f t="shared" si="68"/>
        <v>1301.9749999999999</v>
      </c>
      <c r="N1093" s="589" t="s">
        <v>251</v>
      </c>
      <c r="O1093" s="594">
        <v>45378</v>
      </c>
      <c r="P1093" s="593">
        <f t="shared" si="69"/>
        <v>-126</v>
      </c>
      <c r="Q1093" s="594">
        <v>45504</v>
      </c>
      <c r="R1093" s="593">
        <f t="shared" ca="1" si="70"/>
        <v>-63</v>
      </c>
      <c r="S1093" s="589" t="str">
        <f>VLOOKUP(Q1093,Mapping!L:M,2,0)</f>
        <v>W31_2024</v>
      </c>
      <c r="T1093" s="589" t="str">
        <f t="shared" ca="1" si="71"/>
        <v>Not Due</v>
      </c>
      <c r="W1093" s="591"/>
    </row>
    <row r="1094" spans="1:23" s="589" customFormat="1" x14ac:dyDescent="0.2">
      <c r="A1094" s="589" t="s">
        <v>56</v>
      </c>
      <c r="B1094" s="589" t="s">
        <v>387</v>
      </c>
      <c r="C1094" s="590" t="s">
        <v>2384</v>
      </c>
      <c r="D1094" s="589" t="s">
        <v>100</v>
      </c>
      <c r="E1094" s="589" t="s">
        <v>104</v>
      </c>
      <c r="F1094" s="589" t="s">
        <v>112</v>
      </c>
      <c r="G1094" s="589" t="s">
        <v>51</v>
      </c>
      <c r="H1094" s="589" t="s">
        <v>242</v>
      </c>
      <c r="I1094" s="589" t="s">
        <v>2715</v>
      </c>
      <c r="J1094" s="589" t="s">
        <v>35</v>
      </c>
      <c r="K1094" s="591">
        <v>1091.0429999999999</v>
      </c>
      <c r="L1094" s="592">
        <f>IF(J1094="TND",1,IF(J1094="EUR",Vertical_Cash_flow!$C$16,IF(J1094="USD",Vertical_Cash_flow!$F$16,0)))</f>
        <v>1</v>
      </c>
      <c r="M1094" s="593">
        <f t="shared" si="68"/>
        <v>1091.0429999999999</v>
      </c>
      <c r="N1094" s="589" t="s">
        <v>251</v>
      </c>
      <c r="O1094" s="594">
        <v>45406</v>
      </c>
      <c r="P1094" s="593">
        <f t="shared" si="69"/>
        <v>-98</v>
      </c>
      <c r="Q1094" s="594">
        <v>45504</v>
      </c>
      <c r="R1094" s="593">
        <f t="shared" ca="1" si="70"/>
        <v>-63</v>
      </c>
      <c r="S1094" s="589" t="str">
        <f>VLOOKUP(Q1094,Mapping!L:M,2,0)</f>
        <v>W31_2024</v>
      </c>
      <c r="T1094" s="589" t="str">
        <f t="shared" ca="1" si="71"/>
        <v>Not Due</v>
      </c>
      <c r="W1094" s="591"/>
    </row>
    <row r="1095" spans="1:23" s="589" customFormat="1" x14ac:dyDescent="0.2">
      <c r="A1095" s="589" t="s">
        <v>56</v>
      </c>
      <c r="B1095" s="589" t="s">
        <v>741</v>
      </c>
      <c r="C1095" s="590" t="s">
        <v>2381</v>
      </c>
      <c r="D1095" s="589" t="s">
        <v>100</v>
      </c>
      <c r="E1095" s="589" t="s">
        <v>104</v>
      </c>
      <c r="F1095" s="589" t="s">
        <v>112</v>
      </c>
      <c r="G1095" s="589" t="s">
        <v>51</v>
      </c>
      <c r="H1095" s="589" t="s">
        <v>242</v>
      </c>
      <c r="I1095" s="589" t="s">
        <v>2712</v>
      </c>
      <c r="J1095" s="589" t="s">
        <v>35</v>
      </c>
      <c r="K1095" s="591">
        <v>5443.076</v>
      </c>
      <c r="L1095" s="592">
        <f>IF(J1095="TND",1,IF(J1095="EUR",Vertical_Cash_flow!$C$16,IF(J1095="USD",Vertical_Cash_flow!$F$16,0)))</f>
        <v>1</v>
      </c>
      <c r="M1095" s="593">
        <f t="shared" si="68"/>
        <v>5443.076</v>
      </c>
      <c r="N1095" s="589" t="s">
        <v>251</v>
      </c>
      <c r="O1095" s="594">
        <v>45399</v>
      </c>
      <c r="P1095" s="593">
        <f t="shared" si="69"/>
        <v>-105</v>
      </c>
      <c r="Q1095" s="594">
        <v>45504</v>
      </c>
      <c r="R1095" s="593">
        <f t="shared" ca="1" si="70"/>
        <v>-63</v>
      </c>
      <c r="S1095" s="589" t="str">
        <f>VLOOKUP(Q1095,Mapping!L:M,2,0)</f>
        <v>W31_2024</v>
      </c>
      <c r="T1095" s="589" t="str">
        <f t="shared" ca="1" si="71"/>
        <v>Not Due</v>
      </c>
      <c r="W1095" s="591"/>
    </row>
    <row r="1096" spans="1:23" s="589" customFormat="1" x14ac:dyDescent="0.2">
      <c r="A1096" s="589" t="s">
        <v>56</v>
      </c>
      <c r="B1096" s="589" t="s">
        <v>372</v>
      </c>
      <c r="C1096" s="590" t="s">
        <v>2380</v>
      </c>
      <c r="D1096" s="589" t="s">
        <v>100</v>
      </c>
      <c r="E1096" s="589" t="s">
        <v>104</v>
      </c>
      <c r="F1096" s="589" t="s">
        <v>112</v>
      </c>
      <c r="G1096" s="589" t="s">
        <v>51</v>
      </c>
      <c r="H1096" s="589" t="s">
        <v>242</v>
      </c>
      <c r="I1096" s="589" t="s">
        <v>2711</v>
      </c>
      <c r="J1096" s="589" t="s">
        <v>35</v>
      </c>
      <c r="K1096" s="591">
        <v>2325.3110000000001</v>
      </c>
      <c r="L1096" s="592">
        <f>IF(J1096="TND",1,IF(J1096="EUR",Vertical_Cash_flow!$C$16,IF(J1096="USD",Vertical_Cash_flow!$F$16,0)))</f>
        <v>1</v>
      </c>
      <c r="M1096" s="593">
        <f t="shared" si="68"/>
        <v>2325.3110000000001</v>
      </c>
      <c r="N1096" s="589" t="s">
        <v>251</v>
      </c>
      <c r="O1096" s="594">
        <v>45408</v>
      </c>
      <c r="P1096" s="593">
        <f t="shared" si="69"/>
        <v>-96</v>
      </c>
      <c r="Q1096" s="594">
        <v>45504</v>
      </c>
      <c r="R1096" s="593">
        <f t="shared" ca="1" si="70"/>
        <v>-63</v>
      </c>
      <c r="S1096" s="589" t="str">
        <f>VLOOKUP(Q1096,Mapping!L:M,2,0)</f>
        <v>W31_2024</v>
      </c>
      <c r="T1096" s="589" t="str">
        <f t="shared" ca="1" si="71"/>
        <v>Not Due</v>
      </c>
      <c r="W1096" s="591"/>
    </row>
    <row r="1097" spans="1:23" s="589" customFormat="1" x14ac:dyDescent="0.2">
      <c r="A1097" s="589" t="s">
        <v>56</v>
      </c>
      <c r="B1097" s="589" t="s">
        <v>1243</v>
      </c>
      <c r="C1097" s="590" t="s">
        <v>2382</v>
      </c>
      <c r="D1097" s="589" t="s">
        <v>100</v>
      </c>
      <c r="E1097" s="589" t="s">
        <v>104</v>
      </c>
      <c r="F1097" s="589" t="s">
        <v>112</v>
      </c>
      <c r="G1097" s="589" t="s">
        <v>51</v>
      </c>
      <c r="H1097" s="589" t="s">
        <v>242</v>
      </c>
      <c r="I1097" s="589" t="s">
        <v>2713</v>
      </c>
      <c r="J1097" s="589" t="s">
        <v>35</v>
      </c>
      <c r="K1097" s="591">
        <v>3718.6019999999999</v>
      </c>
      <c r="L1097" s="592">
        <f>IF(J1097="TND",1,IF(J1097="EUR",Vertical_Cash_flow!$C$16,IF(J1097="USD",Vertical_Cash_flow!$F$16,0)))</f>
        <v>1</v>
      </c>
      <c r="M1097" s="593">
        <f t="shared" si="68"/>
        <v>3718.6019999999999</v>
      </c>
      <c r="N1097" s="589" t="s">
        <v>251</v>
      </c>
      <c r="O1097" s="594">
        <v>45397</v>
      </c>
      <c r="P1097" s="593">
        <f t="shared" si="69"/>
        <v>-107</v>
      </c>
      <c r="Q1097" s="594">
        <v>45504</v>
      </c>
      <c r="R1097" s="593">
        <f t="shared" ca="1" si="70"/>
        <v>-63</v>
      </c>
      <c r="S1097" s="589" t="str">
        <f>VLOOKUP(Q1097,Mapping!L:M,2,0)</f>
        <v>W31_2024</v>
      </c>
      <c r="T1097" s="589" t="str">
        <f t="shared" ca="1" si="71"/>
        <v>Not Due</v>
      </c>
      <c r="W1097" s="591"/>
    </row>
    <row r="1098" spans="1:23" s="589" customFormat="1" x14ac:dyDescent="0.2">
      <c r="A1098" s="589" t="s">
        <v>56</v>
      </c>
      <c r="B1098" s="589" t="s">
        <v>585</v>
      </c>
      <c r="C1098" s="590" t="s">
        <v>3496</v>
      </c>
      <c r="D1098" s="589" t="s">
        <v>100</v>
      </c>
      <c r="E1098" s="589" t="s">
        <v>104</v>
      </c>
      <c r="F1098" s="589" t="s">
        <v>112</v>
      </c>
      <c r="G1098" s="589" t="s">
        <v>51</v>
      </c>
      <c r="H1098" s="589" t="s">
        <v>242</v>
      </c>
      <c r="I1098" s="589" t="s">
        <v>3655</v>
      </c>
      <c r="J1098" s="589" t="s">
        <v>35</v>
      </c>
      <c r="K1098" s="591">
        <v>209.577</v>
      </c>
      <c r="L1098" s="592">
        <f>IF(J1098="TND",1,IF(J1098="EUR",Vertical_Cash_flow!$C$16,IF(J1098="USD",Vertical_Cash_flow!$F$16,0)))</f>
        <v>1</v>
      </c>
      <c r="M1098" s="593">
        <f t="shared" si="68"/>
        <v>209.577</v>
      </c>
      <c r="N1098" s="589" t="s">
        <v>251</v>
      </c>
      <c r="O1098" s="594">
        <v>45429</v>
      </c>
      <c r="P1098" s="593">
        <f t="shared" si="69"/>
        <v>-75</v>
      </c>
      <c r="Q1098" s="594">
        <v>45504</v>
      </c>
      <c r="R1098" s="593">
        <f t="shared" ca="1" si="70"/>
        <v>-63</v>
      </c>
      <c r="S1098" s="589" t="str">
        <f>VLOOKUP(Q1098,Mapping!L:M,2,0)</f>
        <v>W31_2024</v>
      </c>
      <c r="T1098" s="589" t="str">
        <f t="shared" ca="1" si="71"/>
        <v>Not Due</v>
      </c>
      <c r="W1098" s="591"/>
    </row>
    <row r="1099" spans="1:23" s="589" customFormat="1" x14ac:dyDescent="0.2">
      <c r="A1099" s="589" t="s">
        <v>56</v>
      </c>
      <c r="B1099" s="589" t="s">
        <v>371</v>
      </c>
      <c r="C1099" s="590" t="s">
        <v>2383</v>
      </c>
      <c r="D1099" s="589" t="s">
        <v>100</v>
      </c>
      <c r="E1099" s="589" t="s">
        <v>104</v>
      </c>
      <c r="F1099" s="589" t="s">
        <v>112</v>
      </c>
      <c r="G1099" s="589" t="s">
        <v>51</v>
      </c>
      <c r="H1099" s="589" t="s">
        <v>242</v>
      </c>
      <c r="I1099" s="589" t="s">
        <v>2714</v>
      </c>
      <c r="J1099" s="589" t="s">
        <v>35</v>
      </c>
      <c r="K1099" s="591">
        <v>442.97199999999998</v>
      </c>
      <c r="L1099" s="592">
        <f>IF(J1099="TND",1,IF(J1099="EUR",Vertical_Cash_flow!$C$16,IF(J1099="USD",Vertical_Cash_flow!$F$16,0)))</f>
        <v>1</v>
      </c>
      <c r="M1099" s="593">
        <f t="shared" si="68"/>
        <v>442.97199999999998</v>
      </c>
      <c r="N1099" s="589" t="s">
        <v>251</v>
      </c>
      <c r="O1099" s="594">
        <v>45395</v>
      </c>
      <c r="P1099" s="593">
        <f t="shared" si="69"/>
        <v>-109</v>
      </c>
      <c r="Q1099" s="594">
        <v>45504</v>
      </c>
      <c r="R1099" s="593">
        <f t="shared" ca="1" si="70"/>
        <v>-63</v>
      </c>
      <c r="S1099" s="589" t="str">
        <f>VLOOKUP(Q1099,Mapping!L:M,2,0)</f>
        <v>W31_2024</v>
      </c>
      <c r="T1099" s="589" t="str">
        <f t="shared" ca="1" si="71"/>
        <v>Not Due</v>
      </c>
      <c r="W1099" s="591"/>
    </row>
    <row r="1100" spans="1:23" s="589" customFormat="1" x14ac:dyDescent="0.2">
      <c r="A1100" s="589" t="s">
        <v>56</v>
      </c>
      <c r="B1100" s="589" t="s">
        <v>504</v>
      </c>
      <c r="C1100" s="590" t="s">
        <v>3495</v>
      </c>
      <c r="D1100" s="589" t="s">
        <v>100</v>
      </c>
      <c r="E1100" s="589" t="s">
        <v>104</v>
      </c>
      <c r="F1100" s="589" t="s">
        <v>112</v>
      </c>
      <c r="G1100" s="589" t="s">
        <v>51</v>
      </c>
      <c r="H1100" s="589" t="s">
        <v>242</v>
      </c>
      <c r="I1100" s="589" t="s">
        <v>3654</v>
      </c>
      <c r="J1100" s="589" t="s">
        <v>35</v>
      </c>
      <c r="K1100" s="591">
        <v>2209</v>
      </c>
      <c r="L1100" s="592">
        <f>IF(J1100="TND",1,IF(J1100="EUR",Vertical_Cash_flow!$C$16,IF(J1100="USD",Vertical_Cash_flow!$F$16,0)))</f>
        <v>1</v>
      </c>
      <c r="M1100" s="593">
        <f t="shared" si="68"/>
        <v>2209</v>
      </c>
      <c r="N1100" s="589" t="s">
        <v>251</v>
      </c>
      <c r="O1100" s="594">
        <v>45426</v>
      </c>
      <c r="P1100" s="593">
        <f t="shared" si="69"/>
        <v>-78</v>
      </c>
      <c r="Q1100" s="594">
        <v>45504</v>
      </c>
      <c r="R1100" s="593">
        <f t="shared" ca="1" si="70"/>
        <v>-63</v>
      </c>
      <c r="S1100" s="589" t="str">
        <f>VLOOKUP(Q1100,Mapping!L:M,2,0)</f>
        <v>W31_2024</v>
      </c>
      <c r="T1100" s="589" t="str">
        <f t="shared" ca="1" si="71"/>
        <v>Not Due</v>
      </c>
      <c r="W1100" s="591"/>
    </row>
    <row r="1101" spans="1:23" s="589" customFormat="1" x14ac:dyDescent="0.2">
      <c r="A1101" s="589" t="s">
        <v>56</v>
      </c>
      <c r="B1101" s="589" t="s">
        <v>331</v>
      </c>
      <c r="C1101" s="590" t="s">
        <v>3105</v>
      </c>
      <c r="D1101" s="589" t="s">
        <v>100</v>
      </c>
      <c r="E1101" s="589" t="s">
        <v>104</v>
      </c>
      <c r="F1101" s="589" t="s">
        <v>112</v>
      </c>
      <c r="G1101" s="589" t="s">
        <v>51</v>
      </c>
      <c r="H1101" s="589" t="s">
        <v>242</v>
      </c>
      <c r="I1101" s="589" t="s">
        <v>3297</v>
      </c>
      <c r="J1101" s="589" t="s">
        <v>35</v>
      </c>
      <c r="K1101" s="591">
        <v>2683</v>
      </c>
      <c r="L1101" s="592">
        <f>IF(J1101="TND",1,IF(J1101="EUR",Vertical_Cash_flow!$C$16,IF(J1101="USD",Vertical_Cash_flow!$F$16,0)))</f>
        <v>1</v>
      </c>
      <c r="M1101" s="593">
        <f t="shared" si="68"/>
        <v>2683</v>
      </c>
      <c r="N1101" s="589" t="s">
        <v>251</v>
      </c>
      <c r="O1101" s="594">
        <v>45412</v>
      </c>
      <c r="P1101" s="593">
        <f t="shared" si="69"/>
        <v>-92</v>
      </c>
      <c r="Q1101" s="594">
        <v>45504</v>
      </c>
      <c r="R1101" s="593">
        <f t="shared" ca="1" si="70"/>
        <v>-63</v>
      </c>
      <c r="S1101" s="589" t="str">
        <f>VLOOKUP(Q1101,Mapping!L:M,2,0)</f>
        <v>W31_2024</v>
      </c>
      <c r="T1101" s="589" t="str">
        <f t="shared" ca="1" si="71"/>
        <v>Not Due</v>
      </c>
      <c r="W1101" s="591"/>
    </row>
    <row r="1102" spans="1:23" s="589" customFormat="1" x14ac:dyDescent="0.2">
      <c r="A1102" s="589" t="s">
        <v>56</v>
      </c>
      <c r="B1102" s="589" t="s">
        <v>328</v>
      </c>
      <c r="C1102" s="590" t="s">
        <v>2379</v>
      </c>
      <c r="D1102" s="589" t="s">
        <v>100</v>
      </c>
      <c r="E1102" s="589" t="s">
        <v>104</v>
      </c>
      <c r="F1102" s="589" t="s">
        <v>112</v>
      </c>
      <c r="G1102" s="589" t="s">
        <v>51</v>
      </c>
      <c r="H1102" s="589" t="s">
        <v>242</v>
      </c>
      <c r="I1102" s="589" t="s">
        <v>2710</v>
      </c>
      <c r="J1102" s="589" t="s">
        <v>35</v>
      </c>
      <c r="K1102" s="591">
        <v>1358.0160000000001</v>
      </c>
      <c r="L1102" s="592">
        <f>IF(J1102="TND",1,IF(J1102="EUR",Vertical_Cash_flow!$C$16,IF(J1102="USD",Vertical_Cash_flow!$F$16,0)))</f>
        <v>1</v>
      </c>
      <c r="M1102" s="593">
        <f t="shared" si="68"/>
        <v>1358.0160000000001</v>
      </c>
      <c r="N1102" s="589" t="s">
        <v>251</v>
      </c>
      <c r="O1102" s="594">
        <v>45386</v>
      </c>
      <c r="P1102" s="593">
        <f t="shared" si="69"/>
        <v>-118</v>
      </c>
      <c r="Q1102" s="594">
        <v>45504</v>
      </c>
      <c r="R1102" s="593">
        <f t="shared" ca="1" si="70"/>
        <v>-63</v>
      </c>
      <c r="S1102" s="589" t="str">
        <f>VLOOKUP(Q1102,Mapping!L:M,2,0)</f>
        <v>W31_2024</v>
      </c>
      <c r="T1102" s="589" t="str">
        <f t="shared" ca="1" si="71"/>
        <v>Not Due</v>
      </c>
      <c r="W1102" s="591"/>
    </row>
    <row r="1103" spans="1:23" s="589" customFormat="1" x14ac:dyDescent="0.2">
      <c r="A1103" s="589" t="s">
        <v>56</v>
      </c>
      <c r="B1103" s="589" t="s">
        <v>375</v>
      </c>
      <c r="C1103" s="590" t="s">
        <v>2378</v>
      </c>
      <c r="D1103" s="589" t="s">
        <v>100</v>
      </c>
      <c r="E1103" s="589" t="s">
        <v>104</v>
      </c>
      <c r="F1103" s="589" t="s">
        <v>112</v>
      </c>
      <c r="G1103" s="589" t="s">
        <v>51</v>
      </c>
      <c r="H1103" s="589" t="s">
        <v>242</v>
      </c>
      <c r="I1103" s="589" t="s">
        <v>2709</v>
      </c>
      <c r="J1103" s="589" t="s">
        <v>35</v>
      </c>
      <c r="K1103" s="591">
        <v>2500</v>
      </c>
      <c r="L1103" s="592">
        <f>IF(J1103="TND",1,IF(J1103="EUR",Vertical_Cash_flow!$C$16,IF(J1103="USD",Vertical_Cash_flow!$F$16,0)))</f>
        <v>1</v>
      </c>
      <c r="M1103" s="593">
        <f t="shared" si="68"/>
        <v>2500</v>
      </c>
      <c r="N1103" s="589" t="s">
        <v>251</v>
      </c>
      <c r="O1103" s="594">
        <v>45399</v>
      </c>
      <c r="P1103" s="593">
        <f t="shared" si="69"/>
        <v>-105</v>
      </c>
      <c r="Q1103" s="594">
        <v>45504</v>
      </c>
      <c r="R1103" s="593">
        <f t="shared" ca="1" si="70"/>
        <v>-63</v>
      </c>
      <c r="S1103" s="589" t="str">
        <f>VLOOKUP(Q1103,Mapping!L:M,2,0)</f>
        <v>W31_2024</v>
      </c>
      <c r="T1103" s="589" t="str">
        <f t="shared" ca="1" si="71"/>
        <v>Not Due</v>
      </c>
      <c r="W1103" s="591"/>
    </row>
    <row r="1104" spans="1:23" s="589" customFormat="1" x14ac:dyDescent="0.2">
      <c r="A1104" s="589" t="s">
        <v>56</v>
      </c>
      <c r="B1104" s="589" t="s">
        <v>3405</v>
      </c>
      <c r="C1104" s="590" t="s">
        <v>3494</v>
      </c>
      <c r="D1104" s="589" t="s">
        <v>100</v>
      </c>
      <c r="E1104" s="589" t="s">
        <v>104</v>
      </c>
      <c r="F1104" s="589" t="s">
        <v>112</v>
      </c>
      <c r="G1104" s="589" t="s">
        <v>51</v>
      </c>
      <c r="H1104" s="589" t="s">
        <v>242</v>
      </c>
      <c r="I1104" s="589" t="s">
        <v>3653</v>
      </c>
      <c r="J1104" s="589" t="s">
        <v>35</v>
      </c>
      <c r="K1104" s="591">
        <v>7294.232</v>
      </c>
      <c r="L1104" s="592">
        <f>IF(J1104="TND",1,IF(J1104="EUR",Vertical_Cash_flow!$C$16,IF(J1104="USD",Vertical_Cash_flow!$F$16,0)))</f>
        <v>1</v>
      </c>
      <c r="M1104" s="593">
        <f t="shared" si="68"/>
        <v>7294.232</v>
      </c>
      <c r="N1104" s="589" t="s">
        <v>251</v>
      </c>
      <c r="O1104" s="594">
        <v>45427</v>
      </c>
      <c r="P1104" s="593">
        <f t="shared" si="69"/>
        <v>-77</v>
      </c>
      <c r="Q1104" s="594">
        <v>45504</v>
      </c>
      <c r="R1104" s="593">
        <f t="shared" ca="1" si="70"/>
        <v>-63</v>
      </c>
      <c r="S1104" s="589" t="str">
        <f>VLOOKUP(Q1104,Mapping!L:M,2,0)</f>
        <v>W31_2024</v>
      </c>
      <c r="T1104" s="589" t="str">
        <f t="shared" ca="1" si="71"/>
        <v>Not Due</v>
      </c>
      <c r="W1104" s="591"/>
    </row>
    <row r="1105" spans="1:23" s="589" customFormat="1" x14ac:dyDescent="0.2">
      <c r="A1105" s="589" t="s">
        <v>56</v>
      </c>
      <c r="B1105" s="589" t="s">
        <v>336</v>
      </c>
      <c r="C1105" s="590" t="s">
        <v>2376</v>
      </c>
      <c r="D1105" s="589" t="s">
        <v>100</v>
      </c>
      <c r="E1105" s="589" t="s">
        <v>104</v>
      </c>
      <c r="F1105" s="589" t="s">
        <v>112</v>
      </c>
      <c r="G1105" s="589" t="s">
        <v>51</v>
      </c>
      <c r="H1105" s="589" t="s">
        <v>242</v>
      </c>
      <c r="I1105" s="589" t="s">
        <v>2707</v>
      </c>
      <c r="J1105" s="589" t="s">
        <v>35</v>
      </c>
      <c r="K1105" s="591">
        <v>5095.0940000000001</v>
      </c>
      <c r="L1105" s="592">
        <f>IF(J1105="TND",1,IF(J1105="EUR",Vertical_Cash_flow!$C$16,IF(J1105="USD",Vertical_Cash_flow!$F$16,0)))</f>
        <v>1</v>
      </c>
      <c r="M1105" s="593">
        <f t="shared" si="68"/>
        <v>5095.0940000000001</v>
      </c>
      <c r="N1105" s="589" t="s">
        <v>251</v>
      </c>
      <c r="O1105" s="594">
        <v>45402</v>
      </c>
      <c r="P1105" s="593">
        <f t="shared" si="69"/>
        <v>-102</v>
      </c>
      <c r="Q1105" s="594">
        <v>45504</v>
      </c>
      <c r="R1105" s="593">
        <f t="shared" ca="1" si="70"/>
        <v>-63</v>
      </c>
      <c r="S1105" s="589" t="str">
        <f>VLOOKUP(Q1105,Mapping!L:M,2,0)</f>
        <v>W31_2024</v>
      </c>
      <c r="T1105" s="589" t="str">
        <f t="shared" ca="1" si="71"/>
        <v>Not Due</v>
      </c>
      <c r="W1105" s="591"/>
    </row>
    <row r="1106" spans="1:23" s="589" customFormat="1" x14ac:dyDescent="0.2">
      <c r="A1106" s="589" t="s">
        <v>56</v>
      </c>
      <c r="B1106" s="589" t="s">
        <v>2334</v>
      </c>
      <c r="C1106" s="590" t="s">
        <v>2377</v>
      </c>
      <c r="D1106" s="589" t="s">
        <v>100</v>
      </c>
      <c r="E1106" s="589" t="s">
        <v>104</v>
      </c>
      <c r="F1106" s="589" t="s">
        <v>112</v>
      </c>
      <c r="G1106" s="589" t="s">
        <v>51</v>
      </c>
      <c r="H1106" s="589" t="s">
        <v>242</v>
      </c>
      <c r="I1106" s="589" t="s">
        <v>2708</v>
      </c>
      <c r="J1106" s="589" t="s">
        <v>35</v>
      </c>
      <c r="K1106" s="591">
        <v>2683.6469999999999</v>
      </c>
      <c r="L1106" s="592">
        <f>IF(J1106="TND",1,IF(J1106="EUR",Vertical_Cash_flow!$C$16,IF(J1106="USD",Vertical_Cash_flow!$F$16,0)))</f>
        <v>1</v>
      </c>
      <c r="M1106" s="593">
        <f t="shared" si="68"/>
        <v>2683.6469999999999</v>
      </c>
      <c r="N1106" s="589" t="s">
        <v>251</v>
      </c>
      <c r="O1106" s="594">
        <v>45399</v>
      </c>
      <c r="P1106" s="593">
        <f t="shared" si="69"/>
        <v>-105</v>
      </c>
      <c r="Q1106" s="594">
        <v>45504</v>
      </c>
      <c r="R1106" s="593">
        <f t="shared" ca="1" si="70"/>
        <v>-63</v>
      </c>
      <c r="S1106" s="589" t="str">
        <f>VLOOKUP(Q1106,Mapping!L:M,2,0)</f>
        <v>W31_2024</v>
      </c>
      <c r="T1106" s="589" t="str">
        <f t="shared" ca="1" si="71"/>
        <v>Not Due</v>
      </c>
      <c r="W1106" s="591"/>
    </row>
    <row r="1107" spans="1:23" s="589" customFormat="1" x14ac:dyDescent="0.2">
      <c r="A1107" s="589" t="s">
        <v>56</v>
      </c>
      <c r="B1107" s="589" t="s">
        <v>2335</v>
      </c>
      <c r="C1107" s="590" t="s">
        <v>2375</v>
      </c>
      <c r="D1107" s="589" t="s">
        <v>100</v>
      </c>
      <c r="E1107" s="589" t="s">
        <v>104</v>
      </c>
      <c r="F1107" s="589" t="s">
        <v>112</v>
      </c>
      <c r="G1107" s="589" t="s">
        <v>51</v>
      </c>
      <c r="H1107" s="589" t="s">
        <v>242</v>
      </c>
      <c r="I1107" s="589" t="s">
        <v>2706</v>
      </c>
      <c r="J1107" s="589" t="s">
        <v>35</v>
      </c>
      <c r="K1107" s="591">
        <v>2473</v>
      </c>
      <c r="L1107" s="592">
        <f>IF(J1107="TND",1,IF(J1107="EUR",Vertical_Cash_flow!$C$16,IF(J1107="USD",Vertical_Cash_flow!$F$16,0)))</f>
        <v>1</v>
      </c>
      <c r="M1107" s="593">
        <f t="shared" si="68"/>
        <v>2473</v>
      </c>
      <c r="N1107" s="589" t="s">
        <v>251</v>
      </c>
      <c r="O1107" s="594">
        <v>45407</v>
      </c>
      <c r="P1107" s="593">
        <f t="shared" si="69"/>
        <v>-98</v>
      </c>
      <c r="Q1107" s="594">
        <v>45505</v>
      </c>
      <c r="R1107" s="593">
        <f t="shared" ca="1" si="70"/>
        <v>-64</v>
      </c>
      <c r="S1107" s="589" t="str">
        <f>VLOOKUP(Q1107,Mapping!L:M,2,0)</f>
        <v>W31_2024</v>
      </c>
      <c r="T1107" s="589" t="str">
        <f t="shared" ca="1" si="71"/>
        <v>Not Due</v>
      </c>
      <c r="W1107" s="591"/>
    </row>
    <row r="1108" spans="1:23" s="589" customFormat="1" x14ac:dyDescent="0.2">
      <c r="A1108" s="589" t="s">
        <v>56</v>
      </c>
      <c r="B1108" s="589" t="s">
        <v>348</v>
      </c>
      <c r="C1108" s="590" t="s">
        <v>3493</v>
      </c>
      <c r="D1108" s="589" t="s">
        <v>100</v>
      </c>
      <c r="E1108" s="589" t="s">
        <v>104</v>
      </c>
      <c r="F1108" s="589" t="s">
        <v>112</v>
      </c>
      <c r="G1108" s="589" t="s">
        <v>51</v>
      </c>
      <c r="H1108" s="589" t="s">
        <v>242</v>
      </c>
      <c r="I1108" s="589" t="s">
        <v>3652</v>
      </c>
      <c r="J1108" s="589" t="s">
        <v>35</v>
      </c>
      <c r="K1108" s="591">
        <v>2500</v>
      </c>
      <c r="L1108" s="592">
        <f>IF(J1108="TND",1,IF(J1108="EUR",Vertical_Cash_flow!$C$16,IF(J1108="USD",Vertical_Cash_flow!$F$16,0)))</f>
        <v>1</v>
      </c>
      <c r="M1108" s="593">
        <f t="shared" si="68"/>
        <v>2500</v>
      </c>
      <c r="N1108" s="589" t="s">
        <v>251</v>
      </c>
      <c r="O1108" s="594">
        <v>45429</v>
      </c>
      <c r="P1108" s="593">
        <f t="shared" si="69"/>
        <v>-76</v>
      </c>
      <c r="Q1108" s="594">
        <v>45505</v>
      </c>
      <c r="R1108" s="593">
        <f t="shared" ca="1" si="70"/>
        <v>-64</v>
      </c>
      <c r="S1108" s="589" t="str">
        <f>VLOOKUP(Q1108,Mapping!L:M,2,0)</f>
        <v>W31_2024</v>
      </c>
      <c r="T1108" s="589" t="str">
        <f t="shared" ca="1" si="71"/>
        <v>Not Due</v>
      </c>
      <c r="W1108" s="591"/>
    </row>
    <row r="1109" spans="1:23" s="589" customFormat="1" x14ac:dyDescent="0.2">
      <c r="A1109" s="589" t="s">
        <v>56</v>
      </c>
      <c r="B1109" s="589" t="s">
        <v>498</v>
      </c>
      <c r="C1109" s="590" t="s">
        <v>1523</v>
      </c>
      <c r="D1109" s="589" t="s">
        <v>100</v>
      </c>
      <c r="E1109" s="589" t="s">
        <v>104</v>
      </c>
      <c r="F1109" s="589" t="s">
        <v>112</v>
      </c>
      <c r="G1109" s="589" t="s">
        <v>51</v>
      </c>
      <c r="H1109" s="589" t="s">
        <v>242</v>
      </c>
      <c r="I1109" s="589" t="s">
        <v>1934</v>
      </c>
      <c r="J1109" s="589" t="s">
        <v>35</v>
      </c>
      <c r="K1109" s="591">
        <v>7000</v>
      </c>
      <c r="L1109" s="592">
        <f>IF(J1109="TND",1,IF(J1109="EUR",Vertical_Cash_flow!$C$16,IF(J1109="USD",Vertical_Cash_flow!$F$16,0)))</f>
        <v>1</v>
      </c>
      <c r="M1109" s="593">
        <f t="shared" ref="M1109:M1172" si="72">K1109/L1109</f>
        <v>7000</v>
      </c>
      <c r="N1109" s="589" t="s">
        <v>251</v>
      </c>
      <c r="O1109" s="594">
        <v>45377</v>
      </c>
      <c r="P1109" s="593">
        <f t="shared" ref="P1109:P1172" si="73">O1109-Q1109</f>
        <v>-128</v>
      </c>
      <c r="Q1109" s="594">
        <v>45505</v>
      </c>
      <c r="R1109" s="593">
        <f t="shared" ref="R1109:R1172" ca="1" si="74">$W$1-Q1109</f>
        <v>-64</v>
      </c>
      <c r="S1109" s="589" t="str">
        <f>VLOOKUP(Q1109,Mapping!L:M,2,0)</f>
        <v>W31_2024</v>
      </c>
      <c r="T1109" s="589" t="str">
        <f t="shared" ref="T1109:T1172" ca="1" si="75">IF(R1109="","",IF(R1109&lt;0,"Not Due",IF(AND(R1109&gt;=0,R1109&lt;=30),"up to 30 days",IF(AND(R1109&gt;30,R1109&lt;=60),"30-60 days",IF(AND(R1109&gt;60,R1109&lt;=90),"60-90 days",IF(AND(R1109&gt;90,R1109&lt;=120),"90-120 days",IF(AND(R1109&gt;120,R1109&lt;=180),"120-180 days",IF(AND(R1109&gt;180,R1109&lt;=360),"180-360 days",IF(R1109&gt;360,"more than 360 days","ok")))))))))</f>
        <v>Not Due</v>
      </c>
      <c r="W1109" s="591"/>
    </row>
    <row r="1110" spans="1:23" s="589" customFormat="1" x14ac:dyDescent="0.2">
      <c r="A1110" s="589" t="s">
        <v>56</v>
      </c>
      <c r="B1110" s="589" t="s">
        <v>500</v>
      </c>
      <c r="C1110" s="590" t="s">
        <v>2374</v>
      </c>
      <c r="D1110" s="589" t="s">
        <v>100</v>
      </c>
      <c r="E1110" s="589" t="s">
        <v>104</v>
      </c>
      <c r="F1110" s="589" t="s">
        <v>112</v>
      </c>
      <c r="G1110" s="589" t="s">
        <v>51</v>
      </c>
      <c r="H1110" s="589" t="s">
        <v>242</v>
      </c>
      <c r="I1110" s="589" t="s">
        <v>2697</v>
      </c>
      <c r="J1110" s="589" t="s">
        <v>35</v>
      </c>
      <c r="K1110" s="591">
        <v>1500</v>
      </c>
      <c r="L1110" s="592">
        <f>IF(J1110="TND",1,IF(J1110="EUR",Vertical_Cash_flow!$C$16,IF(J1110="USD",Vertical_Cash_flow!$F$16,0)))</f>
        <v>1</v>
      </c>
      <c r="M1110" s="593">
        <f t="shared" si="72"/>
        <v>1500</v>
      </c>
      <c r="N1110" s="589" t="s">
        <v>251</v>
      </c>
      <c r="O1110" s="594">
        <v>45395</v>
      </c>
      <c r="P1110" s="593">
        <f t="shared" si="73"/>
        <v>-110</v>
      </c>
      <c r="Q1110" s="594">
        <v>45505</v>
      </c>
      <c r="R1110" s="593">
        <f t="shared" ca="1" si="74"/>
        <v>-64</v>
      </c>
      <c r="S1110" s="589" t="str">
        <f>VLOOKUP(Q1110,Mapping!L:M,2,0)</f>
        <v>W31_2024</v>
      </c>
      <c r="T1110" s="589" t="str">
        <f t="shared" ca="1" si="75"/>
        <v>Not Due</v>
      </c>
      <c r="W1110" s="591"/>
    </row>
    <row r="1111" spans="1:23" s="589" customFormat="1" x14ac:dyDescent="0.2">
      <c r="A1111" s="589" t="s">
        <v>56</v>
      </c>
      <c r="B1111" s="589" t="s">
        <v>285</v>
      </c>
      <c r="C1111" s="590" t="s">
        <v>2373</v>
      </c>
      <c r="D1111" s="589" t="s">
        <v>100</v>
      </c>
      <c r="E1111" s="589" t="s">
        <v>104</v>
      </c>
      <c r="F1111" s="589" t="s">
        <v>112</v>
      </c>
      <c r="G1111" s="589" t="s">
        <v>51</v>
      </c>
      <c r="H1111" s="589" t="s">
        <v>242</v>
      </c>
      <c r="I1111" s="589" t="s">
        <v>2705</v>
      </c>
      <c r="J1111" s="589" t="s">
        <v>35</v>
      </c>
      <c r="K1111" s="591">
        <v>1123.277</v>
      </c>
      <c r="L1111" s="592">
        <f>IF(J1111="TND",1,IF(J1111="EUR",Vertical_Cash_flow!$C$16,IF(J1111="USD",Vertical_Cash_flow!$F$16,0)))</f>
        <v>1</v>
      </c>
      <c r="M1111" s="593">
        <f t="shared" si="72"/>
        <v>1123.277</v>
      </c>
      <c r="N1111" s="589" t="s">
        <v>251</v>
      </c>
      <c r="O1111" s="594">
        <v>45387</v>
      </c>
      <c r="P1111" s="593">
        <f t="shared" si="73"/>
        <v>-119</v>
      </c>
      <c r="Q1111" s="594">
        <v>45506</v>
      </c>
      <c r="R1111" s="593">
        <f t="shared" ca="1" si="74"/>
        <v>-65</v>
      </c>
      <c r="S1111" s="589" t="str">
        <f>VLOOKUP(Q1111,Mapping!L:M,2,0)</f>
        <v>W31_2024</v>
      </c>
      <c r="T1111" s="589" t="str">
        <f t="shared" ca="1" si="75"/>
        <v>Not Due</v>
      </c>
      <c r="W1111" s="591"/>
    </row>
    <row r="1112" spans="1:23" s="589" customFormat="1" x14ac:dyDescent="0.2">
      <c r="A1112" s="589" t="s">
        <v>56</v>
      </c>
      <c r="B1112" s="589" t="s">
        <v>491</v>
      </c>
      <c r="C1112" s="590" t="s">
        <v>3104</v>
      </c>
      <c r="D1112" s="589" t="s">
        <v>100</v>
      </c>
      <c r="E1112" s="589" t="s">
        <v>104</v>
      </c>
      <c r="F1112" s="589" t="s">
        <v>112</v>
      </c>
      <c r="G1112" s="589" t="s">
        <v>51</v>
      </c>
      <c r="H1112" s="589" t="s">
        <v>242</v>
      </c>
      <c r="I1112" s="589" t="s">
        <v>3296</v>
      </c>
      <c r="J1112" s="589" t="s">
        <v>35</v>
      </c>
      <c r="K1112" s="591">
        <v>1577.7850000000001</v>
      </c>
      <c r="L1112" s="592">
        <f>IF(J1112="TND",1,IF(J1112="EUR",Vertical_Cash_flow!$C$16,IF(J1112="USD",Vertical_Cash_flow!$F$16,0)))</f>
        <v>1</v>
      </c>
      <c r="M1112" s="593">
        <f t="shared" si="72"/>
        <v>1577.7850000000001</v>
      </c>
      <c r="N1112" s="589" t="s">
        <v>251</v>
      </c>
      <c r="O1112" s="594">
        <v>45420</v>
      </c>
      <c r="P1112" s="593">
        <f t="shared" si="73"/>
        <v>-86</v>
      </c>
      <c r="Q1112" s="594">
        <v>45506</v>
      </c>
      <c r="R1112" s="593">
        <f t="shared" ca="1" si="74"/>
        <v>-65</v>
      </c>
      <c r="S1112" s="589" t="str">
        <f>VLOOKUP(Q1112,Mapping!L:M,2,0)</f>
        <v>W31_2024</v>
      </c>
      <c r="T1112" s="589" t="str">
        <f t="shared" ca="1" si="75"/>
        <v>Not Due</v>
      </c>
      <c r="W1112" s="591"/>
    </row>
    <row r="1113" spans="1:23" s="589" customFormat="1" x14ac:dyDescent="0.2">
      <c r="A1113" s="589" t="s">
        <v>56</v>
      </c>
      <c r="B1113" s="589" t="s">
        <v>1247</v>
      </c>
      <c r="C1113" s="590" t="s">
        <v>3492</v>
      </c>
      <c r="D1113" s="589" t="s">
        <v>100</v>
      </c>
      <c r="E1113" s="589" t="s">
        <v>104</v>
      </c>
      <c r="F1113" s="589" t="s">
        <v>112</v>
      </c>
      <c r="G1113" s="589" t="s">
        <v>51</v>
      </c>
      <c r="H1113" s="589" t="s">
        <v>242</v>
      </c>
      <c r="I1113" s="589" t="s">
        <v>3651</v>
      </c>
      <c r="J1113" s="589" t="s">
        <v>35</v>
      </c>
      <c r="K1113" s="591">
        <v>3243.88</v>
      </c>
      <c r="L1113" s="592">
        <f>IF(J1113="TND",1,IF(J1113="EUR",Vertical_Cash_flow!$C$16,IF(J1113="USD",Vertical_Cash_flow!$F$16,0)))</f>
        <v>1</v>
      </c>
      <c r="M1113" s="593">
        <f t="shared" si="72"/>
        <v>3243.88</v>
      </c>
      <c r="N1113" s="589" t="s">
        <v>251</v>
      </c>
      <c r="O1113" s="594">
        <v>45427</v>
      </c>
      <c r="P1113" s="593">
        <f t="shared" si="73"/>
        <v>-79</v>
      </c>
      <c r="Q1113" s="594">
        <v>45506</v>
      </c>
      <c r="R1113" s="593">
        <f t="shared" ca="1" si="74"/>
        <v>-65</v>
      </c>
      <c r="S1113" s="589" t="str">
        <f>VLOOKUP(Q1113,Mapping!L:M,2,0)</f>
        <v>W31_2024</v>
      </c>
      <c r="T1113" s="589" t="str">
        <f t="shared" ca="1" si="75"/>
        <v>Not Due</v>
      </c>
      <c r="W1113" s="591"/>
    </row>
    <row r="1114" spans="1:23" s="589" customFormat="1" x14ac:dyDescent="0.2">
      <c r="A1114" s="589" t="s">
        <v>56</v>
      </c>
      <c r="B1114" s="589" t="s">
        <v>371</v>
      </c>
      <c r="C1114" s="590" t="s">
        <v>3491</v>
      </c>
      <c r="D1114" s="589" t="s">
        <v>100</v>
      </c>
      <c r="E1114" s="589" t="s">
        <v>104</v>
      </c>
      <c r="F1114" s="589" t="s">
        <v>112</v>
      </c>
      <c r="G1114" s="589" t="s">
        <v>51</v>
      </c>
      <c r="H1114" s="589" t="s">
        <v>242</v>
      </c>
      <c r="I1114" s="589" t="s">
        <v>3650</v>
      </c>
      <c r="J1114" s="589" t="s">
        <v>35</v>
      </c>
      <c r="K1114" s="591">
        <v>560.04200000000003</v>
      </c>
      <c r="L1114" s="592">
        <f>IF(J1114="TND",1,IF(J1114="EUR",Vertical_Cash_flow!$C$16,IF(J1114="USD",Vertical_Cash_flow!$F$16,0)))</f>
        <v>1</v>
      </c>
      <c r="M1114" s="593">
        <f t="shared" si="72"/>
        <v>560.04200000000003</v>
      </c>
      <c r="N1114" s="589" t="s">
        <v>251</v>
      </c>
      <c r="O1114" s="594">
        <v>45422</v>
      </c>
      <c r="P1114" s="593">
        <f t="shared" si="73"/>
        <v>-84</v>
      </c>
      <c r="Q1114" s="594">
        <v>45506</v>
      </c>
      <c r="R1114" s="593">
        <f t="shared" ca="1" si="74"/>
        <v>-65</v>
      </c>
      <c r="S1114" s="589" t="str">
        <f>VLOOKUP(Q1114,Mapping!L:M,2,0)</f>
        <v>W31_2024</v>
      </c>
      <c r="T1114" s="589" t="str">
        <f t="shared" ca="1" si="75"/>
        <v>Not Due</v>
      </c>
      <c r="W1114" s="591"/>
    </row>
    <row r="1115" spans="1:23" s="589" customFormat="1" x14ac:dyDescent="0.2">
      <c r="A1115" s="589" t="s">
        <v>56</v>
      </c>
      <c r="B1115" s="589" t="s">
        <v>283</v>
      </c>
      <c r="C1115" s="590" t="s">
        <v>3490</v>
      </c>
      <c r="D1115" s="589" t="s">
        <v>100</v>
      </c>
      <c r="E1115" s="589" t="s">
        <v>104</v>
      </c>
      <c r="F1115" s="589" t="s">
        <v>112</v>
      </c>
      <c r="G1115" s="589" t="s">
        <v>51</v>
      </c>
      <c r="H1115" s="589" t="s">
        <v>242</v>
      </c>
      <c r="I1115" s="589" t="s">
        <v>3649</v>
      </c>
      <c r="J1115" s="589" t="s">
        <v>35</v>
      </c>
      <c r="K1115" s="591">
        <v>1898.229</v>
      </c>
      <c r="L1115" s="592">
        <f>IF(J1115="TND",1,IF(J1115="EUR",Vertical_Cash_flow!$C$16,IF(J1115="USD",Vertical_Cash_flow!$F$16,0)))</f>
        <v>1</v>
      </c>
      <c r="M1115" s="593">
        <f t="shared" si="72"/>
        <v>1898.229</v>
      </c>
      <c r="N1115" s="589" t="s">
        <v>251</v>
      </c>
      <c r="O1115" s="594">
        <v>45428</v>
      </c>
      <c r="P1115" s="593">
        <f t="shared" si="73"/>
        <v>-78</v>
      </c>
      <c r="Q1115" s="594">
        <v>45506</v>
      </c>
      <c r="R1115" s="593">
        <f t="shared" ca="1" si="74"/>
        <v>-65</v>
      </c>
      <c r="S1115" s="589" t="str">
        <f>VLOOKUP(Q1115,Mapping!L:M,2,0)</f>
        <v>W31_2024</v>
      </c>
      <c r="T1115" s="589" t="str">
        <f t="shared" ca="1" si="75"/>
        <v>Not Due</v>
      </c>
      <c r="W1115" s="591"/>
    </row>
    <row r="1116" spans="1:23" s="589" customFormat="1" x14ac:dyDescent="0.2">
      <c r="A1116" s="589" t="s">
        <v>56</v>
      </c>
      <c r="B1116" s="589" t="s">
        <v>511</v>
      </c>
      <c r="C1116" s="590" t="s">
        <v>2372</v>
      </c>
      <c r="D1116" s="589" t="s">
        <v>100</v>
      </c>
      <c r="E1116" s="589" t="s">
        <v>104</v>
      </c>
      <c r="F1116" s="589" t="s">
        <v>112</v>
      </c>
      <c r="G1116" s="589" t="s">
        <v>51</v>
      </c>
      <c r="H1116" s="589" t="s">
        <v>242</v>
      </c>
      <c r="I1116" s="589" t="s">
        <v>2704</v>
      </c>
      <c r="J1116" s="589" t="s">
        <v>35</v>
      </c>
      <c r="K1116" s="591">
        <v>6635.2250000000004</v>
      </c>
      <c r="L1116" s="592">
        <f>IF(J1116="TND",1,IF(J1116="EUR",Vertical_Cash_flow!$C$16,IF(J1116="USD",Vertical_Cash_flow!$F$16,0)))</f>
        <v>1</v>
      </c>
      <c r="M1116" s="593">
        <f t="shared" si="72"/>
        <v>6635.2250000000004</v>
      </c>
      <c r="N1116" s="589" t="s">
        <v>251</v>
      </c>
      <c r="O1116" s="594">
        <v>45406</v>
      </c>
      <c r="P1116" s="593">
        <f t="shared" si="73"/>
        <v>-101</v>
      </c>
      <c r="Q1116" s="594">
        <v>45507</v>
      </c>
      <c r="R1116" s="593">
        <f t="shared" ca="1" si="74"/>
        <v>-66</v>
      </c>
      <c r="S1116" s="589" t="str">
        <f>VLOOKUP(Q1116,Mapping!L:M,2,0)</f>
        <v>W32_2024</v>
      </c>
      <c r="T1116" s="589" t="str">
        <f t="shared" ca="1" si="75"/>
        <v>Not Due</v>
      </c>
      <c r="W1116" s="591"/>
    </row>
    <row r="1117" spans="1:23" s="589" customFormat="1" x14ac:dyDescent="0.2">
      <c r="A1117" s="589" t="s">
        <v>56</v>
      </c>
      <c r="B1117" s="589" t="s">
        <v>736</v>
      </c>
      <c r="C1117" s="590" t="s">
        <v>3489</v>
      </c>
      <c r="D1117" s="589" t="s">
        <v>100</v>
      </c>
      <c r="E1117" s="589" t="s">
        <v>104</v>
      </c>
      <c r="F1117" s="589" t="s">
        <v>112</v>
      </c>
      <c r="G1117" s="589" t="s">
        <v>51</v>
      </c>
      <c r="H1117" s="589" t="s">
        <v>242</v>
      </c>
      <c r="I1117" s="589" t="s">
        <v>3648</v>
      </c>
      <c r="J1117" s="589" t="s">
        <v>35</v>
      </c>
      <c r="K1117" s="591">
        <v>442</v>
      </c>
      <c r="L1117" s="592">
        <f>IF(J1117="TND",1,IF(J1117="EUR",Vertical_Cash_flow!$C$16,IF(J1117="USD",Vertical_Cash_flow!$F$16,0)))</f>
        <v>1</v>
      </c>
      <c r="M1117" s="593">
        <f t="shared" si="72"/>
        <v>442</v>
      </c>
      <c r="N1117" s="589" t="s">
        <v>251</v>
      </c>
      <c r="O1117" s="594">
        <v>45423</v>
      </c>
      <c r="P1117" s="593">
        <f t="shared" si="73"/>
        <v>-84</v>
      </c>
      <c r="Q1117" s="594">
        <v>45507</v>
      </c>
      <c r="R1117" s="593">
        <f t="shared" ca="1" si="74"/>
        <v>-66</v>
      </c>
      <c r="S1117" s="589" t="str">
        <f>VLOOKUP(Q1117,Mapping!L:M,2,0)</f>
        <v>W32_2024</v>
      </c>
      <c r="T1117" s="589" t="str">
        <f t="shared" ca="1" si="75"/>
        <v>Not Due</v>
      </c>
      <c r="W1117" s="591"/>
    </row>
    <row r="1118" spans="1:23" s="589" customFormat="1" x14ac:dyDescent="0.2">
      <c r="A1118" s="589" t="s">
        <v>56</v>
      </c>
      <c r="B1118" s="589" t="s">
        <v>498</v>
      </c>
      <c r="C1118" s="590" t="s">
        <v>1522</v>
      </c>
      <c r="D1118" s="589" t="s">
        <v>100</v>
      </c>
      <c r="E1118" s="589" t="s">
        <v>104</v>
      </c>
      <c r="F1118" s="589" t="s">
        <v>112</v>
      </c>
      <c r="G1118" s="589" t="s">
        <v>51</v>
      </c>
      <c r="H1118" s="589" t="s">
        <v>242</v>
      </c>
      <c r="I1118" s="589" t="s">
        <v>1933</v>
      </c>
      <c r="J1118" s="589" t="s">
        <v>35</v>
      </c>
      <c r="K1118" s="591">
        <v>7000</v>
      </c>
      <c r="L1118" s="592">
        <f>IF(J1118="TND",1,IF(J1118="EUR",Vertical_Cash_flow!$C$16,IF(J1118="USD",Vertical_Cash_flow!$F$16,0)))</f>
        <v>1</v>
      </c>
      <c r="M1118" s="593">
        <f t="shared" si="72"/>
        <v>7000</v>
      </c>
      <c r="N1118" s="589" t="s">
        <v>251</v>
      </c>
      <c r="O1118" s="594">
        <v>45377</v>
      </c>
      <c r="P1118" s="593">
        <f t="shared" si="73"/>
        <v>-131</v>
      </c>
      <c r="Q1118" s="594">
        <v>45508</v>
      </c>
      <c r="R1118" s="593">
        <f t="shared" ca="1" si="74"/>
        <v>-67</v>
      </c>
      <c r="S1118" s="589" t="str">
        <f>VLOOKUP(Q1118,Mapping!L:M,2,0)</f>
        <v>W32_2024</v>
      </c>
      <c r="T1118" s="589" t="str">
        <f t="shared" ca="1" si="75"/>
        <v>Not Due</v>
      </c>
      <c r="W1118" s="591"/>
    </row>
    <row r="1119" spans="1:23" s="589" customFormat="1" x14ac:dyDescent="0.2">
      <c r="A1119" s="589" t="s">
        <v>56</v>
      </c>
      <c r="B1119" s="589" t="s">
        <v>388</v>
      </c>
      <c r="C1119" s="590" t="s">
        <v>3103</v>
      </c>
      <c r="D1119" s="589" t="s">
        <v>100</v>
      </c>
      <c r="E1119" s="589" t="s">
        <v>104</v>
      </c>
      <c r="F1119" s="589" t="s">
        <v>112</v>
      </c>
      <c r="G1119" s="589" t="s">
        <v>51</v>
      </c>
      <c r="H1119" s="589" t="s">
        <v>242</v>
      </c>
      <c r="I1119" s="589" t="s">
        <v>3295</v>
      </c>
      <c r="J1119" s="589" t="s">
        <v>35</v>
      </c>
      <c r="K1119" s="591">
        <v>5303</v>
      </c>
      <c r="L1119" s="592">
        <f>IF(J1119="TND",1,IF(J1119="EUR",Vertical_Cash_flow!$C$16,IF(J1119="USD",Vertical_Cash_flow!$F$16,0)))</f>
        <v>1</v>
      </c>
      <c r="M1119" s="593">
        <f t="shared" si="72"/>
        <v>5303</v>
      </c>
      <c r="N1119" s="589" t="s">
        <v>251</v>
      </c>
      <c r="O1119" s="594">
        <v>45412</v>
      </c>
      <c r="P1119" s="593">
        <f t="shared" si="73"/>
        <v>-96</v>
      </c>
      <c r="Q1119" s="594">
        <v>45508</v>
      </c>
      <c r="R1119" s="593">
        <f t="shared" ca="1" si="74"/>
        <v>-67</v>
      </c>
      <c r="S1119" s="589" t="str">
        <f>VLOOKUP(Q1119,Mapping!L:M,2,0)</f>
        <v>W32_2024</v>
      </c>
      <c r="T1119" s="589" t="str">
        <f t="shared" ca="1" si="75"/>
        <v>Not Due</v>
      </c>
      <c r="W1119" s="591"/>
    </row>
    <row r="1120" spans="1:23" s="589" customFormat="1" x14ac:dyDescent="0.2">
      <c r="A1120" s="589" t="s">
        <v>56</v>
      </c>
      <c r="B1120" s="589" t="s">
        <v>360</v>
      </c>
      <c r="C1120" s="590" t="s">
        <v>2371</v>
      </c>
      <c r="D1120" s="589" t="s">
        <v>100</v>
      </c>
      <c r="E1120" s="589" t="s">
        <v>104</v>
      </c>
      <c r="F1120" s="589" t="s">
        <v>112</v>
      </c>
      <c r="G1120" s="589" t="s">
        <v>51</v>
      </c>
      <c r="H1120" s="589" t="s">
        <v>242</v>
      </c>
      <c r="I1120" s="589" t="s">
        <v>2703</v>
      </c>
      <c r="J1120" s="589" t="s">
        <v>35</v>
      </c>
      <c r="K1120" s="591">
        <v>3010.7289999999998</v>
      </c>
      <c r="L1120" s="592">
        <f>IF(J1120="TND",1,IF(J1120="EUR",Vertical_Cash_flow!$C$16,IF(J1120="USD",Vertical_Cash_flow!$F$16,0)))</f>
        <v>1</v>
      </c>
      <c r="M1120" s="593">
        <f t="shared" si="72"/>
        <v>3010.7289999999998</v>
      </c>
      <c r="N1120" s="589" t="s">
        <v>251</v>
      </c>
      <c r="O1120" s="594">
        <v>45387</v>
      </c>
      <c r="P1120" s="593">
        <f t="shared" si="73"/>
        <v>-122</v>
      </c>
      <c r="Q1120" s="594">
        <v>45509</v>
      </c>
      <c r="R1120" s="593">
        <f t="shared" ca="1" si="74"/>
        <v>-68</v>
      </c>
      <c r="S1120" s="589" t="str">
        <f>VLOOKUP(Q1120,Mapping!L:M,2,0)</f>
        <v>W32_2024</v>
      </c>
      <c r="T1120" s="589" t="str">
        <f t="shared" ca="1" si="75"/>
        <v>Not Due</v>
      </c>
      <c r="W1120" s="591"/>
    </row>
    <row r="1121" spans="1:23" s="589" customFormat="1" x14ac:dyDescent="0.2">
      <c r="A1121" s="589" t="s">
        <v>56</v>
      </c>
      <c r="B1121" s="589" t="s">
        <v>365</v>
      </c>
      <c r="C1121" s="590" t="s">
        <v>3100</v>
      </c>
      <c r="D1121" s="589" t="s">
        <v>100</v>
      </c>
      <c r="E1121" s="589" t="s">
        <v>104</v>
      </c>
      <c r="F1121" s="589" t="s">
        <v>112</v>
      </c>
      <c r="G1121" s="589" t="s">
        <v>51</v>
      </c>
      <c r="H1121" s="589" t="s">
        <v>242</v>
      </c>
      <c r="I1121" s="589" t="s">
        <v>3292</v>
      </c>
      <c r="J1121" s="589" t="s">
        <v>35</v>
      </c>
      <c r="K1121" s="591">
        <v>1094.2670000000001</v>
      </c>
      <c r="L1121" s="592">
        <f>IF(J1121="TND",1,IF(J1121="EUR",Vertical_Cash_flow!$C$16,IF(J1121="USD",Vertical_Cash_flow!$F$16,0)))</f>
        <v>1</v>
      </c>
      <c r="M1121" s="593">
        <f t="shared" si="72"/>
        <v>1094.2670000000001</v>
      </c>
      <c r="N1121" s="589" t="s">
        <v>251</v>
      </c>
      <c r="O1121" s="594">
        <v>45415</v>
      </c>
      <c r="P1121" s="593">
        <f t="shared" si="73"/>
        <v>-94</v>
      </c>
      <c r="Q1121" s="594">
        <v>45509</v>
      </c>
      <c r="R1121" s="593">
        <f t="shared" ca="1" si="74"/>
        <v>-68</v>
      </c>
      <c r="S1121" s="589" t="str">
        <f>VLOOKUP(Q1121,Mapping!L:M,2,0)</f>
        <v>W32_2024</v>
      </c>
      <c r="T1121" s="589" t="str">
        <f t="shared" ca="1" si="75"/>
        <v>Not Due</v>
      </c>
      <c r="W1121" s="591"/>
    </row>
    <row r="1122" spans="1:23" s="589" customFormat="1" x14ac:dyDescent="0.2">
      <c r="A1122" s="589" t="s">
        <v>56</v>
      </c>
      <c r="B1122" s="589" t="s">
        <v>536</v>
      </c>
      <c r="C1122" s="590" t="s">
        <v>2368</v>
      </c>
      <c r="D1122" s="589" t="s">
        <v>100</v>
      </c>
      <c r="E1122" s="589" t="s">
        <v>104</v>
      </c>
      <c r="F1122" s="589" t="s">
        <v>112</v>
      </c>
      <c r="G1122" s="589" t="s">
        <v>51</v>
      </c>
      <c r="H1122" s="589" t="s">
        <v>242</v>
      </c>
      <c r="I1122" s="589" t="s">
        <v>843</v>
      </c>
      <c r="J1122" s="589" t="s">
        <v>35</v>
      </c>
      <c r="K1122" s="591">
        <v>1218.7860000000001</v>
      </c>
      <c r="L1122" s="592">
        <f>IF(J1122="TND",1,IF(J1122="EUR",Vertical_Cash_flow!$C$16,IF(J1122="USD",Vertical_Cash_flow!$F$16,0)))</f>
        <v>1</v>
      </c>
      <c r="M1122" s="593">
        <f t="shared" si="72"/>
        <v>1218.7860000000001</v>
      </c>
      <c r="N1122" s="589" t="s">
        <v>251</v>
      </c>
      <c r="O1122" s="594">
        <v>45406</v>
      </c>
      <c r="P1122" s="593">
        <f t="shared" si="73"/>
        <v>-103</v>
      </c>
      <c r="Q1122" s="594">
        <v>45509</v>
      </c>
      <c r="R1122" s="593">
        <f t="shared" ca="1" si="74"/>
        <v>-68</v>
      </c>
      <c r="S1122" s="589" t="str">
        <f>VLOOKUP(Q1122,Mapping!L:M,2,0)</f>
        <v>W32_2024</v>
      </c>
      <c r="T1122" s="589" t="str">
        <f t="shared" ca="1" si="75"/>
        <v>Not Due</v>
      </c>
      <c r="W1122" s="591"/>
    </row>
    <row r="1123" spans="1:23" s="589" customFormat="1" x14ac:dyDescent="0.2">
      <c r="A1123" s="589" t="s">
        <v>56</v>
      </c>
      <c r="B1123" s="589" t="s">
        <v>814</v>
      </c>
      <c r="C1123" s="590" t="s">
        <v>3101</v>
      </c>
      <c r="D1123" s="589" t="s">
        <v>100</v>
      </c>
      <c r="E1123" s="589" t="s">
        <v>104</v>
      </c>
      <c r="F1123" s="589" t="s">
        <v>112</v>
      </c>
      <c r="G1123" s="589" t="s">
        <v>51</v>
      </c>
      <c r="H1123" s="589" t="s">
        <v>242</v>
      </c>
      <c r="I1123" s="589" t="s">
        <v>3293</v>
      </c>
      <c r="J1123" s="589" t="s">
        <v>35</v>
      </c>
      <c r="K1123" s="591">
        <v>6242.893</v>
      </c>
      <c r="L1123" s="592">
        <f>IF(J1123="TND",1,IF(J1123="EUR",Vertical_Cash_flow!$C$16,IF(J1123="USD",Vertical_Cash_flow!$F$16,0)))</f>
        <v>1</v>
      </c>
      <c r="M1123" s="593">
        <f t="shared" si="72"/>
        <v>6242.893</v>
      </c>
      <c r="N1123" s="589" t="s">
        <v>251</v>
      </c>
      <c r="O1123" s="594">
        <v>45412</v>
      </c>
      <c r="P1123" s="593">
        <f t="shared" si="73"/>
        <v>-97</v>
      </c>
      <c r="Q1123" s="594">
        <v>45509</v>
      </c>
      <c r="R1123" s="593">
        <f t="shared" ca="1" si="74"/>
        <v>-68</v>
      </c>
      <c r="S1123" s="589" t="str">
        <f>VLOOKUP(Q1123,Mapping!L:M,2,0)</f>
        <v>W32_2024</v>
      </c>
      <c r="T1123" s="589" t="str">
        <f t="shared" ca="1" si="75"/>
        <v>Not Due</v>
      </c>
      <c r="W1123" s="591"/>
    </row>
    <row r="1124" spans="1:23" s="589" customFormat="1" x14ac:dyDescent="0.2">
      <c r="A1124" s="589" t="s">
        <v>56</v>
      </c>
      <c r="B1124" s="589" t="s">
        <v>365</v>
      </c>
      <c r="C1124" s="590" t="s">
        <v>2369</v>
      </c>
      <c r="D1124" s="589" t="s">
        <v>100</v>
      </c>
      <c r="E1124" s="589" t="s">
        <v>104</v>
      </c>
      <c r="F1124" s="589" t="s">
        <v>112</v>
      </c>
      <c r="G1124" s="589" t="s">
        <v>51</v>
      </c>
      <c r="H1124" s="589" t="s">
        <v>242</v>
      </c>
      <c r="I1124" s="589" t="s">
        <v>2701</v>
      </c>
      <c r="J1124" s="589" t="s">
        <v>35</v>
      </c>
      <c r="K1124" s="591">
        <v>1094.2670000000001</v>
      </c>
      <c r="L1124" s="592">
        <f>IF(J1124="TND",1,IF(J1124="EUR",Vertical_Cash_flow!$C$16,IF(J1124="USD",Vertical_Cash_flow!$F$16,0)))</f>
        <v>1</v>
      </c>
      <c r="M1124" s="593">
        <f t="shared" si="72"/>
        <v>1094.2670000000001</v>
      </c>
      <c r="N1124" s="589" t="s">
        <v>251</v>
      </c>
      <c r="O1124" s="594">
        <v>45404</v>
      </c>
      <c r="P1124" s="593">
        <f t="shared" si="73"/>
        <v>-105</v>
      </c>
      <c r="Q1124" s="594">
        <v>45509</v>
      </c>
      <c r="R1124" s="593">
        <f t="shared" ca="1" si="74"/>
        <v>-68</v>
      </c>
      <c r="S1124" s="589" t="str">
        <f>VLOOKUP(Q1124,Mapping!L:M,2,0)</f>
        <v>W32_2024</v>
      </c>
      <c r="T1124" s="589" t="str">
        <f t="shared" ca="1" si="75"/>
        <v>Not Due</v>
      </c>
      <c r="W1124" s="591"/>
    </row>
    <row r="1125" spans="1:23" s="589" customFormat="1" x14ac:dyDescent="0.2">
      <c r="A1125" s="589" t="s">
        <v>56</v>
      </c>
      <c r="B1125" s="589" t="s">
        <v>513</v>
      </c>
      <c r="C1125" s="590" t="s">
        <v>2370</v>
      </c>
      <c r="D1125" s="589" t="s">
        <v>100</v>
      </c>
      <c r="E1125" s="589" t="s">
        <v>104</v>
      </c>
      <c r="F1125" s="589" t="s">
        <v>112</v>
      </c>
      <c r="G1125" s="589" t="s">
        <v>51</v>
      </c>
      <c r="H1125" s="589" t="s">
        <v>242</v>
      </c>
      <c r="I1125" s="589" t="s">
        <v>2702</v>
      </c>
      <c r="J1125" s="589" t="s">
        <v>35</v>
      </c>
      <c r="K1125" s="591">
        <v>479.4</v>
      </c>
      <c r="L1125" s="592">
        <f>IF(J1125="TND",1,IF(J1125="EUR",Vertical_Cash_flow!$C$16,IF(J1125="USD",Vertical_Cash_flow!$F$16,0)))</f>
        <v>1</v>
      </c>
      <c r="M1125" s="593">
        <f t="shared" si="72"/>
        <v>479.4</v>
      </c>
      <c r="N1125" s="589" t="s">
        <v>251</v>
      </c>
      <c r="O1125" s="594">
        <v>45404</v>
      </c>
      <c r="P1125" s="593">
        <f t="shared" si="73"/>
        <v>-105</v>
      </c>
      <c r="Q1125" s="594">
        <v>45509</v>
      </c>
      <c r="R1125" s="593">
        <f t="shared" ca="1" si="74"/>
        <v>-68</v>
      </c>
      <c r="S1125" s="589" t="str">
        <f>VLOOKUP(Q1125,Mapping!L:M,2,0)</f>
        <v>W32_2024</v>
      </c>
      <c r="T1125" s="589" t="str">
        <f t="shared" ca="1" si="75"/>
        <v>Not Due</v>
      </c>
      <c r="W1125" s="591"/>
    </row>
    <row r="1126" spans="1:23" s="589" customFormat="1" x14ac:dyDescent="0.2">
      <c r="A1126" s="589" t="s">
        <v>56</v>
      </c>
      <c r="B1126" s="589" t="s">
        <v>2335</v>
      </c>
      <c r="C1126" s="590" t="s">
        <v>2367</v>
      </c>
      <c r="D1126" s="589" t="s">
        <v>100</v>
      </c>
      <c r="E1126" s="589" t="s">
        <v>104</v>
      </c>
      <c r="F1126" s="589" t="s">
        <v>112</v>
      </c>
      <c r="G1126" s="589" t="s">
        <v>51</v>
      </c>
      <c r="H1126" s="589" t="s">
        <v>242</v>
      </c>
      <c r="I1126" s="589" t="s">
        <v>2700</v>
      </c>
      <c r="J1126" s="589" t="s">
        <v>35</v>
      </c>
      <c r="K1126" s="591">
        <v>2000</v>
      </c>
      <c r="L1126" s="592">
        <f>IF(J1126="TND",1,IF(J1126="EUR",Vertical_Cash_flow!$C$16,IF(J1126="USD",Vertical_Cash_flow!$F$16,0)))</f>
        <v>1</v>
      </c>
      <c r="M1126" s="593">
        <f t="shared" si="72"/>
        <v>2000</v>
      </c>
      <c r="N1126" s="589" t="s">
        <v>251</v>
      </c>
      <c r="O1126" s="594">
        <v>45407</v>
      </c>
      <c r="P1126" s="593">
        <f t="shared" si="73"/>
        <v>-102</v>
      </c>
      <c r="Q1126" s="594">
        <v>45509</v>
      </c>
      <c r="R1126" s="593">
        <f t="shared" ca="1" si="74"/>
        <v>-68</v>
      </c>
      <c r="S1126" s="589" t="str">
        <f>VLOOKUP(Q1126,Mapping!L:M,2,0)</f>
        <v>W32_2024</v>
      </c>
      <c r="T1126" s="589" t="str">
        <f t="shared" ca="1" si="75"/>
        <v>Not Due</v>
      </c>
      <c r="W1126" s="591"/>
    </row>
    <row r="1127" spans="1:23" s="589" customFormat="1" x14ac:dyDescent="0.2">
      <c r="A1127" s="589" t="s">
        <v>56</v>
      </c>
      <c r="B1127" s="589" t="s">
        <v>479</v>
      </c>
      <c r="C1127" s="590" t="s">
        <v>3102</v>
      </c>
      <c r="D1127" s="589" t="s">
        <v>100</v>
      </c>
      <c r="E1127" s="589" t="s">
        <v>104</v>
      </c>
      <c r="F1127" s="589" t="s">
        <v>112</v>
      </c>
      <c r="G1127" s="589" t="s">
        <v>51</v>
      </c>
      <c r="H1127" s="589" t="s">
        <v>242</v>
      </c>
      <c r="I1127" s="589" t="s">
        <v>3294</v>
      </c>
      <c r="J1127" s="589" t="s">
        <v>35</v>
      </c>
      <c r="K1127" s="591">
        <v>1786.095</v>
      </c>
      <c r="L1127" s="592">
        <f>IF(J1127="TND",1,IF(J1127="EUR",Vertical_Cash_flow!$C$16,IF(J1127="USD",Vertical_Cash_flow!$F$16,0)))</f>
        <v>1</v>
      </c>
      <c r="M1127" s="593">
        <f t="shared" si="72"/>
        <v>1786.095</v>
      </c>
      <c r="N1127" s="589" t="s">
        <v>251</v>
      </c>
      <c r="O1127" s="594">
        <v>45412</v>
      </c>
      <c r="P1127" s="593">
        <f t="shared" si="73"/>
        <v>-97</v>
      </c>
      <c r="Q1127" s="594">
        <v>45509</v>
      </c>
      <c r="R1127" s="593">
        <f t="shared" ca="1" si="74"/>
        <v>-68</v>
      </c>
      <c r="S1127" s="589" t="str">
        <f>VLOOKUP(Q1127,Mapping!L:M,2,0)</f>
        <v>W32_2024</v>
      </c>
      <c r="T1127" s="589" t="str">
        <f t="shared" ca="1" si="75"/>
        <v>Not Due</v>
      </c>
      <c r="W1127" s="591"/>
    </row>
    <row r="1128" spans="1:23" s="589" customFormat="1" x14ac:dyDescent="0.2">
      <c r="A1128" s="589" t="s">
        <v>56</v>
      </c>
      <c r="B1128" s="589" t="s">
        <v>3407</v>
      </c>
      <c r="C1128" s="590" t="s">
        <v>3488</v>
      </c>
      <c r="D1128" s="589" t="s">
        <v>100</v>
      </c>
      <c r="E1128" s="589" t="s">
        <v>104</v>
      </c>
      <c r="F1128" s="589" t="s">
        <v>112</v>
      </c>
      <c r="G1128" s="589" t="s">
        <v>51</v>
      </c>
      <c r="H1128" s="589" t="s">
        <v>242</v>
      </c>
      <c r="I1128" s="589" t="s">
        <v>3647</v>
      </c>
      <c r="J1128" s="589" t="s">
        <v>35</v>
      </c>
      <c r="K1128" s="591">
        <v>6404.4160000000002</v>
      </c>
      <c r="L1128" s="592">
        <f>IF(J1128="TND",1,IF(J1128="EUR",Vertical_Cash_flow!$C$16,IF(J1128="USD",Vertical_Cash_flow!$F$16,0)))</f>
        <v>1</v>
      </c>
      <c r="M1128" s="593">
        <f t="shared" si="72"/>
        <v>6404.4160000000002</v>
      </c>
      <c r="N1128" s="589" t="s">
        <v>251</v>
      </c>
      <c r="O1128" s="594">
        <v>45429</v>
      </c>
      <c r="P1128" s="593">
        <f t="shared" si="73"/>
        <v>-80</v>
      </c>
      <c r="Q1128" s="594">
        <v>45509</v>
      </c>
      <c r="R1128" s="593">
        <f t="shared" ca="1" si="74"/>
        <v>-68</v>
      </c>
      <c r="S1128" s="589" t="str">
        <f>VLOOKUP(Q1128,Mapping!L:M,2,0)</f>
        <v>W32_2024</v>
      </c>
      <c r="T1128" s="589" t="str">
        <f t="shared" ca="1" si="75"/>
        <v>Not Due</v>
      </c>
      <c r="W1128" s="591"/>
    </row>
    <row r="1129" spans="1:23" s="589" customFormat="1" x14ac:dyDescent="0.2">
      <c r="A1129" s="589" t="s">
        <v>56</v>
      </c>
      <c r="B1129" s="589" t="s">
        <v>398</v>
      </c>
      <c r="C1129" s="590" t="s">
        <v>2365</v>
      </c>
      <c r="D1129" s="589" t="s">
        <v>100</v>
      </c>
      <c r="E1129" s="589" t="s">
        <v>104</v>
      </c>
      <c r="F1129" s="589" t="s">
        <v>112</v>
      </c>
      <c r="G1129" s="589" t="s">
        <v>51</v>
      </c>
      <c r="H1129" s="589" t="s">
        <v>242</v>
      </c>
      <c r="I1129" s="589" t="s">
        <v>2698</v>
      </c>
      <c r="J1129" s="589" t="s">
        <v>35</v>
      </c>
      <c r="K1129" s="591">
        <v>3459.873</v>
      </c>
      <c r="L1129" s="592">
        <f>IF(J1129="TND",1,IF(J1129="EUR",Vertical_Cash_flow!$C$16,IF(J1129="USD",Vertical_Cash_flow!$F$16,0)))</f>
        <v>1</v>
      </c>
      <c r="M1129" s="593">
        <f t="shared" si="72"/>
        <v>3459.873</v>
      </c>
      <c r="N1129" s="589" t="s">
        <v>251</v>
      </c>
      <c r="O1129" s="594">
        <v>45401</v>
      </c>
      <c r="P1129" s="593">
        <f t="shared" si="73"/>
        <v>-108</v>
      </c>
      <c r="Q1129" s="594">
        <v>45509</v>
      </c>
      <c r="R1129" s="593">
        <f t="shared" ca="1" si="74"/>
        <v>-68</v>
      </c>
      <c r="S1129" s="589" t="str">
        <f>VLOOKUP(Q1129,Mapping!L:M,2,0)</f>
        <v>W32_2024</v>
      </c>
      <c r="T1129" s="589" t="str">
        <f t="shared" ca="1" si="75"/>
        <v>Not Due</v>
      </c>
      <c r="W1129" s="591"/>
    </row>
    <row r="1130" spans="1:23" s="589" customFormat="1" x14ac:dyDescent="0.2">
      <c r="A1130" s="589" t="s">
        <v>56</v>
      </c>
      <c r="B1130" s="589" t="s">
        <v>520</v>
      </c>
      <c r="C1130" s="590" t="s">
        <v>3099</v>
      </c>
      <c r="D1130" s="589" t="s">
        <v>100</v>
      </c>
      <c r="E1130" s="589" t="s">
        <v>104</v>
      </c>
      <c r="F1130" s="589" t="s">
        <v>112</v>
      </c>
      <c r="G1130" s="589" t="s">
        <v>51</v>
      </c>
      <c r="H1130" s="589" t="s">
        <v>242</v>
      </c>
      <c r="I1130" s="589" t="s">
        <v>3291</v>
      </c>
      <c r="J1130" s="589" t="s">
        <v>35</v>
      </c>
      <c r="K1130" s="591">
        <v>2400</v>
      </c>
      <c r="L1130" s="592">
        <f>IF(J1130="TND",1,IF(J1130="EUR",Vertical_Cash_flow!$C$16,IF(J1130="USD",Vertical_Cash_flow!$F$16,0)))</f>
        <v>1</v>
      </c>
      <c r="M1130" s="593">
        <f t="shared" si="72"/>
        <v>2400</v>
      </c>
      <c r="N1130" s="589" t="s">
        <v>251</v>
      </c>
      <c r="O1130" s="594">
        <v>45411</v>
      </c>
      <c r="P1130" s="593">
        <f t="shared" si="73"/>
        <v>-98</v>
      </c>
      <c r="Q1130" s="594">
        <v>45509</v>
      </c>
      <c r="R1130" s="593">
        <f t="shared" ca="1" si="74"/>
        <v>-68</v>
      </c>
      <c r="S1130" s="589" t="str">
        <f>VLOOKUP(Q1130,Mapping!L:M,2,0)</f>
        <v>W32_2024</v>
      </c>
      <c r="T1130" s="589" t="str">
        <f t="shared" ca="1" si="75"/>
        <v>Not Due</v>
      </c>
      <c r="W1130" s="591"/>
    </row>
    <row r="1131" spans="1:23" s="589" customFormat="1" x14ac:dyDescent="0.2">
      <c r="A1131" s="589" t="s">
        <v>56</v>
      </c>
      <c r="B1131" s="589" t="s">
        <v>808</v>
      </c>
      <c r="C1131" s="590" t="s">
        <v>2366</v>
      </c>
      <c r="D1131" s="589" t="s">
        <v>100</v>
      </c>
      <c r="E1131" s="589" t="s">
        <v>104</v>
      </c>
      <c r="F1131" s="589" t="s">
        <v>112</v>
      </c>
      <c r="G1131" s="589" t="s">
        <v>51</v>
      </c>
      <c r="H1131" s="589" t="s">
        <v>242</v>
      </c>
      <c r="I1131" s="589" t="s">
        <v>2699</v>
      </c>
      <c r="J1131" s="589" t="s">
        <v>35</v>
      </c>
      <c r="K1131" s="591">
        <v>2600</v>
      </c>
      <c r="L1131" s="592">
        <f>IF(J1131="TND",1,IF(J1131="EUR",Vertical_Cash_flow!$C$16,IF(J1131="USD",Vertical_Cash_flow!$F$16,0)))</f>
        <v>1</v>
      </c>
      <c r="M1131" s="593">
        <f t="shared" si="72"/>
        <v>2600</v>
      </c>
      <c r="N1131" s="589" t="s">
        <v>251</v>
      </c>
      <c r="O1131" s="594">
        <v>45400</v>
      </c>
      <c r="P1131" s="593">
        <f t="shared" si="73"/>
        <v>-109</v>
      </c>
      <c r="Q1131" s="594">
        <v>45509</v>
      </c>
      <c r="R1131" s="593">
        <f t="shared" ca="1" si="74"/>
        <v>-68</v>
      </c>
      <c r="S1131" s="589" t="str">
        <f>VLOOKUP(Q1131,Mapping!L:M,2,0)</f>
        <v>W32_2024</v>
      </c>
      <c r="T1131" s="589" t="str">
        <f t="shared" ca="1" si="75"/>
        <v>Not Due</v>
      </c>
      <c r="W1131" s="591"/>
    </row>
    <row r="1132" spans="1:23" s="589" customFormat="1" x14ac:dyDescent="0.2">
      <c r="A1132" s="589" t="s">
        <v>56</v>
      </c>
      <c r="B1132" s="589" t="s">
        <v>797</v>
      </c>
      <c r="C1132" s="590" t="s">
        <v>3487</v>
      </c>
      <c r="D1132" s="589" t="s">
        <v>100</v>
      </c>
      <c r="E1132" s="589" t="s">
        <v>104</v>
      </c>
      <c r="F1132" s="589" t="s">
        <v>112</v>
      </c>
      <c r="G1132" s="589" t="s">
        <v>51</v>
      </c>
      <c r="H1132" s="589" t="s">
        <v>242</v>
      </c>
      <c r="I1132" s="589" t="s">
        <v>3646</v>
      </c>
      <c r="J1132" s="589" t="s">
        <v>35</v>
      </c>
      <c r="K1132" s="591">
        <v>1113.722</v>
      </c>
      <c r="L1132" s="592">
        <f>IF(J1132="TND",1,IF(J1132="EUR",Vertical_Cash_flow!$C$16,IF(J1132="USD",Vertical_Cash_flow!$F$16,0)))</f>
        <v>1</v>
      </c>
      <c r="M1132" s="593">
        <f t="shared" si="72"/>
        <v>1113.722</v>
      </c>
      <c r="N1132" s="589" t="s">
        <v>251</v>
      </c>
      <c r="O1132" s="594">
        <v>45423</v>
      </c>
      <c r="P1132" s="593">
        <f t="shared" si="73"/>
        <v>-86</v>
      </c>
      <c r="Q1132" s="594">
        <v>45509</v>
      </c>
      <c r="R1132" s="593">
        <f t="shared" ca="1" si="74"/>
        <v>-68</v>
      </c>
      <c r="S1132" s="589" t="str">
        <f>VLOOKUP(Q1132,Mapping!L:M,2,0)</f>
        <v>W32_2024</v>
      </c>
      <c r="T1132" s="589" t="str">
        <f t="shared" ca="1" si="75"/>
        <v>Not Due</v>
      </c>
      <c r="W1132" s="591"/>
    </row>
    <row r="1133" spans="1:23" s="589" customFormat="1" x14ac:dyDescent="0.2">
      <c r="A1133" s="589" t="s">
        <v>56</v>
      </c>
      <c r="B1133" s="589" t="s">
        <v>279</v>
      </c>
      <c r="C1133" s="590" t="s">
        <v>1521</v>
      </c>
      <c r="D1133" s="589" t="s">
        <v>100</v>
      </c>
      <c r="E1133" s="589" t="s">
        <v>104</v>
      </c>
      <c r="F1133" s="589" t="s">
        <v>112</v>
      </c>
      <c r="G1133" s="589" t="s">
        <v>51</v>
      </c>
      <c r="H1133" s="589" t="s">
        <v>242</v>
      </c>
      <c r="I1133" s="589" t="s">
        <v>1932</v>
      </c>
      <c r="J1133" s="589" t="s">
        <v>35</v>
      </c>
      <c r="K1133" s="591">
        <v>2410.2979999999998</v>
      </c>
      <c r="L1133" s="592">
        <f>IF(J1133="TND",1,IF(J1133="EUR",Vertical_Cash_flow!$C$16,IF(J1133="USD",Vertical_Cash_flow!$F$16,0)))</f>
        <v>1</v>
      </c>
      <c r="M1133" s="593">
        <f t="shared" si="72"/>
        <v>2410.2979999999998</v>
      </c>
      <c r="N1133" s="589" t="s">
        <v>251</v>
      </c>
      <c r="O1133" s="594">
        <v>45358</v>
      </c>
      <c r="P1133" s="593">
        <f t="shared" si="73"/>
        <v>-151</v>
      </c>
      <c r="Q1133" s="594">
        <v>45509</v>
      </c>
      <c r="R1133" s="593">
        <f t="shared" ca="1" si="74"/>
        <v>-68</v>
      </c>
      <c r="S1133" s="589" t="str">
        <f>VLOOKUP(Q1133,Mapping!L:M,2,0)</f>
        <v>W32_2024</v>
      </c>
      <c r="T1133" s="589" t="str">
        <f t="shared" ca="1" si="75"/>
        <v>Not Due</v>
      </c>
      <c r="W1133" s="591"/>
    </row>
    <row r="1134" spans="1:23" s="589" customFormat="1" x14ac:dyDescent="0.2">
      <c r="A1134" s="589" t="s">
        <v>56</v>
      </c>
      <c r="B1134" s="589" t="s">
        <v>273</v>
      </c>
      <c r="C1134" s="590" t="s">
        <v>3486</v>
      </c>
      <c r="D1134" s="589" t="s">
        <v>100</v>
      </c>
      <c r="E1134" s="589" t="s">
        <v>104</v>
      </c>
      <c r="F1134" s="589" t="s">
        <v>112</v>
      </c>
      <c r="G1134" s="589" t="s">
        <v>51</v>
      </c>
      <c r="H1134" s="589" t="s">
        <v>242</v>
      </c>
      <c r="I1134" s="589" t="s">
        <v>3645</v>
      </c>
      <c r="J1134" s="589" t="s">
        <v>35</v>
      </c>
      <c r="K1134" s="591">
        <v>400</v>
      </c>
      <c r="L1134" s="592">
        <f>IF(J1134="TND",1,IF(J1134="EUR",Vertical_Cash_flow!$C$16,IF(J1134="USD",Vertical_Cash_flow!$F$16,0)))</f>
        <v>1</v>
      </c>
      <c r="M1134" s="593">
        <f t="shared" si="72"/>
        <v>400</v>
      </c>
      <c r="N1134" s="589" t="s">
        <v>251</v>
      </c>
      <c r="O1134" s="594">
        <v>45427</v>
      </c>
      <c r="P1134" s="593">
        <f t="shared" si="73"/>
        <v>-82</v>
      </c>
      <c r="Q1134" s="594">
        <v>45509</v>
      </c>
      <c r="R1134" s="593">
        <f t="shared" ca="1" si="74"/>
        <v>-68</v>
      </c>
      <c r="S1134" s="589" t="str">
        <f>VLOOKUP(Q1134,Mapping!L:M,2,0)</f>
        <v>W32_2024</v>
      </c>
      <c r="T1134" s="589" t="str">
        <f t="shared" ca="1" si="75"/>
        <v>Not Due</v>
      </c>
      <c r="W1134" s="591"/>
    </row>
    <row r="1135" spans="1:23" s="589" customFormat="1" x14ac:dyDescent="0.2">
      <c r="A1135" s="589" t="s">
        <v>56</v>
      </c>
      <c r="B1135" s="589" t="s">
        <v>482</v>
      </c>
      <c r="C1135" s="590" t="s">
        <v>1520</v>
      </c>
      <c r="D1135" s="589" t="s">
        <v>100</v>
      </c>
      <c r="E1135" s="589" t="s">
        <v>104</v>
      </c>
      <c r="F1135" s="589" t="s">
        <v>112</v>
      </c>
      <c r="G1135" s="589" t="s">
        <v>51</v>
      </c>
      <c r="H1135" s="589" t="s">
        <v>242</v>
      </c>
      <c r="I1135" s="589" t="s">
        <v>1931</v>
      </c>
      <c r="J1135" s="589" t="s">
        <v>35</v>
      </c>
      <c r="K1135" s="591">
        <v>1250</v>
      </c>
      <c r="L1135" s="592">
        <f>IF(J1135="TND",1,IF(J1135="EUR",Vertical_Cash_flow!$C$16,IF(J1135="USD",Vertical_Cash_flow!$F$16,0)))</f>
        <v>1</v>
      </c>
      <c r="M1135" s="593">
        <f t="shared" si="72"/>
        <v>1250</v>
      </c>
      <c r="N1135" s="589" t="s">
        <v>251</v>
      </c>
      <c r="O1135" s="594">
        <v>45379</v>
      </c>
      <c r="P1135" s="593">
        <f t="shared" si="73"/>
        <v>-130</v>
      </c>
      <c r="Q1135" s="594">
        <v>45509</v>
      </c>
      <c r="R1135" s="593">
        <f t="shared" ca="1" si="74"/>
        <v>-68</v>
      </c>
      <c r="S1135" s="589" t="str">
        <f>VLOOKUP(Q1135,Mapping!L:M,2,0)</f>
        <v>W32_2024</v>
      </c>
      <c r="T1135" s="589" t="str">
        <f t="shared" ca="1" si="75"/>
        <v>Not Due</v>
      </c>
      <c r="W1135" s="591"/>
    </row>
    <row r="1136" spans="1:23" s="589" customFormat="1" x14ac:dyDescent="0.2">
      <c r="A1136" s="589" t="s">
        <v>56</v>
      </c>
      <c r="B1136" s="589" t="s">
        <v>337</v>
      </c>
      <c r="C1136" s="590" t="s">
        <v>3485</v>
      </c>
      <c r="D1136" s="589" t="s">
        <v>100</v>
      </c>
      <c r="E1136" s="589" t="s">
        <v>104</v>
      </c>
      <c r="F1136" s="589" t="s">
        <v>112</v>
      </c>
      <c r="G1136" s="589" t="s">
        <v>51</v>
      </c>
      <c r="H1136" s="589" t="s">
        <v>242</v>
      </c>
      <c r="I1136" s="589" t="s">
        <v>3644</v>
      </c>
      <c r="J1136" s="589" t="s">
        <v>35</v>
      </c>
      <c r="K1136" s="591">
        <v>5728.1469999999999</v>
      </c>
      <c r="L1136" s="592">
        <f>IF(J1136="TND",1,IF(J1136="EUR",Vertical_Cash_flow!$C$16,IF(J1136="USD",Vertical_Cash_flow!$F$16,0)))</f>
        <v>1</v>
      </c>
      <c r="M1136" s="593">
        <f t="shared" si="72"/>
        <v>5728.1469999999999</v>
      </c>
      <c r="N1136" s="589" t="s">
        <v>251</v>
      </c>
      <c r="O1136" s="594">
        <v>45429</v>
      </c>
      <c r="P1136" s="593">
        <f t="shared" si="73"/>
        <v>-80</v>
      </c>
      <c r="Q1136" s="594">
        <v>45509</v>
      </c>
      <c r="R1136" s="593">
        <f t="shared" ca="1" si="74"/>
        <v>-68</v>
      </c>
      <c r="S1136" s="589" t="str">
        <f>VLOOKUP(Q1136,Mapping!L:M,2,0)</f>
        <v>W32_2024</v>
      </c>
      <c r="T1136" s="589" t="str">
        <f t="shared" ca="1" si="75"/>
        <v>Not Due</v>
      </c>
      <c r="W1136" s="591"/>
    </row>
    <row r="1137" spans="1:23" s="589" customFormat="1" x14ac:dyDescent="0.2">
      <c r="A1137" s="589" t="s">
        <v>56</v>
      </c>
      <c r="B1137" s="589" t="s">
        <v>500</v>
      </c>
      <c r="C1137" s="590" t="s">
        <v>2364</v>
      </c>
      <c r="D1137" s="589" t="s">
        <v>100</v>
      </c>
      <c r="E1137" s="589" t="s">
        <v>104</v>
      </c>
      <c r="F1137" s="589" t="s">
        <v>112</v>
      </c>
      <c r="G1137" s="589" t="s">
        <v>51</v>
      </c>
      <c r="H1137" s="589" t="s">
        <v>242</v>
      </c>
      <c r="I1137" s="589" t="s">
        <v>2697</v>
      </c>
      <c r="J1137" s="589" t="s">
        <v>35</v>
      </c>
      <c r="K1137" s="591">
        <v>2990.3649999999998</v>
      </c>
      <c r="L1137" s="592">
        <f>IF(J1137="TND",1,IF(J1137="EUR",Vertical_Cash_flow!$C$16,IF(J1137="USD",Vertical_Cash_flow!$F$16,0)))</f>
        <v>1</v>
      </c>
      <c r="M1137" s="593">
        <f t="shared" si="72"/>
        <v>2990.3649999999998</v>
      </c>
      <c r="N1137" s="589" t="s">
        <v>251</v>
      </c>
      <c r="O1137" s="594">
        <v>45395</v>
      </c>
      <c r="P1137" s="593">
        <f t="shared" si="73"/>
        <v>-115</v>
      </c>
      <c r="Q1137" s="594">
        <v>45510</v>
      </c>
      <c r="R1137" s="593">
        <f t="shared" ca="1" si="74"/>
        <v>-69</v>
      </c>
      <c r="S1137" s="589" t="str">
        <f>VLOOKUP(Q1137,Mapping!L:M,2,0)</f>
        <v>W32_2024</v>
      </c>
      <c r="T1137" s="589" t="str">
        <f t="shared" ca="1" si="75"/>
        <v>Not Due</v>
      </c>
      <c r="W1137" s="591"/>
    </row>
    <row r="1138" spans="1:23" s="589" customFormat="1" x14ac:dyDescent="0.2">
      <c r="A1138" s="589" t="s">
        <v>56</v>
      </c>
      <c r="B1138" s="589" t="s">
        <v>3406</v>
      </c>
      <c r="C1138" s="590" t="s">
        <v>3484</v>
      </c>
      <c r="D1138" s="589" t="s">
        <v>100</v>
      </c>
      <c r="E1138" s="589" t="s">
        <v>104</v>
      </c>
      <c r="F1138" s="589" t="s">
        <v>112</v>
      </c>
      <c r="G1138" s="589" t="s">
        <v>51</v>
      </c>
      <c r="H1138" s="589" t="s">
        <v>242</v>
      </c>
      <c r="I1138" s="589" t="s">
        <v>3643</v>
      </c>
      <c r="J1138" s="589" t="s">
        <v>35</v>
      </c>
      <c r="K1138" s="591">
        <v>4000</v>
      </c>
      <c r="L1138" s="592">
        <f>IF(J1138="TND",1,IF(J1138="EUR",Vertical_Cash_flow!$C$16,IF(J1138="USD",Vertical_Cash_flow!$F$16,0)))</f>
        <v>1</v>
      </c>
      <c r="M1138" s="593">
        <f t="shared" si="72"/>
        <v>4000</v>
      </c>
      <c r="N1138" s="589" t="s">
        <v>251</v>
      </c>
      <c r="O1138" s="594">
        <v>45427</v>
      </c>
      <c r="P1138" s="593">
        <f t="shared" si="73"/>
        <v>-83</v>
      </c>
      <c r="Q1138" s="594">
        <v>45510</v>
      </c>
      <c r="R1138" s="593">
        <f t="shared" ca="1" si="74"/>
        <v>-69</v>
      </c>
      <c r="S1138" s="589" t="str">
        <f>VLOOKUP(Q1138,Mapping!L:M,2,0)</f>
        <v>W32_2024</v>
      </c>
      <c r="T1138" s="589" t="str">
        <f t="shared" ca="1" si="75"/>
        <v>Not Due</v>
      </c>
      <c r="W1138" s="591"/>
    </row>
    <row r="1139" spans="1:23" s="589" customFormat="1" x14ac:dyDescent="0.2">
      <c r="A1139" s="589" t="s">
        <v>56</v>
      </c>
      <c r="B1139" s="589" t="s">
        <v>274</v>
      </c>
      <c r="C1139" s="590" t="s">
        <v>1519</v>
      </c>
      <c r="D1139" s="589" t="s">
        <v>100</v>
      </c>
      <c r="E1139" s="589" t="s">
        <v>104</v>
      </c>
      <c r="F1139" s="589" t="s">
        <v>112</v>
      </c>
      <c r="G1139" s="589" t="s">
        <v>51</v>
      </c>
      <c r="H1139" s="589" t="s">
        <v>242</v>
      </c>
      <c r="I1139" s="589" t="s">
        <v>1930</v>
      </c>
      <c r="J1139" s="589" t="s">
        <v>35</v>
      </c>
      <c r="K1139" s="591">
        <v>658.14200000000005</v>
      </c>
      <c r="L1139" s="592">
        <f>IF(J1139="TND",1,IF(J1139="EUR",Vertical_Cash_flow!$C$16,IF(J1139="USD",Vertical_Cash_flow!$F$16,0)))</f>
        <v>1</v>
      </c>
      <c r="M1139" s="593">
        <f t="shared" si="72"/>
        <v>658.14200000000005</v>
      </c>
      <c r="N1139" s="589" t="s">
        <v>251</v>
      </c>
      <c r="O1139" s="594">
        <v>45376</v>
      </c>
      <c r="P1139" s="593">
        <f t="shared" si="73"/>
        <v>-135</v>
      </c>
      <c r="Q1139" s="594">
        <v>45511</v>
      </c>
      <c r="R1139" s="593">
        <f t="shared" ca="1" si="74"/>
        <v>-70</v>
      </c>
      <c r="S1139" s="589" t="str">
        <f>VLOOKUP(Q1139,Mapping!L:M,2,0)</f>
        <v>W32_2024</v>
      </c>
      <c r="T1139" s="589" t="str">
        <f t="shared" ca="1" si="75"/>
        <v>Not Due</v>
      </c>
      <c r="W1139" s="591"/>
    </row>
    <row r="1140" spans="1:23" s="589" customFormat="1" x14ac:dyDescent="0.2">
      <c r="A1140" s="589" t="s">
        <v>56</v>
      </c>
      <c r="B1140" s="589" t="s">
        <v>2335</v>
      </c>
      <c r="C1140" s="590" t="s">
        <v>2363</v>
      </c>
      <c r="D1140" s="589" t="s">
        <v>100</v>
      </c>
      <c r="E1140" s="589" t="s">
        <v>104</v>
      </c>
      <c r="F1140" s="589" t="s">
        <v>112</v>
      </c>
      <c r="G1140" s="589" t="s">
        <v>51</v>
      </c>
      <c r="H1140" s="589" t="s">
        <v>242</v>
      </c>
      <c r="I1140" s="589" t="s">
        <v>2696</v>
      </c>
      <c r="J1140" s="589" t="s">
        <v>35</v>
      </c>
      <c r="K1140" s="591">
        <v>2000</v>
      </c>
      <c r="L1140" s="592">
        <f>IF(J1140="TND",1,IF(J1140="EUR",Vertical_Cash_flow!$C$16,IF(J1140="USD",Vertical_Cash_flow!$F$16,0)))</f>
        <v>1</v>
      </c>
      <c r="M1140" s="593">
        <f t="shared" si="72"/>
        <v>2000</v>
      </c>
      <c r="N1140" s="589" t="s">
        <v>251</v>
      </c>
      <c r="O1140" s="594">
        <v>45407</v>
      </c>
      <c r="P1140" s="593">
        <f t="shared" si="73"/>
        <v>-104</v>
      </c>
      <c r="Q1140" s="594">
        <v>45511</v>
      </c>
      <c r="R1140" s="593">
        <f t="shared" ca="1" si="74"/>
        <v>-70</v>
      </c>
      <c r="S1140" s="589" t="str">
        <f>VLOOKUP(Q1140,Mapping!L:M,2,0)</f>
        <v>W32_2024</v>
      </c>
      <c r="T1140" s="589" t="str">
        <f t="shared" ca="1" si="75"/>
        <v>Not Due</v>
      </c>
      <c r="W1140" s="591"/>
    </row>
    <row r="1141" spans="1:23" s="589" customFormat="1" x14ac:dyDescent="0.2">
      <c r="A1141" s="589" t="s">
        <v>56</v>
      </c>
      <c r="B1141" s="589" t="s">
        <v>1048</v>
      </c>
      <c r="C1141" s="590" t="s">
        <v>3098</v>
      </c>
      <c r="D1141" s="589" t="s">
        <v>100</v>
      </c>
      <c r="E1141" s="589" t="s">
        <v>104</v>
      </c>
      <c r="F1141" s="589" t="s">
        <v>112</v>
      </c>
      <c r="G1141" s="589" t="s">
        <v>51</v>
      </c>
      <c r="H1141" s="589" t="s">
        <v>242</v>
      </c>
      <c r="I1141" s="589" t="s">
        <v>2015</v>
      </c>
      <c r="J1141" s="589" t="s">
        <v>35</v>
      </c>
      <c r="K1141" s="591">
        <v>640</v>
      </c>
      <c r="L1141" s="592">
        <f>IF(J1141="TND",1,IF(J1141="EUR",Vertical_Cash_flow!$C$16,IF(J1141="USD",Vertical_Cash_flow!$F$16,0)))</f>
        <v>1</v>
      </c>
      <c r="M1141" s="593">
        <f t="shared" si="72"/>
        <v>640</v>
      </c>
      <c r="N1141" s="589" t="s">
        <v>251</v>
      </c>
      <c r="O1141" s="594">
        <v>45412</v>
      </c>
      <c r="P1141" s="593">
        <f t="shared" si="73"/>
        <v>-99</v>
      </c>
      <c r="Q1141" s="594">
        <v>45511</v>
      </c>
      <c r="R1141" s="593">
        <f t="shared" ca="1" si="74"/>
        <v>-70</v>
      </c>
      <c r="S1141" s="589" t="str">
        <f>VLOOKUP(Q1141,Mapping!L:M,2,0)</f>
        <v>W32_2024</v>
      </c>
      <c r="T1141" s="589" t="str">
        <f t="shared" ca="1" si="75"/>
        <v>Not Due</v>
      </c>
      <c r="W1141" s="591"/>
    </row>
    <row r="1142" spans="1:23" s="589" customFormat="1" x14ac:dyDescent="0.2">
      <c r="A1142" s="589" t="s">
        <v>56</v>
      </c>
      <c r="B1142" s="589" t="s">
        <v>274</v>
      </c>
      <c r="C1142" s="590" t="s">
        <v>1518</v>
      </c>
      <c r="D1142" s="589" t="s">
        <v>100</v>
      </c>
      <c r="E1142" s="589" t="s">
        <v>104</v>
      </c>
      <c r="F1142" s="589" t="s">
        <v>112</v>
      </c>
      <c r="G1142" s="589" t="s">
        <v>51</v>
      </c>
      <c r="H1142" s="589" t="s">
        <v>242</v>
      </c>
      <c r="I1142" s="589" t="s">
        <v>1929</v>
      </c>
      <c r="J1142" s="589" t="s">
        <v>35</v>
      </c>
      <c r="K1142" s="591">
        <v>830</v>
      </c>
      <c r="L1142" s="592">
        <f>IF(J1142="TND",1,IF(J1142="EUR",Vertical_Cash_flow!$C$16,IF(J1142="USD",Vertical_Cash_flow!$F$16,0)))</f>
        <v>1</v>
      </c>
      <c r="M1142" s="593">
        <f t="shared" si="72"/>
        <v>830</v>
      </c>
      <c r="N1142" s="589" t="s">
        <v>251</v>
      </c>
      <c r="O1142" s="594">
        <v>45376</v>
      </c>
      <c r="P1142" s="593">
        <f t="shared" si="73"/>
        <v>-136</v>
      </c>
      <c r="Q1142" s="594">
        <v>45512</v>
      </c>
      <c r="R1142" s="593">
        <f t="shared" ca="1" si="74"/>
        <v>-71</v>
      </c>
      <c r="S1142" s="589" t="str">
        <f>VLOOKUP(Q1142,Mapping!L:M,2,0)</f>
        <v>W32_2024</v>
      </c>
      <c r="T1142" s="589" t="str">
        <f t="shared" ca="1" si="75"/>
        <v>Not Due</v>
      </c>
      <c r="W1142" s="591"/>
    </row>
    <row r="1143" spans="1:23" s="589" customFormat="1" x14ac:dyDescent="0.2">
      <c r="A1143" s="589" t="s">
        <v>56</v>
      </c>
      <c r="B1143" s="589" t="s">
        <v>288</v>
      </c>
      <c r="C1143" s="590" t="s">
        <v>3096</v>
      </c>
      <c r="D1143" s="589" t="s">
        <v>100</v>
      </c>
      <c r="E1143" s="589" t="s">
        <v>104</v>
      </c>
      <c r="F1143" s="589" t="s">
        <v>112</v>
      </c>
      <c r="G1143" s="589" t="s">
        <v>51</v>
      </c>
      <c r="H1143" s="589" t="s">
        <v>242</v>
      </c>
      <c r="I1143" s="589" t="s">
        <v>3289</v>
      </c>
      <c r="J1143" s="589" t="s">
        <v>35</v>
      </c>
      <c r="K1143" s="591">
        <v>730</v>
      </c>
      <c r="L1143" s="592">
        <f>IF(J1143="TND",1,IF(J1143="EUR",Vertical_Cash_flow!$C$16,IF(J1143="USD",Vertical_Cash_flow!$F$16,0)))</f>
        <v>1</v>
      </c>
      <c r="M1143" s="593">
        <f t="shared" si="72"/>
        <v>730</v>
      </c>
      <c r="N1143" s="589" t="s">
        <v>251</v>
      </c>
      <c r="O1143" s="594">
        <v>45414</v>
      </c>
      <c r="P1143" s="593">
        <f t="shared" si="73"/>
        <v>-98</v>
      </c>
      <c r="Q1143" s="594">
        <v>45512</v>
      </c>
      <c r="R1143" s="593">
        <f t="shared" ca="1" si="74"/>
        <v>-71</v>
      </c>
      <c r="S1143" s="589" t="str">
        <f>VLOOKUP(Q1143,Mapping!L:M,2,0)</f>
        <v>W32_2024</v>
      </c>
      <c r="T1143" s="589" t="str">
        <f t="shared" ca="1" si="75"/>
        <v>Not Due</v>
      </c>
      <c r="W1143" s="591"/>
    </row>
    <row r="1144" spans="1:23" s="589" customFormat="1" x14ac:dyDescent="0.2">
      <c r="A1144" s="589" t="s">
        <v>56</v>
      </c>
      <c r="B1144" s="589" t="s">
        <v>520</v>
      </c>
      <c r="C1144" s="590" t="s">
        <v>3097</v>
      </c>
      <c r="D1144" s="589" t="s">
        <v>100</v>
      </c>
      <c r="E1144" s="589" t="s">
        <v>104</v>
      </c>
      <c r="F1144" s="589" t="s">
        <v>112</v>
      </c>
      <c r="G1144" s="589" t="s">
        <v>51</v>
      </c>
      <c r="H1144" s="589" t="s">
        <v>242</v>
      </c>
      <c r="I1144" s="589" t="s">
        <v>3290</v>
      </c>
      <c r="J1144" s="589" t="s">
        <v>35</v>
      </c>
      <c r="K1144" s="591">
        <v>2460.5349999999999</v>
      </c>
      <c r="L1144" s="592">
        <f>IF(J1144="TND",1,IF(J1144="EUR",Vertical_Cash_flow!$C$16,IF(J1144="USD",Vertical_Cash_flow!$F$16,0)))</f>
        <v>1</v>
      </c>
      <c r="M1144" s="593">
        <f t="shared" si="72"/>
        <v>2460.5349999999999</v>
      </c>
      <c r="N1144" s="589" t="s">
        <v>251</v>
      </c>
      <c r="O1144" s="594">
        <v>45411</v>
      </c>
      <c r="P1144" s="593">
        <f t="shared" si="73"/>
        <v>-101</v>
      </c>
      <c r="Q1144" s="594">
        <v>45512</v>
      </c>
      <c r="R1144" s="593">
        <f t="shared" ca="1" si="74"/>
        <v>-71</v>
      </c>
      <c r="S1144" s="589" t="str">
        <f>VLOOKUP(Q1144,Mapping!L:M,2,0)</f>
        <v>W32_2024</v>
      </c>
      <c r="T1144" s="589" t="str">
        <f t="shared" ca="1" si="75"/>
        <v>Not Due</v>
      </c>
      <c r="W1144" s="591"/>
    </row>
    <row r="1145" spans="1:23" s="589" customFormat="1" x14ac:dyDescent="0.2">
      <c r="A1145" s="589" t="s">
        <v>56</v>
      </c>
      <c r="B1145" s="589" t="s">
        <v>481</v>
      </c>
      <c r="C1145" s="590" t="s">
        <v>3095</v>
      </c>
      <c r="D1145" s="589" t="s">
        <v>100</v>
      </c>
      <c r="E1145" s="589" t="s">
        <v>104</v>
      </c>
      <c r="F1145" s="589" t="s">
        <v>112</v>
      </c>
      <c r="G1145" s="589" t="s">
        <v>51</v>
      </c>
      <c r="H1145" s="589" t="s">
        <v>242</v>
      </c>
      <c r="I1145" s="589" t="s">
        <v>3288</v>
      </c>
      <c r="J1145" s="589" t="s">
        <v>35</v>
      </c>
      <c r="K1145" s="591">
        <v>5570</v>
      </c>
      <c r="L1145" s="592">
        <f>IF(J1145="TND",1,IF(J1145="EUR",Vertical_Cash_flow!$C$16,IF(J1145="USD",Vertical_Cash_flow!$F$16,0)))</f>
        <v>1</v>
      </c>
      <c r="M1145" s="593">
        <f t="shared" si="72"/>
        <v>5570</v>
      </c>
      <c r="N1145" s="589" t="s">
        <v>251</v>
      </c>
      <c r="O1145" s="594">
        <v>45412</v>
      </c>
      <c r="P1145" s="593">
        <f t="shared" si="73"/>
        <v>-100</v>
      </c>
      <c r="Q1145" s="594">
        <v>45512</v>
      </c>
      <c r="R1145" s="593">
        <f t="shared" ca="1" si="74"/>
        <v>-71</v>
      </c>
      <c r="S1145" s="589" t="str">
        <f>VLOOKUP(Q1145,Mapping!L:M,2,0)</f>
        <v>W32_2024</v>
      </c>
      <c r="T1145" s="589" t="str">
        <f t="shared" ca="1" si="75"/>
        <v>Not Due</v>
      </c>
      <c r="W1145" s="591"/>
    </row>
    <row r="1146" spans="1:23" s="589" customFormat="1" x14ac:dyDescent="0.2">
      <c r="A1146" s="589" t="s">
        <v>56</v>
      </c>
      <c r="B1146" s="589" t="s">
        <v>810</v>
      </c>
      <c r="C1146" s="590" t="s">
        <v>3094</v>
      </c>
      <c r="D1146" s="589" t="s">
        <v>100</v>
      </c>
      <c r="E1146" s="589" t="s">
        <v>104</v>
      </c>
      <c r="F1146" s="589" t="s">
        <v>112</v>
      </c>
      <c r="G1146" s="589" t="s">
        <v>51</v>
      </c>
      <c r="H1146" s="589" t="s">
        <v>242</v>
      </c>
      <c r="I1146" s="589" t="s">
        <v>3287</v>
      </c>
      <c r="J1146" s="589" t="s">
        <v>35</v>
      </c>
      <c r="K1146" s="591">
        <v>3500</v>
      </c>
      <c r="L1146" s="592">
        <f>IF(J1146="TND",1,IF(J1146="EUR",Vertical_Cash_flow!$C$16,IF(J1146="USD",Vertical_Cash_flow!$F$16,0)))</f>
        <v>1</v>
      </c>
      <c r="M1146" s="593">
        <f t="shared" si="72"/>
        <v>3500</v>
      </c>
      <c r="N1146" s="589" t="s">
        <v>251</v>
      </c>
      <c r="O1146" s="594">
        <v>45418</v>
      </c>
      <c r="P1146" s="593">
        <f t="shared" si="73"/>
        <v>-94</v>
      </c>
      <c r="Q1146" s="594">
        <v>45512</v>
      </c>
      <c r="R1146" s="593">
        <f t="shared" ca="1" si="74"/>
        <v>-71</v>
      </c>
      <c r="S1146" s="589" t="str">
        <f>VLOOKUP(Q1146,Mapping!L:M,2,0)</f>
        <v>W32_2024</v>
      </c>
      <c r="T1146" s="589" t="str">
        <f t="shared" ca="1" si="75"/>
        <v>Not Due</v>
      </c>
      <c r="W1146" s="591"/>
    </row>
    <row r="1147" spans="1:23" s="589" customFormat="1" x14ac:dyDescent="0.2">
      <c r="A1147" s="589" t="s">
        <v>56</v>
      </c>
      <c r="B1147" s="589" t="s">
        <v>274</v>
      </c>
      <c r="C1147" s="590" t="s">
        <v>1517</v>
      </c>
      <c r="D1147" s="589" t="s">
        <v>100</v>
      </c>
      <c r="E1147" s="589" t="s">
        <v>104</v>
      </c>
      <c r="F1147" s="589" t="s">
        <v>112</v>
      </c>
      <c r="G1147" s="589" t="s">
        <v>51</v>
      </c>
      <c r="H1147" s="589" t="s">
        <v>242</v>
      </c>
      <c r="I1147" s="589" t="s">
        <v>1928</v>
      </c>
      <c r="J1147" s="589" t="s">
        <v>35</v>
      </c>
      <c r="K1147" s="591">
        <v>835</v>
      </c>
      <c r="L1147" s="592">
        <f>IF(J1147="TND",1,IF(J1147="EUR",Vertical_Cash_flow!$C$16,IF(J1147="USD",Vertical_Cash_flow!$F$16,0)))</f>
        <v>1</v>
      </c>
      <c r="M1147" s="593">
        <f t="shared" si="72"/>
        <v>835</v>
      </c>
      <c r="N1147" s="589" t="s">
        <v>251</v>
      </c>
      <c r="O1147" s="594">
        <v>45376</v>
      </c>
      <c r="P1147" s="593">
        <f t="shared" si="73"/>
        <v>-137</v>
      </c>
      <c r="Q1147" s="594">
        <v>45513</v>
      </c>
      <c r="R1147" s="593">
        <f t="shared" ca="1" si="74"/>
        <v>-72</v>
      </c>
      <c r="S1147" s="589" t="str">
        <f>VLOOKUP(Q1147,Mapping!L:M,2,0)</f>
        <v>W32_2024</v>
      </c>
      <c r="T1147" s="589" t="str">
        <f t="shared" ca="1" si="75"/>
        <v>Not Due</v>
      </c>
      <c r="W1147" s="591"/>
    </row>
    <row r="1148" spans="1:23" s="589" customFormat="1" x14ac:dyDescent="0.2">
      <c r="A1148" s="589" t="s">
        <v>56</v>
      </c>
      <c r="B1148" s="589" t="s">
        <v>285</v>
      </c>
      <c r="C1148" s="590" t="s">
        <v>3483</v>
      </c>
      <c r="D1148" s="589" t="s">
        <v>100</v>
      </c>
      <c r="E1148" s="589" t="s">
        <v>104</v>
      </c>
      <c r="F1148" s="589" t="s">
        <v>112</v>
      </c>
      <c r="G1148" s="589" t="s">
        <v>51</v>
      </c>
      <c r="H1148" s="589" t="s">
        <v>242</v>
      </c>
      <c r="I1148" s="589" t="s">
        <v>3642</v>
      </c>
      <c r="J1148" s="589" t="s">
        <v>35</v>
      </c>
      <c r="K1148" s="591">
        <v>887.43899999999996</v>
      </c>
      <c r="L1148" s="592">
        <f>IF(J1148="TND",1,IF(J1148="EUR",Vertical_Cash_flow!$C$16,IF(J1148="USD",Vertical_Cash_flow!$F$16,0)))</f>
        <v>1</v>
      </c>
      <c r="M1148" s="593">
        <f t="shared" si="72"/>
        <v>887.43899999999996</v>
      </c>
      <c r="N1148" s="589" t="s">
        <v>251</v>
      </c>
      <c r="O1148" s="594">
        <v>45422</v>
      </c>
      <c r="P1148" s="593">
        <f t="shared" si="73"/>
        <v>-91</v>
      </c>
      <c r="Q1148" s="594">
        <v>45513</v>
      </c>
      <c r="R1148" s="593">
        <f t="shared" ca="1" si="74"/>
        <v>-72</v>
      </c>
      <c r="S1148" s="589" t="str">
        <f>VLOOKUP(Q1148,Mapping!L:M,2,0)</f>
        <v>W32_2024</v>
      </c>
      <c r="T1148" s="589" t="str">
        <f t="shared" ca="1" si="75"/>
        <v>Not Due</v>
      </c>
      <c r="W1148" s="591"/>
    </row>
    <row r="1149" spans="1:23" s="589" customFormat="1" x14ac:dyDescent="0.2">
      <c r="A1149" s="589" t="s">
        <v>56</v>
      </c>
      <c r="B1149" s="589" t="s">
        <v>1247</v>
      </c>
      <c r="C1149" s="590" t="s">
        <v>3482</v>
      </c>
      <c r="D1149" s="589" t="s">
        <v>100</v>
      </c>
      <c r="E1149" s="589" t="s">
        <v>104</v>
      </c>
      <c r="F1149" s="589" t="s">
        <v>112</v>
      </c>
      <c r="G1149" s="589" t="s">
        <v>51</v>
      </c>
      <c r="H1149" s="589" t="s">
        <v>242</v>
      </c>
      <c r="I1149" s="589" t="s">
        <v>3641</v>
      </c>
      <c r="J1149" s="589" t="s">
        <v>35</v>
      </c>
      <c r="K1149" s="591">
        <v>3243.8780000000002</v>
      </c>
      <c r="L1149" s="592">
        <f>IF(J1149="TND",1,IF(J1149="EUR",Vertical_Cash_flow!$C$16,IF(J1149="USD",Vertical_Cash_flow!$F$16,0)))</f>
        <v>1</v>
      </c>
      <c r="M1149" s="593">
        <f t="shared" si="72"/>
        <v>3243.8780000000002</v>
      </c>
      <c r="N1149" s="589" t="s">
        <v>251</v>
      </c>
      <c r="O1149" s="594">
        <v>45427</v>
      </c>
      <c r="P1149" s="593">
        <f t="shared" si="73"/>
        <v>-86</v>
      </c>
      <c r="Q1149" s="594">
        <v>45513</v>
      </c>
      <c r="R1149" s="593">
        <f t="shared" ca="1" si="74"/>
        <v>-72</v>
      </c>
      <c r="S1149" s="589" t="str">
        <f>VLOOKUP(Q1149,Mapping!L:M,2,0)</f>
        <v>W32_2024</v>
      </c>
      <c r="T1149" s="589" t="str">
        <f t="shared" ca="1" si="75"/>
        <v>Not Due</v>
      </c>
      <c r="W1149" s="591"/>
    </row>
    <row r="1150" spans="1:23" s="589" customFormat="1" x14ac:dyDescent="0.2">
      <c r="A1150" s="589" t="s">
        <v>56</v>
      </c>
      <c r="B1150" s="589" t="s">
        <v>498</v>
      </c>
      <c r="C1150" s="590" t="s">
        <v>1516</v>
      </c>
      <c r="D1150" s="589" t="s">
        <v>100</v>
      </c>
      <c r="E1150" s="589" t="s">
        <v>104</v>
      </c>
      <c r="F1150" s="589" t="s">
        <v>112</v>
      </c>
      <c r="G1150" s="589" t="s">
        <v>51</v>
      </c>
      <c r="H1150" s="589" t="s">
        <v>242</v>
      </c>
      <c r="I1150" s="589" t="s">
        <v>1927</v>
      </c>
      <c r="J1150" s="589" t="s">
        <v>35</v>
      </c>
      <c r="K1150" s="591">
        <v>7052</v>
      </c>
      <c r="L1150" s="592">
        <f>IF(J1150="TND",1,IF(J1150="EUR",Vertical_Cash_flow!$C$16,IF(J1150="USD",Vertical_Cash_flow!$F$16,0)))</f>
        <v>1</v>
      </c>
      <c r="M1150" s="593">
        <f t="shared" si="72"/>
        <v>7052</v>
      </c>
      <c r="N1150" s="589" t="s">
        <v>251</v>
      </c>
      <c r="O1150" s="594">
        <v>45377</v>
      </c>
      <c r="P1150" s="593">
        <f t="shared" si="73"/>
        <v>-136</v>
      </c>
      <c r="Q1150" s="594">
        <v>45513</v>
      </c>
      <c r="R1150" s="593">
        <f t="shared" ca="1" si="74"/>
        <v>-72</v>
      </c>
      <c r="S1150" s="589" t="str">
        <f>VLOOKUP(Q1150,Mapping!L:M,2,0)</f>
        <v>W32_2024</v>
      </c>
      <c r="T1150" s="589" t="str">
        <f t="shared" ca="1" si="75"/>
        <v>Not Due</v>
      </c>
      <c r="W1150" s="591"/>
    </row>
    <row r="1151" spans="1:23" s="589" customFormat="1" x14ac:dyDescent="0.2">
      <c r="A1151" s="589" t="s">
        <v>56</v>
      </c>
      <c r="B1151" s="589" t="s">
        <v>371</v>
      </c>
      <c r="C1151" s="590" t="s">
        <v>3481</v>
      </c>
      <c r="D1151" s="589" t="s">
        <v>100</v>
      </c>
      <c r="E1151" s="589" t="s">
        <v>104</v>
      </c>
      <c r="F1151" s="589" t="s">
        <v>112</v>
      </c>
      <c r="G1151" s="589" t="s">
        <v>51</v>
      </c>
      <c r="H1151" s="589" t="s">
        <v>242</v>
      </c>
      <c r="I1151" s="589" t="s">
        <v>3640</v>
      </c>
      <c r="J1151" s="589" t="s">
        <v>35</v>
      </c>
      <c r="K1151" s="591">
        <v>560.04200000000003</v>
      </c>
      <c r="L1151" s="592">
        <f>IF(J1151="TND",1,IF(J1151="EUR",Vertical_Cash_flow!$C$16,IF(J1151="USD",Vertical_Cash_flow!$F$16,0)))</f>
        <v>1</v>
      </c>
      <c r="M1151" s="593">
        <f t="shared" si="72"/>
        <v>560.04200000000003</v>
      </c>
      <c r="N1151" s="589" t="s">
        <v>251</v>
      </c>
      <c r="O1151" s="594">
        <v>45422</v>
      </c>
      <c r="P1151" s="593">
        <f t="shared" si="73"/>
        <v>-91</v>
      </c>
      <c r="Q1151" s="594">
        <v>45513</v>
      </c>
      <c r="R1151" s="593">
        <f t="shared" ca="1" si="74"/>
        <v>-72</v>
      </c>
      <c r="S1151" s="589" t="str">
        <f>VLOOKUP(Q1151,Mapping!L:M,2,0)</f>
        <v>W32_2024</v>
      </c>
      <c r="T1151" s="589" t="str">
        <f t="shared" ca="1" si="75"/>
        <v>Not Due</v>
      </c>
      <c r="W1151" s="591"/>
    </row>
    <row r="1152" spans="1:23" s="589" customFormat="1" x14ac:dyDescent="0.2">
      <c r="A1152" s="589" t="s">
        <v>56</v>
      </c>
      <c r="B1152" s="589" t="s">
        <v>537</v>
      </c>
      <c r="C1152" s="590" t="s">
        <v>3093</v>
      </c>
      <c r="D1152" s="589" t="s">
        <v>100</v>
      </c>
      <c r="E1152" s="589" t="s">
        <v>104</v>
      </c>
      <c r="F1152" s="589" t="s">
        <v>112</v>
      </c>
      <c r="G1152" s="589" t="s">
        <v>51</v>
      </c>
      <c r="H1152" s="589" t="s">
        <v>242</v>
      </c>
      <c r="I1152" s="589" t="s">
        <v>1983</v>
      </c>
      <c r="J1152" s="589" t="s">
        <v>35</v>
      </c>
      <c r="K1152" s="591">
        <v>7883.8459999999995</v>
      </c>
      <c r="L1152" s="592">
        <f>IF(J1152="TND",1,IF(J1152="EUR",Vertical_Cash_flow!$C$16,IF(J1152="USD",Vertical_Cash_flow!$F$16,0)))</f>
        <v>1</v>
      </c>
      <c r="M1152" s="593">
        <f t="shared" si="72"/>
        <v>7883.8459999999995</v>
      </c>
      <c r="N1152" s="589" t="s">
        <v>251</v>
      </c>
      <c r="O1152" s="594">
        <v>45412</v>
      </c>
      <c r="P1152" s="593">
        <f t="shared" si="73"/>
        <v>-102</v>
      </c>
      <c r="Q1152" s="594">
        <v>45514</v>
      </c>
      <c r="R1152" s="593">
        <f t="shared" ca="1" si="74"/>
        <v>-73</v>
      </c>
      <c r="S1152" s="589" t="str">
        <f>VLOOKUP(Q1152,Mapping!L:M,2,0)</f>
        <v>W33_2024</v>
      </c>
      <c r="T1152" s="589" t="str">
        <f t="shared" ca="1" si="75"/>
        <v>Not Due</v>
      </c>
      <c r="W1152" s="591"/>
    </row>
    <row r="1153" spans="1:23" s="589" customFormat="1" x14ac:dyDescent="0.2">
      <c r="A1153" s="589" t="s">
        <v>56</v>
      </c>
      <c r="B1153" s="589" t="s">
        <v>274</v>
      </c>
      <c r="C1153" s="590" t="s">
        <v>1515</v>
      </c>
      <c r="D1153" s="589" t="s">
        <v>100</v>
      </c>
      <c r="E1153" s="589" t="s">
        <v>104</v>
      </c>
      <c r="F1153" s="589" t="s">
        <v>112</v>
      </c>
      <c r="G1153" s="589" t="s">
        <v>51</v>
      </c>
      <c r="H1153" s="589" t="s">
        <v>242</v>
      </c>
      <c r="I1153" s="589" t="s">
        <v>1926</v>
      </c>
      <c r="J1153" s="589" t="s">
        <v>35</v>
      </c>
      <c r="K1153" s="591">
        <v>840</v>
      </c>
      <c r="L1153" s="592">
        <f>IF(J1153="TND",1,IF(J1153="EUR",Vertical_Cash_flow!$C$16,IF(J1153="USD",Vertical_Cash_flow!$F$16,0)))</f>
        <v>1</v>
      </c>
      <c r="M1153" s="593">
        <f t="shared" si="72"/>
        <v>840</v>
      </c>
      <c r="N1153" s="589" t="s">
        <v>251</v>
      </c>
      <c r="O1153" s="594">
        <v>45376</v>
      </c>
      <c r="P1153" s="593">
        <f t="shared" si="73"/>
        <v>-138</v>
      </c>
      <c r="Q1153" s="594">
        <v>45514</v>
      </c>
      <c r="R1153" s="593">
        <f t="shared" ca="1" si="74"/>
        <v>-73</v>
      </c>
      <c r="S1153" s="589" t="str">
        <f>VLOOKUP(Q1153,Mapping!L:M,2,0)</f>
        <v>W33_2024</v>
      </c>
      <c r="T1153" s="589" t="str">
        <f t="shared" ca="1" si="75"/>
        <v>Not Due</v>
      </c>
      <c r="W1153" s="591"/>
    </row>
    <row r="1154" spans="1:23" s="589" customFormat="1" x14ac:dyDescent="0.2">
      <c r="A1154" s="589" t="s">
        <v>56</v>
      </c>
      <c r="B1154" s="589" t="s">
        <v>353</v>
      </c>
      <c r="C1154" s="590" t="s">
        <v>2362</v>
      </c>
      <c r="D1154" s="589" t="s">
        <v>100</v>
      </c>
      <c r="E1154" s="589" t="s">
        <v>104</v>
      </c>
      <c r="F1154" s="589" t="s">
        <v>112</v>
      </c>
      <c r="G1154" s="589" t="s">
        <v>51</v>
      </c>
      <c r="H1154" s="589" t="s">
        <v>242</v>
      </c>
      <c r="I1154" s="589" t="s">
        <v>2695</v>
      </c>
      <c r="J1154" s="589" t="s">
        <v>35</v>
      </c>
      <c r="K1154" s="591">
        <v>889.83100000000002</v>
      </c>
      <c r="L1154" s="592">
        <f>IF(J1154="TND",1,IF(J1154="EUR",Vertical_Cash_flow!$C$16,IF(J1154="USD",Vertical_Cash_flow!$F$16,0)))</f>
        <v>1</v>
      </c>
      <c r="M1154" s="593">
        <f t="shared" si="72"/>
        <v>889.83100000000002</v>
      </c>
      <c r="N1154" s="589" t="s">
        <v>251</v>
      </c>
      <c r="O1154" s="594">
        <v>45405</v>
      </c>
      <c r="P1154" s="593">
        <f t="shared" si="73"/>
        <v>-109</v>
      </c>
      <c r="Q1154" s="594">
        <v>45514</v>
      </c>
      <c r="R1154" s="593">
        <f t="shared" ca="1" si="74"/>
        <v>-73</v>
      </c>
      <c r="S1154" s="589" t="str">
        <f>VLOOKUP(Q1154,Mapping!L:M,2,0)</f>
        <v>W33_2024</v>
      </c>
      <c r="T1154" s="589" t="str">
        <f t="shared" ca="1" si="75"/>
        <v>Not Due</v>
      </c>
      <c r="W1154" s="591"/>
    </row>
    <row r="1155" spans="1:23" s="589" customFormat="1" x14ac:dyDescent="0.2">
      <c r="A1155" s="589" t="s">
        <v>56</v>
      </c>
      <c r="B1155" s="589" t="s">
        <v>294</v>
      </c>
      <c r="C1155" s="590" t="s">
        <v>3480</v>
      </c>
      <c r="D1155" s="589" t="s">
        <v>100</v>
      </c>
      <c r="E1155" s="589" t="s">
        <v>104</v>
      </c>
      <c r="F1155" s="589" t="s">
        <v>112</v>
      </c>
      <c r="G1155" s="589" t="s">
        <v>51</v>
      </c>
      <c r="H1155" s="589" t="s">
        <v>242</v>
      </c>
      <c r="I1155" s="589" t="s">
        <v>3639</v>
      </c>
      <c r="J1155" s="589" t="s">
        <v>35</v>
      </c>
      <c r="K1155" s="591">
        <v>1134.0360000000001</v>
      </c>
      <c r="L1155" s="592">
        <f>IF(J1155="TND",1,IF(J1155="EUR",Vertical_Cash_flow!$C$16,IF(J1155="USD",Vertical_Cash_flow!$F$16,0)))</f>
        <v>1</v>
      </c>
      <c r="M1155" s="593">
        <f t="shared" si="72"/>
        <v>1134.0360000000001</v>
      </c>
      <c r="N1155" s="589" t="s">
        <v>251</v>
      </c>
      <c r="O1155" s="594">
        <v>45430</v>
      </c>
      <c r="P1155" s="593">
        <f t="shared" si="73"/>
        <v>-84</v>
      </c>
      <c r="Q1155" s="594">
        <v>45514</v>
      </c>
      <c r="R1155" s="593">
        <f t="shared" ca="1" si="74"/>
        <v>-73</v>
      </c>
      <c r="S1155" s="589" t="str">
        <f>VLOOKUP(Q1155,Mapping!L:M,2,0)</f>
        <v>W33_2024</v>
      </c>
      <c r="T1155" s="589" t="str">
        <f t="shared" ca="1" si="75"/>
        <v>Not Due</v>
      </c>
      <c r="W1155" s="591"/>
    </row>
    <row r="1156" spans="1:23" s="589" customFormat="1" x14ac:dyDescent="0.2">
      <c r="A1156" s="589" t="s">
        <v>56</v>
      </c>
      <c r="B1156" s="589" t="s">
        <v>349</v>
      </c>
      <c r="C1156" s="590" t="s">
        <v>3092</v>
      </c>
      <c r="D1156" s="589" t="s">
        <v>100</v>
      </c>
      <c r="E1156" s="589" t="s">
        <v>104</v>
      </c>
      <c r="F1156" s="589" t="s">
        <v>112</v>
      </c>
      <c r="G1156" s="589" t="s">
        <v>51</v>
      </c>
      <c r="H1156" s="589" t="s">
        <v>242</v>
      </c>
      <c r="I1156" s="589" t="s">
        <v>3286</v>
      </c>
      <c r="J1156" s="589" t="s">
        <v>35</v>
      </c>
      <c r="K1156" s="591">
        <v>5000</v>
      </c>
      <c r="L1156" s="592">
        <f>IF(J1156="TND",1,IF(J1156="EUR",Vertical_Cash_flow!$C$16,IF(J1156="USD",Vertical_Cash_flow!$F$16,0)))</f>
        <v>1</v>
      </c>
      <c r="M1156" s="593">
        <f t="shared" si="72"/>
        <v>5000</v>
      </c>
      <c r="N1156" s="589" t="s">
        <v>251</v>
      </c>
      <c r="O1156" s="594">
        <v>45411</v>
      </c>
      <c r="P1156" s="593">
        <f t="shared" si="73"/>
        <v>-103</v>
      </c>
      <c r="Q1156" s="594">
        <v>45514</v>
      </c>
      <c r="R1156" s="593">
        <f t="shared" ca="1" si="74"/>
        <v>-73</v>
      </c>
      <c r="S1156" s="589" t="str">
        <f>VLOOKUP(Q1156,Mapping!L:M,2,0)</f>
        <v>W33_2024</v>
      </c>
      <c r="T1156" s="589" t="str">
        <f t="shared" ca="1" si="75"/>
        <v>Not Due</v>
      </c>
      <c r="W1156" s="591"/>
    </row>
    <row r="1157" spans="1:23" s="589" customFormat="1" x14ac:dyDescent="0.2">
      <c r="A1157" s="589" t="s">
        <v>56</v>
      </c>
      <c r="B1157" s="589" t="s">
        <v>392</v>
      </c>
      <c r="C1157" s="590" t="s">
        <v>991</v>
      </c>
      <c r="D1157" s="589" t="s">
        <v>100</v>
      </c>
      <c r="E1157" s="589" t="s">
        <v>104</v>
      </c>
      <c r="F1157" s="589" t="s">
        <v>112</v>
      </c>
      <c r="G1157" s="589" t="s">
        <v>51</v>
      </c>
      <c r="H1157" s="589" t="s">
        <v>242</v>
      </c>
      <c r="I1157" s="589" t="s">
        <v>1001</v>
      </c>
      <c r="J1157" s="589" t="s">
        <v>35</v>
      </c>
      <c r="K1157" s="591">
        <v>4044.6480000000001</v>
      </c>
      <c r="L1157" s="592">
        <f>IF(J1157="TND",1,IF(J1157="EUR",Vertical_Cash_flow!$C$16,IF(J1157="USD",Vertical_Cash_flow!$F$16,0)))</f>
        <v>1</v>
      </c>
      <c r="M1157" s="593">
        <f t="shared" si="72"/>
        <v>4044.6480000000001</v>
      </c>
      <c r="N1157" s="589" t="s">
        <v>251</v>
      </c>
      <c r="O1157" s="594">
        <v>45287</v>
      </c>
      <c r="P1157" s="593">
        <f t="shared" si="73"/>
        <v>-227</v>
      </c>
      <c r="Q1157" s="594">
        <v>45514</v>
      </c>
      <c r="R1157" s="593">
        <f t="shared" ca="1" si="74"/>
        <v>-73</v>
      </c>
      <c r="S1157" s="589" t="str">
        <f>VLOOKUP(Q1157,Mapping!L:M,2,0)</f>
        <v>W33_2024</v>
      </c>
      <c r="T1157" s="589" t="str">
        <f t="shared" ca="1" si="75"/>
        <v>Not Due</v>
      </c>
      <c r="W1157" s="591"/>
    </row>
    <row r="1158" spans="1:23" s="589" customFormat="1" x14ac:dyDescent="0.2">
      <c r="A1158" s="589" t="s">
        <v>56</v>
      </c>
      <c r="B1158" s="589" t="s">
        <v>344</v>
      </c>
      <c r="C1158" s="590" t="s">
        <v>3479</v>
      </c>
      <c r="D1158" s="589" t="s">
        <v>100</v>
      </c>
      <c r="E1158" s="589" t="s">
        <v>104</v>
      </c>
      <c r="F1158" s="589" t="s">
        <v>112</v>
      </c>
      <c r="G1158" s="589" t="s">
        <v>51</v>
      </c>
      <c r="H1158" s="589" t="s">
        <v>242</v>
      </c>
      <c r="I1158" s="589" t="s">
        <v>3638</v>
      </c>
      <c r="J1158" s="589" t="s">
        <v>35</v>
      </c>
      <c r="K1158" s="591">
        <v>1812.9670000000001</v>
      </c>
      <c r="L1158" s="592">
        <f>IF(J1158="TND",1,IF(J1158="EUR",Vertical_Cash_flow!$C$16,IF(J1158="USD",Vertical_Cash_flow!$F$16,0)))</f>
        <v>1</v>
      </c>
      <c r="M1158" s="593">
        <f t="shared" si="72"/>
        <v>1812.9670000000001</v>
      </c>
      <c r="N1158" s="589" t="s">
        <v>251</v>
      </c>
      <c r="O1158" s="594">
        <v>45423</v>
      </c>
      <c r="P1158" s="593">
        <f t="shared" si="73"/>
        <v>-91</v>
      </c>
      <c r="Q1158" s="594">
        <v>45514</v>
      </c>
      <c r="R1158" s="593">
        <f t="shared" ca="1" si="74"/>
        <v>-73</v>
      </c>
      <c r="S1158" s="589" t="str">
        <f>VLOOKUP(Q1158,Mapping!L:M,2,0)</f>
        <v>W33_2024</v>
      </c>
      <c r="T1158" s="589" t="str">
        <f t="shared" ca="1" si="75"/>
        <v>Not Due</v>
      </c>
      <c r="W1158" s="591"/>
    </row>
    <row r="1159" spans="1:23" s="589" customFormat="1" x14ac:dyDescent="0.2">
      <c r="A1159" s="589" t="s">
        <v>56</v>
      </c>
      <c r="B1159" s="589" t="s">
        <v>797</v>
      </c>
      <c r="C1159" s="590" t="s">
        <v>3478</v>
      </c>
      <c r="D1159" s="589" t="s">
        <v>100</v>
      </c>
      <c r="E1159" s="589" t="s">
        <v>104</v>
      </c>
      <c r="F1159" s="589" t="s">
        <v>112</v>
      </c>
      <c r="G1159" s="589" t="s">
        <v>51</v>
      </c>
      <c r="H1159" s="589" t="s">
        <v>242</v>
      </c>
      <c r="I1159" s="589" t="s">
        <v>3637</v>
      </c>
      <c r="J1159" s="589" t="s">
        <v>35</v>
      </c>
      <c r="K1159" s="591">
        <v>1113.722</v>
      </c>
      <c r="L1159" s="592">
        <f>IF(J1159="TND",1,IF(J1159="EUR",Vertical_Cash_flow!$C$16,IF(J1159="USD",Vertical_Cash_flow!$F$16,0)))</f>
        <v>1</v>
      </c>
      <c r="M1159" s="593">
        <f t="shared" si="72"/>
        <v>1113.722</v>
      </c>
      <c r="N1159" s="589" t="s">
        <v>251</v>
      </c>
      <c r="O1159" s="594">
        <v>45423</v>
      </c>
      <c r="P1159" s="593">
        <f t="shared" si="73"/>
        <v>-91</v>
      </c>
      <c r="Q1159" s="594">
        <v>45514</v>
      </c>
      <c r="R1159" s="593">
        <f t="shared" ca="1" si="74"/>
        <v>-73</v>
      </c>
      <c r="S1159" s="589" t="str">
        <f>VLOOKUP(Q1159,Mapping!L:M,2,0)</f>
        <v>W33_2024</v>
      </c>
      <c r="T1159" s="589" t="str">
        <f t="shared" ca="1" si="75"/>
        <v>Not Due</v>
      </c>
      <c r="W1159" s="591"/>
    </row>
    <row r="1160" spans="1:23" s="589" customFormat="1" x14ac:dyDescent="0.2">
      <c r="A1160" s="589" t="s">
        <v>56</v>
      </c>
      <c r="B1160" s="589" t="s">
        <v>386</v>
      </c>
      <c r="C1160" s="590" t="s">
        <v>1514</v>
      </c>
      <c r="D1160" s="589" t="s">
        <v>100</v>
      </c>
      <c r="E1160" s="589" t="s">
        <v>104</v>
      </c>
      <c r="F1160" s="589" t="s">
        <v>112</v>
      </c>
      <c r="G1160" s="589" t="s">
        <v>51</v>
      </c>
      <c r="H1160" s="589" t="s">
        <v>242</v>
      </c>
      <c r="I1160" s="589" t="s">
        <v>1925</v>
      </c>
      <c r="J1160" s="589" t="s">
        <v>35</v>
      </c>
      <c r="K1160" s="591">
        <v>3267.1239999999998</v>
      </c>
      <c r="L1160" s="592">
        <f>IF(J1160="TND",1,IF(J1160="EUR",Vertical_Cash_flow!$C$16,IF(J1160="USD",Vertical_Cash_flow!$F$16,0)))</f>
        <v>1</v>
      </c>
      <c r="M1160" s="593">
        <f t="shared" si="72"/>
        <v>3267.1239999999998</v>
      </c>
      <c r="N1160" s="589" t="s">
        <v>251</v>
      </c>
      <c r="O1160" s="594">
        <v>45373</v>
      </c>
      <c r="P1160" s="593">
        <f t="shared" si="73"/>
        <v>-141</v>
      </c>
      <c r="Q1160" s="594">
        <v>45514</v>
      </c>
      <c r="R1160" s="593">
        <f t="shared" ca="1" si="74"/>
        <v>-73</v>
      </c>
      <c r="S1160" s="589" t="str">
        <f>VLOOKUP(Q1160,Mapping!L:M,2,0)</f>
        <v>W33_2024</v>
      </c>
      <c r="T1160" s="589" t="str">
        <f t="shared" ca="1" si="75"/>
        <v>Not Due</v>
      </c>
      <c r="W1160" s="591"/>
    </row>
    <row r="1161" spans="1:23" s="589" customFormat="1" x14ac:dyDescent="0.2">
      <c r="A1161" s="589" t="s">
        <v>56</v>
      </c>
      <c r="B1161" s="589" t="s">
        <v>1244</v>
      </c>
      <c r="C1161" s="590" t="s">
        <v>3477</v>
      </c>
      <c r="D1161" s="589" t="s">
        <v>100</v>
      </c>
      <c r="E1161" s="589" t="s">
        <v>104</v>
      </c>
      <c r="F1161" s="589" t="s">
        <v>112</v>
      </c>
      <c r="G1161" s="589" t="s">
        <v>51</v>
      </c>
      <c r="H1161" s="589" t="s">
        <v>242</v>
      </c>
      <c r="I1161" s="589" t="s">
        <v>3636</v>
      </c>
      <c r="J1161" s="589" t="s">
        <v>35</v>
      </c>
      <c r="K1161" s="591">
        <v>700</v>
      </c>
      <c r="L1161" s="592">
        <f>IF(J1161="TND",1,IF(J1161="EUR",Vertical_Cash_flow!$C$16,IF(J1161="USD",Vertical_Cash_flow!$F$16,0)))</f>
        <v>1</v>
      </c>
      <c r="M1161" s="593">
        <f t="shared" si="72"/>
        <v>700</v>
      </c>
      <c r="N1161" s="589" t="s">
        <v>251</v>
      </c>
      <c r="O1161" s="594">
        <v>45423</v>
      </c>
      <c r="P1161" s="593">
        <f t="shared" si="73"/>
        <v>-91</v>
      </c>
      <c r="Q1161" s="594">
        <v>45514</v>
      </c>
      <c r="R1161" s="593">
        <f t="shared" ca="1" si="74"/>
        <v>-73</v>
      </c>
      <c r="S1161" s="589" t="str">
        <f>VLOOKUP(Q1161,Mapping!L:M,2,0)</f>
        <v>W33_2024</v>
      </c>
      <c r="T1161" s="589" t="str">
        <f t="shared" ca="1" si="75"/>
        <v>Not Due</v>
      </c>
      <c r="W1161" s="591"/>
    </row>
    <row r="1162" spans="1:23" s="589" customFormat="1" x14ac:dyDescent="0.2">
      <c r="A1162" s="589" t="s">
        <v>56</v>
      </c>
      <c r="B1162" s="589" t="s">
        <v>387</v>
      </c>
      <c r="C1162" s="590" t="s">
        <v>2361</v>
      </c>
      <c r="D1162" s="589" t="s">
        <v>100</v>
      </c>
      <c r="E1162" s="589" t="s">
        <v>104</v>
      </c>
      <c r="F1162" s="589" t="s">
        <v>112</v>
      </c>
      <c r="G1162" s="589" t="s">
        <v>51</v>
      </c>
      <c r="H1162" s="589" t="s">
        <v>242</v>
      </c>
      <c r="I1162" s="589" t="s">
        <v>2694</v>
      </c>
      <c r="J1162" s="589" t="s">
        <v>35</v>
      </c>
      <c r="K1162" s="591">
        <v>1091.0429999999999</v>
      </c>
      <c r="L1162" s="592">
        <f>IF(J1162="TND",1,IF(J1162="EUR",Vertical_Cash_flow!$C$16,IF(J1162="USD",Vertical_Cash_flow!$F$16,0)))</f>
        <v>1</v>
      </c>
      <c r="M1162" s="593">
        <f t="shared" si="72"/>
        <v>1091.0429999999999</v>
      </c>
      <c r="N1162" s="589" t="s">
        <v>251</v>
      </c>
      <c r="O1162" s="594">
        <v>45406</v>
      </c>
      <c r="P1162" s="593">
        <f t="shared" si="73"/>
        <v>-108</v>
      </c>
      <c r="Q1162" s="594">
        <v>45514</v>
      </c>
      <c r="R1162" s="593">
        <f t="shared" ca="1" si="74"/>
        <v>-73</v>
      </c>
      <c r="S1162" s="589" t="str">
        <f>VLOOKUP(Q1162,Mapping!L:M,2,0)</f>
        <v>W33_2024</v>
      </c>
      <c r="T1162" s="589" t="str">
        <f t="shared" ca="1" si="75"/>
        <v>Not Due</v>
      </c>
      <c r="W1162" s="591"/>
    </row>
    <row r="1163" spans="1:23" s="589" customFormat="1" x14ac:dyDescent="0.2">
      <c r="A1163" s="589" t="s">
        <v>56</v>
      </c>
      <c r="B1163" s="589" t="s">
        <v>635</v>
      </c>
      <c r="C1163" s="590" t="s">
        <v>3476</v>
      </c>
      <c r="D1163" s="589" t="s">
        <v>100</v>
      </c>
      <c r="E1163" s="589" t="s">
        <v>104</v>
      </c>
      <c r="F1163" s="589" t="s">
        <v>112</v>
      </c>
      <c r="G1163" s="589" t="s">
        <v>51</v>
      </c>
      <c r="H1163" s="589" t="s">
        <v>242</v>
      </c>
      <c r="I1163" s="589" t="s">
        <v>3635</v>
      </c>
      <c r="J1163" s="589" t="s">
        <v>35</v>
      </c>
      <c r="K1163" s="591">
        <v>1351.8589999999999</v>
      </c>
      <c r="L1163" s="592">
        <f>IF(J1163="TND",1,IF(J1163="EUR",Vertical_Cash_flow!$C$16,IF(J1163="USD",Vertical_Cash_flow!$F$16,0)))</f>
        <v>1</v>
      </c>
      <c r="M1163" s="593">
        <f t="shared" si="72"/>
        <v>1351.8589999999999</v>
      </c>
      <c r="N1163" s="589" t="s">
        <v>251</v>
      </c>
      <c r="O1163" s="594">
        <v>45422</v>
      </c>
      <c r="P1163" s="593">
        <f t="shared" si="73"/>
        <v>-92</v>
      </c>
      <c r="Q1163" s="594">
        <v>45514</v>
      </c>
      <c r="R1163" s="593">
        <f t="shared" ca="1" si="74"/>
        <v>-73</v>
      </c>
      <c r="S1163" s="589" t="str">
        <f>VLOOKUP(Q1163,Mapping!L:M,2,0)</f>
        <v>W33_2024</v>
      </c>
      <c r="T1163" s="589" t="str">
        <f t="shared" ca="1" si="75"/>
        <v>Not Due</v>
      </c>
      <c r="W1163" s="591"/>
    </row>
    <row r="1164" spans="1:23" s="589" customFormat="1" x14ac:dyDescent="0.2">
      <c r="A1164" s="589" t="s">
        <v>56</v>
      </c>
      <c r="B1164" s="589" t="s">
        <v>482</v>
      </c>
      <c r="C1164" s="590" t="s">
        <v>3091</v>
      </c>
      <c r="D1164" s="589" t="s">
        <v>100</v>
      </c>
      <c r="E1164" s="589" t="s">
        <v>104</v>
      </c>
      <c r="F1164" s="589" t="s">
        <v>112</v>
      </c>
      <c r="G1164" s="589" t="s">
        <v>51</v>
      </c>
      <c r="H1164" s="589" t="s">
        <v>242</v>
      </c>
      <c r="I1164" s="589" t="s">
        <v>3285</v>
      </c>
      <c r="J1164" s="589" t="s">
        <v>35</v>
      </c>
      <c r="K1164" s="591">
        <v>1350</v>
      </c>
      <c r="L1164" s="592">
        <f>IF(J1164="TND",1,IF(J1164="EUR",Vertical_Cash_flow!$C$16,IF(J1164="USD",Vertical_Cash_flow!$F$16,0)))</f>
        <v>1</v>
      </c>
      <c r="M1164" s="593">
        <f t="shared" si="72"/>
        <v>1350</v>
      </c>
      <c r="N1164" s="589" t="s">
        <v>251</v>
      </c>
      <c r="O1164" s="594">
        <v>45411</v>
      </c>
      <c r="P1164" s="593">
        <f t="shared" si="73"/>
        <v>-103</v>
      </c>
      <c r="Q1164" s="594">
        <v>45514</v>
      </c>
      <c r="R1164" s="593">
        <f t="shared" ca="1" si="74"/>
        <v>-73</v>
      </c>
      <c r="S1164" s="589" t="str">
        <f>VLOOKUP(Q1164,Mapping!L:M,2,0)</f>
        <v>W33_2024</v>
      </c>
      <c r="T1164" s="589" t="str">
        <f t="shared" ca="1" si="75"/>
        <v>Not Due</v>
      </c>
      <c r="W1164" s="591"/>
    </row>
    <row r="1165" spans="1:23" s="589" customFormat="1" x14ac:dyDescent="0.2">
      <c r="A1165" s="589" t="s">
        <v>56</v>
      </c>
      <c r="B1165" s="589" t="s">
        <v>482</v>
      </c>
      <c r="C1165" s="590" t="s">
        <v>3090</v>
      </c>
      <c r="D1165" s="589" t="s">
        <v>100</v>
      </c>
      <c r="E1165" s="589" t="s">
        <v>104</v>
      </c>
      <c r="F1165" s="589" t="s">
        <v>112</v>
      </c>
      <c r="G1165" s="589" t="s">
        <v>51</v>
      </c>
      <c r="H1165" s="589" t="s">
        <v>242</v>
      </c>
      <c r="I1165" s="589" t="s">
        <v>3284</v>
      </c>
      <c r="J1165" s="589" t="s">
        <v>35</v>
      </c>
      <c r="K1165" s="591">
        <v>1350</v>
      </c>
      <c r="L1165" s="592">
        <f>IF(J1165="TND",1,IF(J1165="EUR",Vertical_Cash_flow!$C$16,IF(J1165="USD",Vertical_Cash_flow!$F$16,0)))</f>
        <v>1</v>
      </c>
      <c r="M1165" s="593">
        <f t="shared" si="72"/>
        <v>1350</v>
      </c>
      <c r="N1165" s="589" t="s">
        <v>251</v>
      </c>
      <c r="O1165" s="594">
        <v>45411</v>
      </c>
      <c r="P1165" s="593">
        <f t="shared" si="73"/>
        <v>-103</v>
      </c>
      <c r="Q1165" s="594">
        <v>45514</v>
      </c>
      <c r="R1165" s="593">
        <f t="shared" ca="1" si="74"/>
        <v>-73</v>
      </c>
      <c r="S1165" s="589" t="str">
        <f>VLOOKUP(Q1165,Mapping!L:M,2,0)</f>
        <v>W33_2024</v>
      </c>
      <c r="T1165" s="589" t="str">
        <f t="shared" ca="1" si="75"/>
        <v>Not Due</v>
      </c>
      <c r="W1165" s="591"/>
    </row>
    <row r="1166" spans="1:23" s="589" customFormat="1" x14ac:dyDescent="0.2">
      <c r="A1166" s="589" t="s">
        <v>56</v>
      </c>
      <c r="B1166" s="589" t="s">
        <v>482</v>
      </c>
      <c r="C1166" s="590" t="s">
        <v>3089</v>
      </c>
      <c r="D1166" s="589" t="s">
        <v>100</v>
      </c>
      <c r="E1166" s="589" t="s">
        <v>104</v>
      </c>
      <c r="F1166" s="589" t="s">
        <v>112</v>
      </c>
      <c r="G1166" s="589" t="s">
        <v>51</v>
      </c>
      <c r="H1166" s="589" t="s">
        <v>242</v>
      </c>
      <c r="I1166" s="589" t="s">
        <v>3283</v>
      </c>
      <c r="J1166" s="589" t="s">
        <v>35</v>
      </c>
      <c r="K1166" s="591">
        <v>1350</v>
      </c>
      <c r="L1166" s="592">
        <f>IF(J1166="TND",1,IF(J1166="EUR",Vertical_Cash_flow!$C$16,IF(J1166="USD",Vertical_Cash_flow!$F$16,0)))</f>
        <v>1</v>
      </c>
      <c r="M1166" s="593">
        <f t="shared" si="72"/>
        <v>1350</v>
      </c>
      <c r="N1166" s="589" t="s">
        <v>251</v>
      </c>
      <c r="O1166" s="594">
        <v>45411</v>
      </c>
      <c r="P1166" s="593">
        <f t="shared" si="73"/>
        <v>-103</v>
      </c>
      <c r="Q1166" s="594">
        <v>45514</v>
      </c>
      <c r="R1166" s="593">
        <f t="shared" ca="1" si="74"/>
        <v>-73</v>
      </c>
      <c r="S1166" s="589" t="str">
        <f>VLOOKUP(Q1166,Mapping!L:M,2,0)</f>
        <v>W33_2024</v>
      </c>
      <c r="T1166" s="589" t="str">
        <f t="shared" ca="1" si="75"/>
        <v>Not Due</v>
      </c>
      <c r="W1166" s="591"/>
    </row>
    <row r="1167" spans="1:23" s="589" customFormat="1" x14ac:dyDescent="0.2">
      <c r="A1167" s="589" t="s">
        <v>56</v>
      </c>
      <c r="B1167" s="589" t="s">
        <v>334</v>
      </c>
      <c r="C1167" s="590" t="s">
        <v>3088</v>
      </c>
      <c r="D1167" s="589" t="s">
        <v>100</v>
      </c>
      <c r="E1167" s="589" t="s">
        <v>104</v>
      </c>
      <c r="F1167" s="589" t="s">
        <v>112</v>
      </c>
      <c r="G1167" s="589" t="s">
        <v>51</v>
      </c>
      <c r="H1167" s="589" t="s">
        <v>242</v>
      </c>
      <c r="I1167" s="589" t="s">
        <v>3282</v>
      </c>
      <c r="J1167" s="589" t="s">
        <v>35</v>
      </c>
      <c r="K1167" s="591">
        <v>900</v>
      </c>
      <c r="L1167" s="592">
        <f>IF(J1167="TND",1,IF(J1167="EUR",Vertical_Cash_flow!$C$16,IF(J1167="USD",Vertical_Cash_flow!$F$16,0)))</f>
        <v>1</v>
      </c>
      <c r="M1167" s="593">
        <f t="shared" si="72"/>
        <v>900</v>
      </c>
      <c r="N1167" s="589" t="s">
        <v>251</v>
      </c>
      <c r="O1167" s="594">
        <v>45420</v>
      </c>
      <c r="P1167" s="593">
        <f t="shared" si="73"/>
        <v>-94</v>
      </c>
      <c r="Q1167" s="594">
        <v>45514</v>
      </c>
      <c r="R1167" s="593">
        <f t="shared" ca="1" si="74"/>
        <v>-73</v>
      </c>
      <c r="S1167" s="589" t="str">
        <f>VLOOKUP(Q1167,Mapping!L:M,2,0)</f>
        <v>W33_2024</v>
      </c>
      <c r="T1167" s="589" t="str">
        <f t="shared" ca="1" si="75"/>
        <v>Not Due</v>
      </c>
      <c r="W1167" s="591"/>
    </row>
    <row r="1168" spans="1:23" s="589" customFormat="1" x14ac:dyDescent="0.2">
      <c r="A1168" s="589" t="s">
        <v>56</v>
      </c>
      <c r="B1168" s="589" t="s">
        <v>274</v>
      </c>
      <c r="C1168" s="590" t="s">
        <v>1513</v>
      </c>
      <c r="D1168" s="589" t="s">
        <v>100</v>
      </c>
      <c r="E1168" s="589" t="s">
        <v>104</v>
      </c>
      <c r="F1168" s="589" t="s">
        <v>112</v>
      </c>
      <c r="G1168" s="589" t="s">
        <v>51</v>
      </c>
      <c r="H1168" s="589" t="s">
        <v>242</v>
      </c>
      <c r="I1168" s="589" t="s">
        <v>1924</v>
      </c>
      <c r="J1168" s="589" t="s">
        <v>35</v>
      </c>
      <c r="K1168" s="591">
        <v>845</v>
      </c>
      <c r="L1168" s="592">
        <f>IF(J1168="TND",1,IF(J1168="EUR",Vertical_Cash_flow!$C$16,IF(J1168="USD",Vertical_Cash_flow!$F$16,0)))</f>
        <v>1</v>
      </c>
      <c r="M1168" s="593">
        <f t="shared" si="72"/>
        <v>845</v>
      </c>
      <c r="N1168" s="589" t="s">
        <v>251</v>
      </c>
      <c r="O1168" s="594">
        <v>45376</v>
      </c>
      <c r="P1168" s="593">
        <f t="shared" si="73"/>
        <v>-139</v>
      </c>
      <c r="Q1168" s="594">
        <v>45515</v>
      </c>
      <c r="R1168" s="593">
        <f t="shared" ca="1" si="74"/>
        <v>-74</v>
      </c>
      <c r="S1168" s="589" t="str">
        <f>VLOOKUP(Q1168,Mapping!L:M,2,0)</f>
        <v>W33_2024</v>
      </c>
      <c r="T1168" s="589" t="str">
        <f t="shared" ca="1" si="75"/>
        <v>Not Due</v>
      </c>
      <c r="W1168" s="591"/>
    </row>
    <row r="1169" spans="1:23" s="589" customFormat="1" x14ac:dyDescent="0.2">
      <c r="A1169" s="589" t="s">
        <v>56</v>
      </c>
      <c r="B1169" s="589" t="s">
        <v>3406</v>
      </c>
      <c r="C1169" s="590" t="s">
        <v>3475</v>
      </c>
      <c r="D1169" s="589" t="s">
        <v>100</v>
      </c>
      <c r="E1169" s="589" t="s">
        <v>104</v>
      </c>
      <c r="F1169" s="589" t="s">
        <v>112</v>
      </c>
      <c r="G1169" s="589" t="s">
        <v>51</v>
      </c>
      <c r="H1169" s="589" t="s">
        <v>242</v>
      </c>
      <c r="I1169" s="589" t="s">
        <v>3634</v>
      </c>
      <c r="J1169" s="589" t="s">
        <v>35</v>
      </c>
      <c r="K1169" s="591">
        <v>4000</v>
      </c>
      <c r="L1169" s="592">
        <f>IF(J1169="TND",1,IF(J1169="EUR",Vertical_Cash_flow!$C$16,IF(J1169="USD",Vertical_Cash_flow!$F$16,0)))</f>
        <v>1</v>
      </c>
      <c r="M1169" s="593">
        <f t="shared" si="72"/>
        <v>4000</v>
      </c>
      <c r="N1169" s="589" t="s">
        <v>251</v>
      </c>
      <c r="O1169" s="594">
        <v>45427</v>
      </c>
      <c r="P1169" s="593">
        <f t="shared" si="73"/>
        <v>-88</v>
      </c>
      <c r="Q1169" s="594">
        <v>45515</v>
      </c>
      <c r="R1169" s="593">
        <f t="shared" ca="1" si="74"/>
        <v>-74</v>
      </c>
      <c r="S1169" s="589" t="str">
        <f>VLOOKUP(Q1169,Mapping!L:M,2,0)</f>
        <v>W33_2024</v>
      </c>
      <c r="T1169" s="589" t="str">
        <f t="shared" ca="1" si="75"/>
        <v>Not Due</v>
      </c>
      <c r="W1169" s="591"/>
    </row>
    <row r="1170" spans="1:23" s="589" customFormat="1" x14ac:dyDescent="0.2">
      <c r="A1170" s="589" t="s">
        <v>56</v>
      </c>
      <c r="B1170" s="589" t="s">
        <v>527</v>
      </c>
      <c r="C1170" s="590" t="s">
        <v>3474</v>
      </c>
      <c r="D1170" s="589" t="s">
        <v>100</v>
      </c>
      <c r="E1170" s="589" t="s">
        <v>104</v>
      </c>
      <c r="F1170" s="589" t="s">
        <v>112</v>
      </c>
      <c r="G1170" s="589" t="s">
        <v>51</v>
      </c>
      <c r="H1170" s="589" t="s">
        <v>242</v>
      </c>
      <c r="I1170" s="589" t="s">
        <v>1003</v>
      </c>
      <c r="J1170" s="589" t="s">
        <v>35</v>
      </c>
      <c r="K1170" s="591">
        <v>2400</v>
      </c>
      <c r="L1170" s="592">
        <f>IF(J1170="TND",1,IF(J1170="EUR",Vertical_Cash_flow!$C$16,IF(J1170="USD",Vertical_Cash_flow!$F$16,0)))</f>
        <v>1</v>
      </c>
      <c r="M1170" s="593">
        <f t="shared" si="72"/>
        <v>2400</v>
      </c>
      <c r="N1170" s="589" t="s">
        <v>251</v>
      </c>
      <c r="O1170" s="594">
        <v>45423</v>
      </c>
      <c r="P1170" s="593">
        <f t="shared" si="73"/>
        <v>-92</v>
      </c>
      <c r="Q1170" s="594">
        <v>45515</v>
      </c>
      <c r="R1170" s="593">
        <f t="shared" ca="1" si="74"/>
        <v>-74</v>
      </c>
      <c r="S1170" s="589" t="str">
        <f>VLOOKUP(Q1170,Mapping!L:M,2,0)</f>
        <v>W33_2024</v>
      </c>
      <c r="T1170" s="589" t="str">
        <f t="shared" ca="1" si="75"/>
        <v>Not Due</v>
      </c>
      <c r="W1170" s="591"/>
    </row>
    <row r="1171" spans="1:23" s="589" customFormat="1" x14ac:dyDescent="0.2">
      <c r="A1171" s="589" t="s">
        <v>56</v>
      </c>
      <c r="B1171" s="589" t="s">
        <v>274</v>
      </c>
      <c r="C1171" s="590" t="s">
        <v>1512</v>
      </c>
      <c r="D1171" s="589" t="s">
        <v>100</v>
      </c>
      <c r="E1171" s="589" t="s">
        <v>104</v>
      </c>
      <c r="F1171" s="589" t="s">
        <v>112</v>
      </c>
      <c r="G1171" s="589" t="s">
        <v>51</v>
      </c>
      <c r="H1171" s="589" t="s">
        <v>242</v>
      </c>
      <c r="I1171" s="589" t="s">
        <v>1923</v>
      </c>
      <c r="J1171" s="589" t="s">
        <v>35</v>
      </c>
      <c r="K1171" s="591">
        <v>850</v>
      </c>
      <c r="L1171" s="592">
        <f>IF(J1171="TND",1,IF(J1171="EUR",Vertical_Cash_flow!$C$16,IF(J1171="USD",Vertical_Cash_flow!$F$16,0)))</f>
        <v>1</v>
      </c>
      <c r="M1171" s="593">
        <f t="shared" si="72"/>
        <v>850</v>
      </c>
      <c r="N1171" s="589" t="s">
        <v>251</v>
      </c>
      <c r="O1171" s="594">
        <v>45376</v>
      </c>
      <c r="P1171" s="593">
        <f t="shared" si="73"/>
        <v>-140</v>
      </c>
      <c r="Q1171" s="594">
        <v>45516</v>
      </c>
      <c r="R1171" s="593">
        <f t="shared" ca="1" si="74"/>
        <v>-75</v>
      </c>
      <c r="S1171" s="589" t="str">
        <f>VLOOKUP(Q1171,Mapping!L:M,2,0)</f>
        <v>W33_2024</v>
      </c>
      <c r="T1171" s="589" t="str">
        <f t="shared" ca="1" si="75"/>
        <v>Not Due</v>
      </c>
      <c r="W1171" s="591"/>
    </row>
    <row r="1172" spans="1:23" s="589" customFormat="1" x14ac:dyDescent="0.2">
      <c r="A1172" s="589" t="s">
        <v>56</v>
      </c>
      <c r="B1172" s="589" t="s">
        <v>348</v>
      </c>
      <c r="C1172" s="590" t="s">
        <v>2360</v>
      </c>
      <c r="D1172" s="589" t="s">
        <v>100</v>
      </c>
      <c r="E1172" s="589" t="s">
        <v>104</v>
      </c>
      <c r="F1172" s="589" t="s">
        <v>112</v>
      </c>
      <c r="G1172" s="589" t="s">
        <v>51</v>
      </c>
      <c r="H1172" s="589" t="s">
        <v>242</v>
      </c>
      <c r="I1172" s="589" t="s">
        <v>2693</v>
      </c>
      <c r="J1172" s="589" t="s">
        <v>35</v>
      </c>
      <c r="K1172" s="591">
        <v>3800</v>
      </c>
      <c r="L1172" s="592">
        <f>IF(J1172="TND",1,IF(J1172="EUR",Vertical_Cash_flow!$C$16,IF(J1172="USD",Vertical_Cash_flow!$F$16,0)))</f>
        <v>1</v>
      </c>
      <c r="M1172" s="593">
        <f t="shared" si="72"/>
        <v>3800</v>
      </c>
      <c r="N1172" s="589" t="s">
        <v>251</v>
      </c>
      <c r="O1172" s="594">
        <v>45408</v>
      </c>
      <c r="P1172" s="593">
        <f t="shared" si="73"/>
        <v>-108</v>
      </c>
      <c r="Q1172" s="594">
        <v>45516</v>
      </c>
      <c r="R1172" s="593">
        <f t="shared" ca="1" si="74"/>
        <v>-75</v>
      </c>
      <c r="S1172" s="589" t="str">
        <f>VLOOKUP(Q1172,Mapping!L:M,2,0)</f>
        <v>W33_2024</v>
      </c>
      <c r="T1172" s="589" t="str">
        <f t="shared" ca="1" si="75"/>
        <v>Not Due</v>
      </c>
      <c r="W1172" s="591"/>
    </row>
    <row r="1173" spans="1:23" s="589" customFormat="1" x14ac:dyDescent="0.2">
      <c r="A1173" s="589" t="s">
        <v>56</v>
      </c>
      <c r="B1173" s="589" t="s">
        <v>278</v>
      </c>
      <c r="C1173" s="590" t="s">
        <v>1250</v>
      </c>
      <c r="D1173" s="589" t="s">
        <v>100</v>
      </c>
      <c r="E1173" s="589" t="s">
        <v>104</v>
      </c>
      <c r="F1173" s="589" t="s">
        <v>112</v>
      </c>
      <c r="G1173" s="589" t="s">
        <v>51</v>
      </c>
      <c r="H1173" s="589" t="s">
        <v>242</v>
      </c>
      <c r="I1173" s="589" t="s">
        <v>1363</v>
      </c>
      <c r="J1173" s="589" t="s">
        <v>35</v>
      </c>
      <c r="K1173" s="591">
        <v>9745.7049999999999</v>
      </c>
      <c r="L1173" s="592">
        <f>IF(J1173="TND",1,IF(J1173="EUR",Vertical_Cash_flow!$C$16,IF(J1173="USD",Vertical_Cash_flow!$F$16,0)))</f>
        <v>1</v>
      </c>
      <c r="M1173" s="593">
        <f t="shared" ref="M1173:M1236" si="76">K1173/L1173</f>
        <v>9745.7049999999999</v>
      </c>
      <c r="N1173" s="589" t="s">
        <v>251</v>
      </c>
      <c r="O1173" s="594">
        <v>45345</v>
      </c>
      <c r="P1173" s="593">
        <f t="shared" ref="P1173:P1236" si="77">O1173-Q1173</f>
        <v>-171</v>
      </c>
      <c r="Q1173" s="594">
        <v>45516</v>
      </c>
      <c r="R1173" s="593">
        <f t="shared" ref="R1173:R1236" ca="1" si="78">$W$1-Q1173</f>
        <v>-75</v>
      </c>
      <c r="S1173" s="589" t="str">
        <f>VLOOKUP(Q1173,Mapping!L:M,2,0)</f>
        <v>W33_2024</v>
      </c>
      <c r="T1173" s="589" t="str">
        <f t="shared" ref="T1173:T1236" ca="1" si="79">IF(R1173="","",IF(R1173&lt;0,"Not Due",IF(AND(R1173&gt;=0,R1173&lt;=30),"up to 30 days",IF(AND(R1173&gt;30,R1173&lt;=60),"30-60 days",IF(AND(R1173&gt;60,R1173&lt;=90),"60-90 days",IF(AND(R1173&gt;90,R1173&lt;=120),"90-120 days",IF(AND(R1173&gt;120,R1173&lt;=180),"120-180 days",IF(AND(R1173&gt;180,R1173&lt;=360),"180-360 days",IF(R1173&gt;360,"more than 360 days","ok")))))))))</f>
        <v>Not Due</v>
      </c>
      <c r="W1173" s="591"/>
    </row>
    <row r="1174" spans="1:23" s="589" customFormat="1" x14ac:dyDescent="0.2">
      <c r="A1174" s="589" t="s">
        <v>56</v>
      </c>
      <c r="B1174" s="589" t="s">
        <v>481</v>
      </c>
      <c r="C1174" s="590" t="s">
        <v>3087</v>
      </c>
      <c r="D1174" s="589" t="s">
        <v>100</v>
      </c>
      <c r="E1174" s="589" t="s">
        <v>104</v>
      </c>
      <c r="F1174" s="589" t="s">
        <v>112</v>
      </c>
      <c r="G1174" s="589" t="s">
        <v>51</v>
      </c>
      <c r="H1174" s="589" t="s">
        <v>242</v>
      </c>
      <c r="I1174" s="589" t="s">
        <v>3281</v>
      </c>
      <c r="J1174" s="589" t="s">
        <v>35</v>
      </c>
      <c r="K1174" s="591">
        <v>5570</v>
      </c>
      <c r="L1174" s="592">
        <f>IF(J1174="TND",1,IF(J1174="EUR",Vertical_Cash_flow!$C$16,IF(J1174="USD",Vertical_Cash_flow!$F$16,0)))</f>
        <v>1</v>
      </c>
      <c r="M1174" s="593">
        <f t="shared" si="76"/>
        <v>5570</v>
      </c>
      <c r="N1174" s="589" t="s">
        <v>251</v>
      </c>
      <c r="O1174" s="594">
        <v>45412</v>
      </c>
      <c r="P1174" s="593">
        <f t="shared" si="77"/>
        <v>-105</v>
      </c>
      <c r="Q1174" s="594">
        <v>45517</v>
      </c>
      <c r="R1174" s="593">
        <f t="shared" ca="1" si="78"/>
        <v>-76</v>
      </c>
      <c r="S1174" s="589" t="str">
        <f>VLOOKUP(Q1174,Mapping!L:M,2,0)</f>
        <v>W33_2024</v>
      </c>
      <c r="T1174" s="589" t="str">
        <f t="shared" ca="1" si="79"/>
        <v>Not Due</v>
      </c>
      <c r="W1174" s="591"/>
    </row>
    <row r="1175" spans="1:23" s="589" customFormat="1" x14ac:dyDescent="0.2">
      <c r="A1175" s="589" t="s">
        <v>56</v>
      </c>
      <c r="B1175" s="589" t="s">
        <v>371</v>
      </c>
      <c r="C1175" s="590" t="s">
        <v>3473</v>
      </c>
      <c r="D1175" s="589" t="s">
        <v>100</v>
      </c>
      <c r="E1175" s="589" t="s">
        <v>104</v>
      </c>
      <c r="F1175" s="589" t="s">
        <v>112</v>
      </c>
      <c r="G1175" s="589" t="s">
        <v>51</v>
      </c>
      <c r="H1175" s="589" t="s">
        <v>242</v>
      </c>
      <c r="I1175" s="589" t="s">
        <v>3633</v>
      </c>
      <c r="J1175" s="589" t="s">
        <v>35</v>
      </c>
      <c r="K1175" s="591">
        <v>560.04200000000003</v>
      </c>
      <c r="L1175" s="592">
        <f>IF(J1175="TND",1,IF(J1175="EUR",Vertical_Cash_flow!$C$16,IF(J1175="USD",Vertical_Cash_flow!$F$16,0)))</f>
        <v>1</v>
      </c>
      <c r="M1175" s="593">
        <f t="shared" si="76"/>
        <v>560.04200000000003</v>
      </c>
      <c r="N1175" s="589" t="s">
        <v>251</v>
      </c>
      <c r="O1175" s="594">
        <v>45422</v>
      </c>
      <c r="P1175" s="593">
        <f t="shared" si="77"/>
        <v>-95</v>
      </c>
      <c r="Q1175" s="594">
        <v>45517</v>
      </c>
      <c r="R1175" s="593">
        <f t="shared" ca="1" si="78"/>
        <v>-76</v>
      </c>
      <c r="S1175" s="589" t="str">
        <f>VLOOKUP(Q1175,Mapping!L:M,2,0)</f>
        <v>W33_2024</v>
      </c>
      <c r="T1175" s="589" t="str">
        <f t="shared" ca="1" si="79"/>
        <v>Not Due</v>
      </c>
      <c r="W1175" s="591"/>
    </row>
    <row r="1176" spans="1:23" s="589" customFormat="1" x14ac:dyDescent="0.2">
      <c r="A1176" s="589" t="s">
        <v>56</v>
      </c>
      <c r="B1176" s="589" t="s">
        <v>1247</v>
      </c>
      <c r="C1176" s="590" t="s">
        <v>3472</v>
      </c>
      <c r="D1176" s="589" t="s">
        <v>100</v>
      </c>
      <c r="E1176" s="589" t="s">
        <v>104</v>
      </c>
      <c r="F1176" s="589" t="s">
        <v>112</v>
      </c>
      <c r="G1176" s="589" t="s">
        <v>51</v>
      </c>
      <c r="H1176" s="589" t="s">
        <v>242</v>
      </c>
      <c r="I1176" s="589" t="s">
        <v>3632</v>
      </c>
      <c r="J1176" s="589" t="s">
        <v>35</v>
      </c>
      <c r="K1176" s="591">
        <v>3243.8780000000002</v>
      </c>
      <c r="L1176" s="592">
        <f>IF(J1176="TND",1,IF(J1176="EUR",Vertical_Cash_flow!$C$16,IF(J1176="USD",Vertical_Cash_flow!$F$16,0)))</f>
        <v>1</v>
      </c>
      <c r="M1176" s="593">
        <f t="shared" si="76"/>
        <v>3243.8780000000002</v>
      </c>
      <c r="N1176" s="589" t="s">
        <v>251</v>
      </c>
      <c r="O1176" s="594">
        <v>45427</v>
      </c>
      <c r="P1176" s="593">
        <f t="shared" si="77"/>
        <v>-91</v>
      </c>
      <c r="Q1176" s="594">
        <v>45518</v>
      </c>
      <c r="R1176" s="593">
        <f t="shared" ca="1" si="78"/>
        <v>-77</v>
      </c>
      <c r="S1176" s="589" t="str">
        <f>VLOOKUP(Q1176,Mapping!L:M,2,0)</f>
        <v>W33_2024</v>
      </c>
      <c r="T1176" s="589" t="str">
        <f t="shared" ca="1" si="79"/>
        <v>Not Due</v>
      </c>
      <c r="W1176" s="591"/>
    </row>
    <row r="1177" spans="1:23" s="589" customFormat="1" x14ac:dyDescent="0.2">
      <c r="A1177" s="589" t="s">
        <v>56</v>
      </c>
      <c r="B1177" s="589" t="s">
        <v>388</v>
      </c>
      <c r="C1177" s="590" t="s">
        <v>3086</v>
      </c>
      <c r="D1177" s="589" t="s">
        <v>100</v>
      </c>
      <c r="E1177" s="589" t="s">
        <v>104</v>
      </c>
      <c r="F1177" s="589" t="s">
        <v>112</v>
      </c>
      <c r="G1177" s="589" t="s">
        <v>51</v>
      </c>
      <c r="H1177" s="589" t="s">
        <v>242</v>
      </c>
      <c r="I1177" s="589" t="s">
        <v>3280</v>
      </c>
      <c r="J1177" s="589" t="s">
        <v>35</v>
      </c>
      <c r="K1177" s="591">
        <v>5304</v>
      </c>
      <c r="L1177" s="592">
        <f>IF(J1177="TND",1,IF(J1177="EUR",Vertical_Cash_flow!$C$16,IF(J1177="USD",Vertical_Cash_flow!$F$16,0)))</f>
        <v>1</v>
      </c>
      <c r="M1177" s="593">
        <f t="shared" si="76"/>
        <v>5304</v>
      </c>
      <c r="N1177" s="589" t="s">
        <v>251</v>
      </c>
      <c r="O1177" s="594">
        <v>45412</v>
      </c>
      <c r="P1177" s="593">
        <f t="shared" si="77"/>
        <v>-106</v>
      </c>
      <c r="Q1177" s="594">
        <v>45518</v>
      </c>
      <c r="R1177" s="593">
        <f t="shared" ca="1" si="78"/>
        <v>-77</v>
      </c>
      <c r="S1177" s="589" t="str">
        <f>VLOOKUP(Q1177,Mapping!L:M,2,0)</f>
        <v>W33_2024</v>
      </c>
      <c r="T1177" s="589" t="str">
        <f t="shared" ca="1" si="79"/>
        <v>Not Due</v>
      </c>
      <c r="W1177" s="591"/>
    </row>
    <row r="1178" spans="1:23" s="589" customFormat="1" x14ac:dyDescent="0.2">
      <c r="A1178" s="589" t="s">
        <v>56</v>
      </c>
      <c r="B1178" s="589" t="s">
        <v>589</v>
      </c>
      <c r="C1178" s="590" t="s">
        <v>1511</v>
      </c>
      <c r="D1178" s="589" t="s">
        <v>100</v>
      </c>
      <c r="E1178" s="589" t="s">
        <v>104</v>
      </c>
      <c r="F1178" s="589" t="s">
        <v>112</v>
      </c>
      <c r="G1178" s="589" t="s">
        <v>51</v>
      </c>
      <c r="H1178" s="589" t="s">
        <v>242</v>
      </c>
      <c r="I1178" s="589" t="s">
        <v>1922</v>
      </c>
      <c r="J1178" s="589" t="s">
        <v>35</v>
      </c>
      <c r="K1178" s="591">
        <v>2273.768</v>
      </c>
      <c r="L1178" s="592">
        <f>IF(J1178="TND",1,IF(J1178="EUR",Vertical_Cash_flow!$C$16,IF(J1178="USD",Vertical_Cash_flow!$F$16,0)))</f>
        <v>1</v>
      </c>
      <c r="M1178" s="593">
        <f t="shared" si="76"/>
        <v>2273.768</v>
      </c>
      <c r="N1178" s="589" t="s">
        <v>251</v>
      </c>
      <c r="O1178" s="594">
        <v>45378</v>
      </c>
      <c r="P1178" s="593">
        <f t="shared" si="77"/>
        <v>-140</v>
      </c>
      <c r="Q1178" s="594">
        <v>45518</v>
      </c>
      <c r="R1178" s="593">
        <f t="shared" ca="1" si="78"/>
        <v>-77</v>
      </c>
      <c r="S1178" s="589" t="str">
        <f>VLOOKUP(Q1178,Mapping!L:M,2,0)</f>
        <v>W33_2024</v>
      </c>
      <c r="T1178" s="589" t="str">
        <f t="shared" ca="1" si="79"/>
        <v>Not Due</v>
      </c>
      <c r="W1178" s="591"/>
    </row>
    <row r="1179" spans="1:23" s="589" customFormat="1" x14ac:dyDescent="0.2">
      <c r="A1179" s="589" t="s">
        <v>56</v>
      </c>
      <c r="B1179" s="589" t="s">
        <v>285</v>
      </c>
      <c r="C1179" s="590" t="s">
        <v>3471</v>
      </c>
      <c r="D1179" s="589" t="s">
        <v>100</v>
      </c>
      <c r="E1179" s="589" t="s">
        <v>104</v>
      </c>
      <c r="F1179" s="589" t="s">
        <v>112</v>
      </c>
      <c r="G1179" s="589" t="s">
        <v>51</v>
      </c>
      <c r="H1179" s="589" t="s">
        <v>242</v>
      </c>
      <c r="I1179" s="589" t="s">
        <v>3631</v>
      </c>
      <c r="J1179" s="589" t="s">
        <v>35</v>
      </c>
      <c r="K1179" s="591">
        <v>887.43899999999996</v>
      </c>
      <c r="L1179" s="592">
        <f>IF(J1179="TND",1,IF(J1179="EUR",Vertical_Cash_flow!$C$16,IF(J1179="USD",Vertical_Cash_flow!$F$16,0)))</f>
        <v>1</v>
      </c>
      <c r="M1179" s="593">
        <f t="shared" si="76"/>
        <v>887.43899999999996</v>
      </c>
      <c r="N1179" s="589" t="s">
        <v>251</v>
      </c>
      <c r="O1179" s="594">
        <v>45422</v>
      </c>
      <c r="P1179" s="593">
        <f t="shared" si="77"/>
        <v>-97</v>
      </c>
      <c r="Q1179" s="594">
        <v>45519</v>
      </c>
      <c r="R1179" s="593">
        <f t="shared" ca="1" si="78"/>
        <v>-78</v>
      </c>
      <c r="S1179" s="589" t="str">
        <f>VLOOKUP(Q1179,Mapping!L:M,2,0)</f>
        <v>W33_2024</v>
      </c>
      <c r="T1179" s="589" t="str">
        <f t="shared" ca="1" si="79"/>
        <v>Not Due</v>
      </c>
      <c r="W1179" s="591"/>
    </row>
    <row r="1180" spans="1:23" s="589" customFormat="1" x14ac:dyDescent="0.2">
      <c r="A1180" s="589" t="s">
        <v>56</v>
      </c>
      <c r="B1180" s="589" t="s">
        <v>353</v>
      </c>
      <c r="C1180" s="590" t="s">
        <v>2358</v>
      </c>
      <c r="D1180" s="589" t="s">
        <v>100</v>
      </c>
      <c r="E1180" s="589" t="s">
        <v>104</v>
      </c>
      <c r="F1180" s="589" t="s">
        <v>112</v>
      </c>
      <c r="G1180" s="589" t="s">
        <v>51</v>
      </c>
      <c r="H1180" s="589" t="s">
        <v>242</v>
      </c>
      <c r="I1180" s="589" t="s">
        <v>2691</v>
      </c>
      <c r="J1180" s="589" t="s">
        <v>35</v>
      </c>
      <c r="K1180" s="591">
        <v>890.46</v>
      </c>
      <c r="L1180" s="592">
        <f>IF(J1180="TND",1,IF(J1180="EUR",Vertical_Cash_flow!$C$16,IF(J1180="USD",Vertical_Cash_flow!$F$16,0)))</f>
        <v>1</v>
      </c>
      <c r="M1180" s="593">
        <f t="shared" si="76"/>
        <v>890.46</v>
      </c>
      <c r="N1180" s="589" t="s">
        <v>251</v>
      </c>
      <c r="O1180" s="594">
        <v>45405</v>
      </c>
      <c r="P1180" s="593">
        <f t="shared" si="77"/>
        <v>-114</v>
      </c>
      <c r="Q1180" s="594">
        <v>45519</v>
      </c>
      <c r="R1180" s="593">
        <f t="shared" ca="1" si="78"/>
        <v>-78</v>
      </c>
      <c r="S1180" s="589" t="str">
        <f>VLOOKUP(Q1180,Mapping!L:M,2,0)</f>
        <v>W33_2024</v>
      </c>
      <c r="T1180" s="589" t="str">
        <f t="shared" ca="1" si="79"/>
        <v>Not Due</v>
      </c>
      <c r="W1180" s="591"/>
    </row>
    <row r="1181" spans="1:23" s="589" customFormat="1" x14ac:dyDescent="0.2">
      <c r="A1181" s="589" t="s">
        <v>56</v>
      </c>
      <c r="B1181" s="589" t="s">
        <v>760</v>
      </c>
      <c r="C1181" s="590" t="s">
        <v>2359</v>
      </c>
      <c r="D1181" s="589" t="s">
        <v>100</v>
      </c>
      <c r="E1181" s="589" t="s">
        <v>104</v>
      </c>
      <c r="F1181" s="589" t="s">
        <v>112</v>
      </c>
      <c r="G1181" s="589" t="s">
        <v>51</v>
      </c>
      <c r="H1181" s="589" t="s">
        <v>242</v>
      </c>
      <c r="I1181" s="589" t="s">
        <v>2692</v>
      </c>
      <c r="J1181" s="589" t="s">
        <v>35</v>
      </c>
      <c r="K1181" s="591">
        <v>4500</v>
      </c>
      <c r="L1181" s="592">
        <f>IF(J1181="TND",1,IF(J1181="EUR",Vertical_Cash_flow!$C$16,IF(J1181="USD",Vertical_Cash_flow!$F$16,0)))</f>
        <v>1</v>
      </c>
      <c r="M1181" s="593">
        <f t="shared" si="76"/>
        <v>4500</v>
      </c>
      <c r="N1181" s="589" t="s">
        <v>251</v>
      </c>
      <c r="O1181" s="594">
        <v>45400</v>
      </c>
      <c r="P1181" s="593">
        <f t="shared" si="77"/>
        <v>-119</v>
      </c>
      <c r="Q1181" s="594">
        <v>45519</v>
      </c>
      <c r="R1181" s="593">
        <f t="shared" ca="1" si="78"/>
        <v>-78</v>
      </c>
      <c r="S1181" s="589" t="str">
        <f>VLOOKUP(Q1181,Mapping!L:M,2,0)</f>
        <v>W33_2024</v>
      </c>
      <c r="T1181" s="589" t="str">
        <f t="shared" ca="1" si="79"/>
        <v>Not Due</v>
      </c>
      <c r="W1181" s="591"/>
    </row>
    <row r="1182" spans="1:23" s="589" customFormat="1" x14ac:dyDescent="0.2">
      <c r="A1182" s="589" t="s">
        <v>56</v>
      </c>
      <c r="B1182" s="589" t="s">
        <v>544</v>
      </c>
      <c r="C1182" s="590" t="s">
        <v>3085</v>
      </c>
      <c r="D1182" s="589" t="s">
        <v>100</v>
      </c>
      <c r="E1182" s="589" t="s">
        <v>104</v>
      </c>
      <c r="F1182" s="589" t="s">
        <v>112</v>
      </c>
      <c r="G1182" s="589" t="s">
        <v>51</v>
      </c>
      <c r="H1182" s="589" t="s">
        <v>242</v>
      </c>
      <c r="I1182" s="589" t="s">
        <v>3279</v>
      </c>
      <c r="J1182" s="589" t="s">
        <v>35</v>
      </c>
      <c r="K1182" s="591">
        <v>2103.192</v>
      </c>
      <c r="L1182" s="592">
        <f>IF(J1182="TND",1,IF(J1182="EUR",Vertical_Cash_flow!$C$16,IF(J1182="USD",Vertical_Cash_flow!$F$16,0)))</f>
        <v>1</v>
      </c>
      <c r="M1182" s="593">
        <f t="shared" si="76"/>
        <v>2103.192</v>
      </c>
      <c r="N1182" s="589" t="s">
        <v>251</v>
      </c>
      <c r="O1182" s="594">
        <v>45412</v>
      </c>
      <c r="P1182" s="593">
        <f t="shared" si="77"/>
        <v>-107</v>
      </c>
      <c r="Q1182" s="594">
        <v>45519</v>
      </c>
      <c r="R1182" s="593">
        <f t="shared" ca="1" si="78"/>
        <v>-78</v>
      </c>
      <c r="S1182" s="589" t="str">
        <f>VLOOKUP(Q1182,Mapping!L:M,2,0)</f>
        <v>W33_2024</v>
      </c>
      <c r="T1182" s="589" t="str">
        <f t="shared" ca="1" si="79"/>
        <v>Not Due</v>
      </c>
      <c r="W1182" s="591"/>
    </row>
    <row r="1183" spans="1:23" s="589" customFormat="1" x14ac:dyDescent="0.2">
      <c r="A1183" s="589" t="s">
        <v>56</v>
      </c>
      <c r="B1183" s="589" t="s">
        <v>808</v>
      </c>
      <c r="C1183" s="590" t="s">
        <v>3084</v>
      </c>
      <c r="D1183" s="589" t="s">
        <v>100</v>
      </c>
      <c r="E1183" s="589" t="s">
        <v>104</v>
      </c>
      <c r="F1183" s="589" t="s">
        <v>112</v>
      </c>
      <c r="G1183" s="589" t="s">
        <v>51</v>
      </c>
      <c r="H1183" s="589" t="s">
        <v>242</v>
      </c>
      <c r="I1183" s="589" t="s">
        <v>3278</v>
      </c>
      <c r="J1183" s="589" t="s">
        <v>35</v>
      </c>
      <c r="K1183" s="591">
        <v>3700</v>
      </c>
      <c r="L1183" s="592">
        <f>IF(J1183="TND",1,IF(J1183="EUR",Vertical_Cash_flow!$C$16,IF(J1183="USD",Vertical_Cash_flow!$F$16,0)))</f>
        <v>1</v>
      </c>
      <c r="M1183" s="593">
        <f t="shared" si="76"/>
        <v>3700</v>
      </c>
      <c r="N1183" s="589" t="s">
        <v>251</v>
      </c>
      <c r="O1183" s="594">
        <v>45415</v>
      </c>
      <c r="P1183" s="593">
        <f t="shared" si="77"/>
        <v>-104</v>
      </c>
      <c r="Q1183" s="594">
        <v>45519</v>
      </c>
      <c r="R1183" s="593">
        <f t="shared" ca="1" si="78"/>
        <v>-78</v>
      </c>
      <c r="S1183" s="589" t="str">
        <f>VLOOKUP(Q1183,Mapping!L:M,2,0)</f>
        <v>W33_2024</v>
      </c>
      <c r="T1183" s="589" t="str">
        <f t="shared" ca="1" si="79"/>
        <v>Not Due</v>
      </c>
      <c r="W1183" s="591"/>
    </row>
    <row r="1184" spans="1:23" s="589" customFormat="1" x14ac:dyDescent="0.2">
      <c r="A1184" s="589" t="s">
        <v>56</v>
      </c>
      <c r="B1184" s="589" t="s">
        <v>348</v>
      </c>
      <c r="C1184" s="590" t="s">
        <v>3470</v>
      </c>
      <c r="D1184" s="589" t="s">
        <v>100</v>
      </c>
      <c r="E1184" s="589" t="s">
        <v>104</v>
      </c>
      <c r="F1184" s="589" t="s">
        <v>112</v>
      </c>
      <c r="G1184" s="589" t="s">
        <v>51</v>
      </c>
      <c r="H1184" s="589" t="s">
        <v>242</v>
      </c>
      <c r="I1184" s="589" t="s">
        <v>3630</v>
      </c>
      <c r="J1184" s="589" t="s">
        <v>35</v>
      </c>
      <c r="K1184" s="591">
        <v>2628.8490000000002</v>
      </c>
      <c r="L1184" s="592">
        <f>IF(J1184="TND",1,IF(J1184="EUR",Vertical_Cash_flow!$C$16,IF(J1184="USD",Vertical_Cash_flow!$F$16,0)))</f>
        <v>1</v>
      </c>
      <c r="M1184" s="593">
        <f t="shared" si="76"/>
        <v>2628.8490000000002</v>
      </c>
      <c r="N1184" s="589" t="s">
        <v>251</v>
      </c>
      <c r="O1184" s="594">
        <v>45429</v>
      </c>
      <c r="P1184" s="593">
        <f t="shared" si="77"/>
        <v>-90</v>
      </c>
      <c r="Q1184" s="594">
        <v>45519</v>
      </c>
      <c r="R1184" s="593">
        <f t="shared" ca="1" si="78"/>
        <v>-78</v>
      </c>
      <c r="S1184" s="589" t="str">
        <f>VLOOKUP(Q1184,Mapping!L:M,2,0)</f>
        <v>W33_2024</v>
      </c>
      <c r="T1184" s="589" t="str">
        <f t="shared" ca="1" si="79"/>
        <v>Not Due</v>
      </c>
      <c r="W1184" s="591"/>
    </row>
    <row r="1185" spans="1:23" s="589" customFormat="1" x14ac:dyDescent="0.2">
      <c r="A1185" s="589" t="s">
        <v>56</v>
      </c>
      <c r="B1185" s="589" t="s">
        <v>498</v>
      </c>
      <c r="C1185" s="590" t="s">
        <v>2356</v>
      </c>
      <c r="D1185" s="589" t="s">
        <v>100</v>
      </c>
      <c r="E1185" s="589" t="s">
        <v>104</v>
      </c>
      <c r="F1185" s="589" t="s">
        <v>112</v>
      </c>
      <c r="G1185" s="589" t="s">
        <v>51</v>
      </c>
      <c r="H1185" s="589" t="s">
        <v>242</v>
      </c>
      <c r="I1185" s="589" t="s">
        <v>2689</v>
      </c>
      <c r="J1185" s="589" t="s">
        <v>35</v>
      </c>
      <c r="K1185" s="591">
        <v>6000</v>
      </c>
      <c r="L1185" s="592">
        <f>IF(J1185="TND",1,IF(J1185="EUR",Vertical_Cash_flow!$C$16,IF(J1185="USD",Vertical_Cash_flow!$F$16,0)))</f>
        <v>1</v>
      </c>
      <c r="M1185" s="593">
        <f t="shared" si="76"/>
        <v>6000</v>
      </c>
      <c r="N1185" s="589" t="s">
        <v>251</v>
      </c>
      <c r="O1185" s="594">
        <v>45404</v>
      </c>
      <c r="P1185" s="593">
        <f t="shared" si="77"/>
        <v>-115</v>
      </c>
      <c r="Q1185" s="594">
        <v>45519</v>
      </c>
      <c r="R1185" s="593">
        <f t="shared" ca="1" si="78"/>
        <v>-78</v>
      </c>
      <c r="S1185" s="589" t="str">
        <f>VLOOKUP(Q1185,Mapping!L:M,2,0)</f>
        <v>W33_2024</v>
      </c>
      <c r="T1185" s="589" t="str">
        <f t="shared" ca="1" si="79"/>
        <v>Not Due</v>
      </c>
      <c r="W1185" s="591"/>
    </row>
    <row r="1186" spans="1:23" s="589" customFormat="1" x14ac:dyDescent="0.2">
      <c r="A1186" s="589" t="s">
        <v>56</v>
      </c>
      <c r="B1186" s="589" t="s">
        <v>749</v>
      </c>
      <c r="C1186" s="590" t="s">
        <v>3469</v>
      </c>
      <c r="D1186" s="589" t="s">
        <v>100</v>
      </c>
      <c r="E1186" s="589" t="s">
        <v>104</v>
      </c>
      <c r="F1186" s="589" t="s">
        <v>112</v>
      </c>
      <c r="G1186" s="589" t="s">
        <v>51</v>
      </c>
      <c r="H1186" s="589" t="s">
        <v>242</v>
      </c>
      <c r="I1186" s="589" t="s">
        <v>3629</v>
      </c>
      <c r="J1186" s="589" t="s">
        <v>35</v>
      </c>
      <c r="K1186" s="591">
        <v>1520.827</v>
      </c>
      <c r="L1186" s="592">
        <f>IF(J1186="TND",1,IF(J1186="EUR",Vertical_Cash_flow!$C$16,IF(J1186="USD",Vertical_Cash_flow!$F$16,0)))</f>
        <v>1</v>
      </c>
      <c r="M1186" s="593">
        <f t="shared" si="76"/>
        <v>1520.827</v>
      </c>
      <c r="N1186" s="589" t="s">
        <v>251</v>
      </c>
      <c r="O1186" s="594">
        <v>45423</v>
      </c>
      <c r="P1186" s="593">
        <f t="shared" si="77"/>
        <v>-96</v>
      </c>
      <c r="Q1186" s="594">
        <v>45519</v>
      </c>
      <c r="R1186" s="593">
        <f t="shared" ca="1" si="78"/>
        <v>-78</v>
      </c>
      <c r="S1186" s="589" t="str">
        <f>VLOOKUP(Q1186,Mapping!L:M,2,0)</f>
        <v>W33_2024</v>
      </c>
      <c r="T1186" s="589" t="str">
        <f t="shared" ca="1" si="79"/>
        <v>Not Due</v>
      </c>
      <c r="W1186" s="591"/>
    </row>
    <row r="1187" spans="1:23" s="589" customFormat="1" x14ac:dyDescent="0.2">
      <c r="A1187" s="589" t="s">
        <v>56</v>
      </c>
      <c r="B1187" s="589" t="s">
        <v>808</v>
      </c>
      <c r="C1187" s="590" t="s">
        <v>2357</v>
      </c>
      <c r="D1187" s="589" t="s">
        <v>100</v>
      </c>
      <c r="E1187" s="589" t="s">
        <v>104</v>
      </c>
      <c r="F1187" s="589" t="s">
        <v>112</v>
      </c>
      <c r="G1187" s="589" t="s">
        <v>51</v>
      </c>
      <c r="H1187" s="589" t="s">
        <v>242</v>
      </c>
      <c r="I1187" s="589" t="s">
        <v>2690</v>
      </c>
      <c r="J1187" s="589" t="s">
        <v>35</v>
      </c>
      <c r="K1187" s="591">
        <v>2982.1959999999999</v>
      </c>
      <c r="L1187" s="592">
        <f>IF(J1187="TND",1,IF(J1187="EUR",Vertical_Cash_flow!$C$16,IF(J1187="USD",Vertical_Cash_flow!$F$16,0)))</f>
        <v>1</v>
      </c>
      <c r="M1187" s="593">
        <f t="shared" si="76"/>
        <v>2982.1959999999999</v>
      </c>
      <c r="N1187" s="589" t="s">
        <v>251</v>
      </c>
      <c r="O1187" s="594">
        <v>45400</v>
      </c>
      <c r="P1187" s="593">
        <f t="shared" si="77"/>
        <v>-119</v>
      </c>
      <c r="Q1187" s="594">
        <v>45519</v>
      </c>
      <c r="R1187" s="593">
        <f t="shared" ca="1" si="78"/>
        <v>-78</v>
      </c>
      <c r="S1187" s="589" t="str">
        <f>VLOOKUP(Q1187,Mapping!L:M,2,0)</f>
        <v>W33_2024</v>
      </c>
      <c r="T1187" s="589" t="str">
        <f t="shared" ca="1" si="79"/>
        <v>Not Due</v>
      </c>
      <c r="W1187" s="591"/>
    </row>
    <row r="1188" spans="1:23" s="589" customFormat="1" x14ac:dyDescent="0.2">
      <c r="A1188" s="589" t="s">
        <v>56</v>
      </c>
      <c r="B1188" s="589" t="s">
        <v>1244</v>
      </c>
      <c r="C1188" s="590" t="s">
        <v>3468</v>
      </c>
      <c r="D1188" s="589" t="s">
        <v>100</v>
      </c>
      <c r="E1188" s="589" t="s">
        <v>104</v>
      </c>
      <c r="F1188" s="589" t="s">
        <v>112</v>
      </c>
      <c r="G1188" s="589" t="s">
        <v>51</v>
      </c>
      <c r="H1188" s="589" t="s">
        <v>242</v>
      </c>
      <c r="I1188" s="589" t="s">
        <v>3628</v>
      </c>
      <c r="J1188" s="589" t="s">
        <v>35</v>
      </c>
      <c r="K1188" s="591">
        <v>700</v>
      </c>
      <c r="L1188" s="592">
        <f>IF(J1188="TND",1,IF(J1188="EUR",Vertical_Cash_flow!$C$16,IF(J1188="USD",Vertical_Cash_flow!$F$16,0)))</f>
        <v>1</v>
      </c>
      <c r="M1188" s="593">
        <f t="shared" si="76"/>
        <v>700</v>
      </c>
      <c r="N1188" s="589" t="s">
        <v>251</v>
      </c>
      <c r="O1188" s="594">
        <v>45423</v>
      </c>
      <c r="P1188" s="593">
        <f t="shared" si="77"/>
        <v>-96</v>
      </c>
      <c r="Q1188" s="594">
        <v>45519</v>
      </c>
      <c r="R1188" s="593">
        <f t="shared" ca="1" si="78"/>
        <v>-78</v>
      </c>
      <c r="S1188" s="589" t="str">
        <f>VLOOKUP(Q1188,Mapping!L:M,2,0)</f>
        <v>W33_2024</v>
      </c>
      <c r="T1188" s="589" t="str">
        <f t="shared" ca="1" si="79"/>
        <v>Not Due</v>
      </c>
      <c r="W1188" s="591"/>
    </row>
    <row r="1189" spans="1:23" s="589" customFormat="1" x14ac:dyDescent="0.2">
      <c r="A1189" s="589" t="s">
        <v>56</v>
      </c>
      <c r="B1189" s="589" t="s">
        <v>387</v>
      </c>
      <c r="C1189" s="590" t="s">
        <v>1510</v>
      </c>
      <c r="D1189" s="589" t="s">
        <v>100</v>
      </c>
      <c r="E1189" s="589" t="s">
        <v>104</v>
      </c>
      <c r="F1189" s="589" t="s">
        <v>112</v>
      </c>
      <c r="G1189" s="589" t="s">
        <v>51</v>
      </c>
      <c r="H1189" s="589" t="s">
        <v>242</v>
      </c>
      <c r="I1189" s="589" t="s">
        <v>999</v>
      </c>
      <c r="J1189" s="589" t="s">
        <v>35</v>
      </c>
      <c r="K1189" s="591">
        <v>1301.9749999999999</v>
      </c>
      <c r="L1189" s="592">
        <f>IF(J1189="TND",1,IF(J1189="EUR",Vertical_Cash_flow!$C$16,IF(J1189="USD",Vertical_Cash_flow!$F$16,0)))</f>
        <v>1</v>
      </c>
      <c r="M1189" s="593">
        <f t="shared" si="76"/>
        <v>1301.9749999999999</v>
      </c>
      <c r="N1189" s="589" t="s">
        <v>251</v>
      </c>
      <c r="O1189" s="594">
        <v>45378</v>
      </c>
      <c r="P1189" s="593">
        <f t="shared" si="77"/>
        <v>-141</v>
      </c>
      <c r="Q1189" s="594">
        <v>45519</v>
      </c>
      <c r="R1189" s="593">
        <f t="shared" ca="1" si="78"/>
        <v>-78</v>
      </c>
      <c r="S1189" s="589" t="str">
        <f>VLOOKUP(Q1189,Mapping!L:M,2,0)</f>
        <v>W33_2024</v>
      </c>
      <c r="T1189" s="589" t="str">
        <f t="shared" ca="1" si="79"/>
        <v>Not Due</v>
      </c>
      <c r="W1189" s="591"/>
    </row>
    <row r="1190" spans="1:23" s="589" customFormat="1" x14ac:dyDescent="0.2">
      <c r="A1190" s="589" t="s">
        <v>56</v>
      </c>
      <c r="B1190" s="589" t="s">
        <v>343</v>
      </c>
      <c r="C1190" s="590" t="s">
        <v>3467</v>
      </c>
      <c r="D1190" s="589" t="s">
        <v>100</v>
      </c>
      <c r="E1190" s="589" t="s">
        <v>104</v>
      </c>
      <c r="F1190" s="589" t="s">
        <v>112</v>
      </c>
      <c r="G1190" s="589" t="s">
        <v>51</v>
      </c>
      <c r="H1190" s="589" t="s">
        <v>242</v>
      </c>
      <c r="I1190" s="589" t="s">
        <v>3627</v>
      </c>
      <c r="J1190" s="589" t="s">
        <v>35</v>
      </c>
      <c r="K1190" s="591">
        <v>1300</v>
      </c>
      <c r="L1190" s="592">
        <f>IF(J1190="TND",1,IF(J1190="EUR",Vertical_Cash_flow!$C$16,IF(J1190="USD",Vertical_Cash_flow!$F$16,0)))</f>
        <v>1</v>
      </c>
      <c r="M1190" s="593">
        <f t="shared" si="76"/>
        <v>1300</v>
      </c>
      <c r="N1190" s="589" t="s">
        <v>251</v>
      </c>
      <c r="O1190" s="594">
        <v>45430</v>
      </c>
      <c r="P1190" s="593">
        <f t="shared" si="77"/>
        <v>-89</v>
      </c>
      <c r="Q1190" s="594">
        <v>45519</v>
      </c>
      <c r="R1190" s="593">
        <f t="shared" ca="1" si="78"/>
        <v>-78</v>
      </c>
      <c r="S1190" s="589" t="str">
        <f>VLOOKUP(Q1190,Mapping!L:M,2,0)</f>
        <v>W33_2024</v>
      </c>
      <c r="T1190" s="589" t="str">
        <f t="shared" ca="1" si="79"/>
        <v>Not Due</v>
      </c>
      <c r="W1190" s="591"/>
    </row>
    <row r="1191" spans="1:23" s="589" customFormat="1" x14ac:dyDescent="0.2">
      <c r="A1191" s="589" t="s">
        <v>56</v>
      </c>
      <c r="B1191" s="589" t="s">
        <v>284</v>
      </c>
      <c r="C1191" s="590" t="s">
        <v>3466</v>
      </c>
      <c r="D1191" s="589" t="s">
        <v>100</v>
      </c>
      <c r="E1191" s="589" t="s">
        <v>104</v>
      </c>
      <c r="F1191" s="589" t="s">
        <v>112</v>
      </c>
      <c r="G1191" s="589" t="s">
        <v>51</v>
      </c>
      <c r="H1191" s="589" t="s">
        <v>242</v>
      </c>
      <c r="I1191" s="589" t="s">
        <v>3626</v>
      </c>
      <c r="J1191" s="589" t="s">
        <v>35</v>
      </c>
      <c r="K1191" s="591">
        <v>25520.284</v>
      </c>
      <c r="L1191" s="592">
        <f>IF(J1191="TND",1,IF(J1191="EUR",Vertical_Cash_flow!$C$16,IF(J1191="USD",Vertical_Cash_flow!$F$16,0)))</f>
        <v>1</v>
      </c>
      <c r="M1191" s="593">
        <f t="shared" si="76"/>
        <v>25520.284</v>
      </c>
      <c r="N1191" s="589" t="s">
        <v>251</v>
      </c>
      <c r="O1191" s="594">
        <v>45430</v>
      </c>
      <c r="P1191" s="593">
        <f t="shared" si="77"/>
        <v>-89</v>
      </c>
      <c r="Q1191" s="594">
        <v>45519</v>
      </c>
      <c r="R1191" s="593">
        <f t="shared" ca="1" si="78"/>
        <v>-78</v>
      </c>
      <c r="S1191" s="589" t="str">
        <f>VLOOKUP(Q1191,Mapping!L:M,2,0)</f>
        <v>W33_2024</v>
      </c>
      <c r="T1191" s="589" t="str">
        <f t="shared" ca="1" si="79"/>
        <v>Not Due</v>
      </c>
      <c r="W1191" s="591"/>
    </row>
    <row r="1192" spans="1:23" s="589" customFormat="1" x14ac:dyDescent="0.2">
      <c r="A1192" s="589" t="s">
        <v>56</v>
      </c>
      <c r="B1192" s="589" t="s">
        <v>482</v>
      </c>
      <c r="C1192" s="590" t="s">
        <v>3083</v>
      </c>
      <c r="D1192" s="589" t="s">
        <v>100</v>
      </c>
      <c r="E1192" s="589" t="s">
        <v>104</v>
      </c>
      <c r="F1192" s="589" t="s">
        <v>112</v>
      </c>
      <c r="G1192" s="589" t="s">
        <v>51</v>
      </c>
      <c r="H1192" s="589" t="s">
        <v>242</v>
      </c>
      <c r="I1192" s="589" t="s">
        <v>3277</v>
      </c>
      <c r="J1192" s="589" t="s">
        <v>35</v>
      </c>
      <c r="K1192" s="591">
        <v>1350</v>
      </c>
      <c r="L1192" s="592">
        <f>IF(J1192="TND",1,IF(J1192="EUR",Vertical_Cash_flow!$C$16,IF(J1192="USD",Vertical_Cash_flow!$F$16,0)))</f>
        <v>1</v>
      </c>
      <c r="M1192" s="593">
        <f t="shared" si="76"/>
        <v>1350</v>
      </c>
      <c r="N1192" s="589" t="s">
        <v>251</v>
      </c>
      <c r="O1192" s="594">
        <v>45411</v>
      </c>
      <c r="P1192" s="593">
        <f t="shared" si="77"/>
        <v>-108</v>
      </c>
      <c r="Q1192" s="594">
        <v>45519</v>
      </c>
      <c r="R1192" s="593">
        <f t="shared" ca="1" si="78"/>
        <v>-78</v>
      </c>
      <c r="S1192" s="589" t="str">
        <f>VLOOKUP(Q1192,Mapping!L:M,2,0)</f>
        <v>W33_2024</v>
      </c>
      <c r="T1192" s="589" t="str">
        <f t="shared" ca="1" si="79"/>
        <v>Not Due</v>
      </c>
      <c r="W1192" s="591"/>
    </row>
    <row r="1193" spans="1:23" s="589" customFormat="1" x14ac:dyDescent="0.2">
      <c r="A1193" s="589" t="s">
        <v>56</v>
      </c>
      <c r="B1193" s="589" t="s">
        <v>482</v>
      </c>
      <c r="C1193" s="590" t="s">
        <v>3082</v>
      </c>
      <c r="D1193" s="589" t="s">
        <v>100</v>
      </c>
      <c r="E1193" s="589" t="s">
        <v>104</v>
      </c>
      <c r="F1193" s="589" t="s">
        <v>112</v>
      </c>
      <c r="G1193" s="589" t="s">
        <v>51</v>
      </c>
      <c r="H1193" s="589" t="s">
        <v>242</v>
      </c>
      <c r="I1193" s="589" t="s">
        <v>3276</v>
      </c>
      <c r="J1193" s="589" t="s">
        <v>35</v>
      </c>
      <c r="K1193" s="591">
        <v>1350</v>
      </c>
      <c r="L1193" s="592">
        <f>IF(J1193="TND",1,IF(J1193="EUR",Vertical_Cash_flow!$C$16,IF(J1193="USD",Vertical_Cash_flow!$F$16,0)))</f>
        <v>1</v>
      </c>
      <c r="M1193" s="593">
        <f t="shared" si="76"/>
        <v>1350</v>
      </c>
      <c r="N1193" s="589" t="s">
        <v>251</v>
      </c>
      <c r="O1193" s="594">
        <v>45411</v>
      </c>
      <c r="P1193" s="593">
        <f t="shared" si="77"/>
        <v>-108</v>
      </c>
      <c r="Q1193" s="594">
        <v>45519</v>
      </c>
      <c r="R1193" s="593">
        <f t="shared" ca="1" si="78"/>
        <v>-78</v>
      </c>
      <c r="S1193" s="589" t="str">
        <f>VLOOKUP(Q1193,Mapping!L:M,2,0)</f>
        <v>W33_2024</v>
      </c>
      <c r="T1193" s="589" t="str">
        <f t="shared" ca="1" si="79"/>
        <v>Not Due</v>
      </c>
      <c r="W1193" s="591"/>
    </row>
    <row r="1194" spans="1:23" s="589" customFormat="1" x14ac:dyDescent="0.2">
      <c r="A1194" s="589" t="s">
        <v>56</v>
      </c>
      <c r="B1194" s="589" t="s">
        <v>482</v>
      </c>
      <c r="C1194" s="590" t="s">
        <v>3081</v>
      </c>
      <c r="D1194" s="589" t="s">
        <v>100</v>
      </c>
      <c r="E1194" s="589" t="s">
        <v>104</v>
      </c>
      <c r="F1194" s="589" t="s">
        <v>112</v>
      </c>
      <c r="G1194" s="589" t="s">
        <v>51</v>
      </c>
      <c r="H1194" s="589" t="s">
        <v>242</v>
      </c>
      <c r="I1194" s="589" t="s">
        <v>3275</v>
      </c>
      <c r="J1194" s="589" t="s">
        <v>35</v>
      </c>
      <c r="K1194" s="591">
        <v>1350</v>
      </c>
      <c r="L1194" s="592">
        <f>IF(J1194="TND",1,IF(J1194="EUR",Vertical_Cash_flow!$C$16,IF(J1194="USD",Vertical_Cash_flow!$F$16,0)))</f>
        <v>1</v>
      </c>
      <c r="M1194" s="593">
        <f t="shared" si="76"/>
        <v>1350</v>
      </c>
      <c r="N1194" s="589" t="s">
        <v>251</v>
      </c>
      <c r="O1194" s="594">
        <v>45411</v>
      </c>
      <c r="P1194" s="593">
        <f t="shared" si="77"/>
        <v>-108</v>
      </c>
      <c r="Q1194" s="594">
        <v>45519</v>
      </c>
      <c r="R1194" s="593">
        <f t="shared" ca="1" si="78"/>
        <v>-78</v>
      </c>
      <c r="S1194" s="589" t="str">
        <f>VLOOKUP(Q1194,Mapping!L:M,2,0)</f>
        <v>W33_2024</v>
      </c>
      <c r="T1194" s="589" t="str">
        <f t="shared" ca="1" si="79"/>
        <v>Not Due</v>
      </c>
      <c r="W1194" s="591"/>
    </row>
    <row r="1195" spans="1:23" s="589" customFormat="1" x14ac:dyDescent="0.2">
      <c r="A1195" s="589" t="s">
        <v>56</v>
      </c>
      <c r="B1195" s="589" t="s">
        <v>328</v>
      </c>
      <c r="C1195" s="590" t="s">
        <v>3080</v>
      </c>
      <c r="D1195" s="589" t="s">
        <v>100</v>
      </c>
      <c r="E1195" s="589" t="s">
        <v>104</v>
      </c>
      <c r="F1195" s="589" t="s">
        <v>112</v>
      </c>
      <c r="G1195" s="589" t="s">
        <v>51</v>
      </c>
      <c r="H1195" s="589" t="s">
        <v>242</v>
      </c>
      <c r="I1195" s="589" t="s">
        <v>3274</v>
      </c>
      <c r="J1195" s="589" t="s">
        <v>35</v>
      </c>
      <c r="K1195" s="591">
        <v>1314.3109999999999</v>
      </c>
      <c r="L1195" s="592">
        <f>IF(J1195="TND",1,IF(J1195="EUR",Vertical_Cash_flow!$C$16,IF(J1195="USD",Vertical_Cash_flow!$F$16,0)))</f>
        <v>1</v>
      </c>
      <c r="M1195" s="593">
        <f t="shared" si="76"/>
        <v>1314.3109999999999</v>
      </c>
      <c r="N1195" s="589" t="s">
        <v>251</v>
      </c>
      <c r="O1195" s="594">
        <v>45416</v>
      </c>
      <c r="P1195" s="593">
        <f t="shared" si="77"/>
        <v>-103</v>
      </c>
      <c r="Q1195" s="594">
        <v>45519</v>
      </c>
      <c r="R1195" s="593">
        <f t="shared" ca="1" si="78"/>
        <v>-78</v>
      </c>
      <c r="S1195" s="589" t="str">
        <f>VLOOKUP(Q1195,Mapping!L:M,2,0)</f>
        <v>W33_2024</v>
      </c>
      <c r="T1195" s="589" t="str">
        <f t="shared" ca="1" si="79"/>
        <v>Not Due</v>
      </c>
      <c r="W1195" s="591"/>
    </row>
    <row r="1196" spans="1:23" s="589" customFormat="1" x14ac:dyDescent="0.2">
      <c r="A1196" s="589" t="s">
        <v>56</v>
      </c>
      <c r="B1196" s="589" t="s">
        <v>1242</v>
      </c>
      <c r="C1196" s="590" t="s">
        <v>2355</v>
      </c>
      <c r="D1196" s="589" t="s">
        <v>100</v>
      </c>
      <c r="E1196" s="589" t="s">
        <v>104</v>
      </c>
      <c r="F1196" s="589" t="s">
        <v>112</v>
      </c>
      <c r="G1196" s="589" t="s">
        <v>51</v>
      </c>
      <c r="H1196" s="589" t="s">
        <v>242</v>
      </c>
      <c r="I1196" s="589" t="s">
        <v>2688</v>
      </c>
      <c r="J1196" s="589" t="s">
        <v>35</v>
      </c>
      <c r="K1196" s="591">
        <v>5000</v>
      </c>
      <c r="L1196" s="592">
        <f>IF(J1196="TND",1,IF(J1196="EUR",Vertical_Cash_flow!$C$16,IF(J1196="USD",Vertical_Cash_flow!$F$16,0)))</f>
        <v>1</v>
      </c>
      <c r="M1196" s="593">
        <f t="shared" si="76"/>
        <v>5000</v>
      </c>
      <c r="N1196" s="589" t="s">
        <v>251</v>
      </c>
      <c r="O1196" s="594">
        <v>45402</v>
      </c>
      <c r="P1196" s="593">
        <f t="shared" si="77"/>
        <v>-117</v>
      </c>
      <c r="Q1196" s="594">
        <v>45519</v>
      </c>
      <c r="R1196" s="593">
        <f t="shared" ca="1" si="78"/>
        <v>-78</v>
      </c>
      <c r="S1196" s="589" t="str">
        <f>VLOOKUP(Q1196,Mapping!L:M,2,0)</f>
        <v>W33_2024</v>
      </c>
      <c r="T1196" s="589" t="str">
        <f t="shared" ca="1" si="79"/>
        <v>Not Due</v>
      </c>
      <c r="W1196" s="591"/>
    </row>
    <row r="1197" spans="1:23" s="589" customFormat="1" x14ac:dyDescent="0.2">
      <c r="A1197" s="589" t="s">
        <v>56</v>
      </c>
      <c r="B1197" s="589" t="s">
        <v>527</v>
      </c>
      <c r="C1197" s="590" t="s">
        <v>3465</v>
      </c>
      <c r="D1197" s="589" t="s">
        <v>100</v>
      </c>
      <c r="E1197" s="589" t="s">
        <v>104</v>
      </c>
      <c r="F1197" s="589" t="s">
        <v>112</v>
      </c>
      <c r="G1197" s="589" t="s">
        <v>51</v>
      </c>
      <c r="H1197" s="589" t="s">
        <v>242</v>
      </c>
      <c r="I1197" s="589" t="s">
        <v>1003</v>
      </c>
      <c r="J1197" s="589" t="s">
        <v>35</v>
      </c>
      <c r="K1197" s="591">
        <v>2400</v>
      </c>
      <c r="L1197" s="592">
        <f>IF(J1197="TND",1,IF(J1197="EUR",Vertical_Cash_flow!$C$16,IF(J1197="USD",Vertical_Cash_flow!$F$16,0)))</f>
        <v>1</v>
      </c>
      <c r="M1197" s="593">
        <f t="shared" si="76"/>
        <v>2400</v>
      </c>
      <c r="N1197" s="589" t="s">
        <v>251</v>
      </c>
      <c r="O1197" s="594">
        <v>45423</v>
      </c>
      <c r="P1197" s="593">
        <f t="shared" si="77"/>
        <v>-96</v>
      </c>
      <c r="Q1197" s="594">
        <v>45519</v>
      </c>
      <c r="R1197" s="593">
        <f t="shared" ca="1" si="78"/>
        <v>-78</v>
      </c>
      <c r="S1197" s="589" t="str">
        <f>VLOOKUP(Q1197,Mapping!L:M,2,0)</f>
        <v>W33_2024</v>
      </c>
      <c r="T1197" s="589" t="str">
        <f t="shared" ca="1" si="79"/>
        <v>Not Due</v>
      </c>
      <c r="W1197" s="591"/>
    </row>
    <row r="1198" spans="1:23" s="589" customFormat="1" x14ac:dyDescent="0.2">
      <c r="A1198" s="589" t="s">
        <v>56</v>
      </c>
      <c r="B1198" s="589" t="s">
        <v>530</v>
      </c>
      <c r="C1198" s="590" t="s">
        <v>3464</v>
      </c>
      <c r="D1198" s="589" t="s">
        <v>100</v>
      </c>
      <c r="E1198" s="589" t="s">
        <v>104</v>
      </c>
      <c r="F1198" s="589" t="s">
        <v>112</v>
      </c>
      <c r="G1198" s="589" t="s">
        <v>51</v>
      </c>
      <c r="H1198" s="589" t="s">
        <v>242</v>
      </c>
      <c r="I1198" s="589" t="s">
        <v>3625</v>
      </c>
      <c r="J1198" s="589" t="s">
        <v>35</v>
      </c>
      <c r="K1198" s="591">
        <v>690.10299999999995</v>
      </c>
      <c r="L1198" s="592">
        <f>IF(J1198="TND",1,IF(J1198="EUR",Vertical_Cash_flow!$C$16,IF(J1198="USD",Vertical_Cash_flow!$F$16,0)))</f>
        <v>1</v>
      </c>
      <c r="M1198" s="593">
        <f t="shared" si="76"/>
        <v>690.10299999999995</v>
      </c>
      <c r="N1198" s="589" t="s">
        <v>251</v>
      </c>
      <c r="O1198" s="594">
        <v>45421</v>
      </c>
      <c r="P1198" s="593">
        <f t="shared" si="77"/>
        <v>-98</v>
      </c>
      <c r="Q1198" s="594">
        <v>45519</v>
      </c>
      <c r="R1198" s="593">
        <f t="shared" ca="1" si="78"/>
        <v>-78</v>
      </c>
      <c r="S1198" s="589" t="str">
        <f>VLOOKUP(Q1198,Mapping!L:M,2,0)</f>
        <v>W33_2024</v>
      </c>
      <c r="T1198" s="589" t="str">
        <f t="shared" ca="1" si="79"/>
        <v>Not Due</v>
      </c>
      <c r="W1198" s="591"/>
    </row>
    <row r="1199" spans="1:23" s="589" customFormat="1" x14ac:dyDescent="0.2">
      <c r="A1199" s="589" t="s">
        <v>56</v>
      </c>
      <c r="B1199" s="589" t="s">
        <v>481</v>
      </c>
      <c r="C1199" s="590" t="s">
        <v>3079</v>
      </c>
      <c r="D1199" s="589" t="s">
        <v>100</v>
      </c>
      <c r="E1199" s="589" t="s">
        <v>104</v>
      </c>
      <c r="F1199" s="589" t="s">
        <v>112</v>
      </c>
      <c r="G1199" s="589" t="s">
        <v>51</v>
      </c>
      <c r="H1199" s="589" t="s">
        <v>242</v>
      </c>
      <c r="I1199" s="589" t="s">
        <v>3273</v>
      </c>
      <c r="J1199" s="589" t="s">
        <v>35</v>
      </c>
      <c r="K1199" s="591">
        <v>5570</v>
      </c>
      <c r="L1199" s="592">
        <f>IF(J1199="TND",1,IF(J1199="EUR",Vertical_Cash_flow!$C$16,IF(J1199="USD",Vertical_Cash_flow!$F$16,0)))</f>
        <v>1</v>
      </c>
      <c r="M1199" s="593">
        <f t="shared" si="76"/>
        <v>5570</v>
      </c>
      <c r="N1199" s="589" t="s">
        <v>251</v>
      </c>
      <c r="O1199" s="594">
        <v>45412</v>
      </c>
      <c r="P1199" s="593">
        <f t="shared" si="77"/>
        <v>-108</v>
      </c>
      <c r="Q1199" s="594">
        <v>45520</v>
      </c>
      <c r="R1199" s="593">
        <f t="shared" ca="1" si="78"/>
        <v>-79</v>
      </c>
      <c r="S1199" s="589" t="str">
        <f>VLOOKUP(Q1199,Mapping!L:M,2,0)</f>
        <v>W33_2024</v>
      </c>
      <c r="T1199" s="589" t="str">
        <f t="shared" ca="1" si="79"/>
        <v>Not Due</v>
      </c>
      <c r="W1199" s="591"/>
    </row>
    <row r="1200" spans="1:23" s="589" customFormat="1" x14ac:dyDescent="0.2">
      <c r="A1200" s="589" t="s">
        <v>56</v>
      </c>
      <c r="B1200" s="589" t="s">
        <v>1048</v>
      </c>
      <c r="C1200" s="590" t="s">
        <v>3078</v>
      </c>
      <c r="D1200" s="589" t="s">
        <v>100</v>
      </c>
      <c r="E1200" s="589" t="s">
        <v>104</v>
      </c>
      <c r="F1200" s="589" t="s">
        <v>112</v>
      </c>
      <c r="G1200" s="589" t="s">
        <v>51</v>
      </c>
      <c r="H1200" s="589" t="s">
        <v>242</v>
      </c>
      <c r="I1200" s="589" t="s">
        <v>2015</v>
      </c>
      <c r="J1200" s="589" t="s">
        <v>35</v>
      </c>
      <c r="K1200" s="591">
        <v>640</v>
      </c>
      <c r="L1200" s="592">
        <f>IF(J1200="TND",1,IF(J1200="EUR",Vertical_Cash_flow!$C$16,IF(J1200="USD",Vertical_Cash_flow!$F$16,0)))</f>
        <v>1</v>
      </c>
      <c r="M1200" s="593">
        <f t="shared" si="76"/>
        <v>640</v>
      </c>
      <c r="N1200" s="589" t="s">
        <v>251</v>
      </c>
      <c r="O1200" s="594">
        <v>45412</v>
      </c>
      <c r="P1200" s="593">
        <f t="shared" si="77"/>
        <v>-109</v>
      </c>
      <c r="Q1200" s="594">
        <v>45521</v>
      </c>
      <c r="R1200" s="593">
        <f t="shared" ca="1" si="78"/>
        <v>-80</v>
      </c>
      <c r="S1200" s="589" t="str">
        <f>VLOOKUP(Q1200,Mapping!L:M,2,0)</f>
        <v>W34_2024</v>
      </c>
      <c r="T1200" s="589" t="str">
        <f t="shared" ca="1" si="79"/>
        <v>Not Due</v>
      </c>
      <c r="W1200" s="591"/>
    </row>
    <row r="1201" spans="1:23" s="589" customFormat="1" x14ac:dyDescent="0.2">
      <c r="A1201" s="589" t="s">
        <v>56</v>
      </c>
      <c r="B1201" s="589" t="s">
        <v>619</v>
      </c>
      <c r="C1201" s="590" t="s">
        <v>3463</v>
      </c>
      <c r="D1201" s="589" t="s">
        <v>100</v>
      </c>
      <c r="E1201" s="589" t="s">
        <v>104</v>
      </c>
      <c r="F1201" s="589" t="s">
        <v>112</v>
      </c>
      <c r="G1201" s="589" t="s">
        <v>51</v>
      </c>
      <c r="H1201" s="589" t="s">
        <v>242</v>
      </c>
      <c r="I1201" s="589" t="s">
        <v>1462</v>
      </c>
      <c r="J1201" s="589" t="s">
        <v>35</v>
      </c>
      <c r="K1201" s="591">
        <v>2501.7730000000001</v>
      </c>
      <c r="L1201" s="592">
        <f>IF(J1201="TND",1,IF(J1201="EUR",Vertical_Cash_flow!$C$16,IF(J1201="USD",Vertical_Cash_flow!$F$16,0)))</f>
        <v>1</v>
      </c>
      <c r="M1201" s="593">
        <f t="shared" si="76"/>
        <v>2501.7730000000001</v>
      </c>
      <c r="N1201" s="589" t="s">
        <v>251</v>
      </c>
      <c r="O1201" s="594">
        <v>45432</v>
      </c>
      <c r="P1201" s="593">
        <f t="shared" si="77"/>
        <v>-89</v>
      </c>
      <c r="Q1201" s="594">
        <v>45521</v>
      </c>
      <c r="R1201" s="593">
        <f t="shared" ca="1" si="78"/>
        <v>-80</v>
      </c>
      <c r="S1201" s="589" t="str">
        <f>VLOOKUP(Q1201,Mapping!L:M,2,0)</f>
        <v>W34_2024</v>
      </c>
      <c r="T1201" s="589" t="str">
        <f t="shared" ca="1" si="79"/>
        <v>Not Due</v>
      </c>
      <c r="W1201" s="591"/>
    </row>
    <row r="1202" spans="1:23" s="589" customFormat="1" x14ac:dyDescent="0.2">
      <c r="A1202" s="589" t="s">
        <v>56</v>
      </c>
      <c r="B1202" s="589" t="s">
        <v>548</v>
      </c>
      <c r="C1202" s="590" t="s">
        <v>2354</v>
      </c>
      <c r="D1202" s="589" t="s">
        <v>100</v>
      </c>
      <c r="E1202" s="589" t="s">
        <v>104</v>
      </c>
      <c r="F1202" s="589" t="s">
        <v>112</v>
      </c>
      <c r="G1202" s="589" t="s">
        <v>51</v>
      </c>
      <c r="H1202" s="589" t="s">
        <v>242</v>
      </c>
      <c r="I1202" s="589" t="s">
        <v>2687</v>
      </c>
      <c r="J1202" s="589" t="s">
        <v>35</v>
      </c>
      <c r="K1202" s="591">
        <v>6507.991</v>
      </c>
      <c r="L1202" s="592">
        <f>IF(J1202="TND",1,IF(J1202="EUR",Vertical_Cash_flow!$C$16,IF(J1202="USD",Vertical_Cash_flow!$F$16,0)))</f>
        <v>1</v>
      </c>
      <c r="M1202" s="593">
        <f t="shared" si="76"/>
        <v>6507.991</v>
      </c>
      <c r="N1202" s="589" t="s">
        <v>251</v>
      </c>
      <c r="O1202" s="594">
        <v>45408</v>
      </c>
      <c r="P1202" s="593">
        <f t="shared" si="77"/>
        <v>-114</v>
      </c>
      <c r="Q1202" s="594">
        <v>45522</v>
      </c>
      <c r="R1202" s="593">
        <f t="shared" ca="1" si="78"/>
        <v>-81</v>
      </c>
      <c r="S1202" s="589" t="str">
        <f>VLOOKUP(Q1202,Mapping!L:M,2,0)</f>
        <v>W34_2024</v>
      </c>
      <c r="T1202" s="589" t="str">
        <f t="shared" ca="1" si="79"/>
        <v>Not Due</v>
      </c>
      <c r="W1202" s="591"/>
    </row>
    <row r="1203" spans="1:23" s="589" customFormat="1" x14ac:dyDescent="0.2">
      <c r="A1203" s="589" t="s">
        <v>56</v>
      </c>
      <c r="B1203" s="589" t="s">
        <v>274</v>
      </c>
      <c r="C1203" s="590" t="s">
        <v>3077</v>
      </c>
      <c r="D1203" s="589" t="s">
        <v>100</v>
      </c>
      <c r="E1203" s="589" t="s">
        <v>104</v>
      </c>
      <c r="F1203" s="589" t="s">
        <v>112</v>
      </c>
      <c r="G1203" s="589" t="s">
        <v>51</v>
      </c>
      <c r="H1203" s="589" t="s">
        <v>242</v>
      </c>
      <c r="I1203" s="589" t="s">
        <v>3272</v>
      </c>
      <c r="J1203" s="589" t="s">
        <v>35</v>
      </c>
      <c r="K1203" s="591">
        <v>885</v>
      </c>
      <c r="L1203" s="592">
        <f>IF(J1203="TND",1,IF(J1203="EUR",Vertical_Cash_flow!$C$16,IF(J1203="USD",Vertical_Cash_flow!$F$16,0)))</f>
        <v>1</v>
      </c>
      <c r="M1203" s="593">
        <f t="shared" si="76"/>
        <v>885</v>
      </c>
      <c r="N1203" s="589" t="s">
        <v>251</v>
      </c>
      <c r="O1203" s="594">
        <v>45411</v>
      </c>
      <c r="P1203" s="593">
        <f t="shared" si="77"/>
        <v>-112</v>
      </c>
      <c r="Q1203" s="594">
        <v>45523</v>
      </c>
      <c r="R1203" s="593">
        <f t="shared" ca="1" si="78"/>
        <v>-82</v>
      </c>
      <c r="S1203" s="589" t="str">
        <f>VLOOKUP(Q1203,Mapping!L:M,2,0)</f>
        <v>W34_2024</v>
      </c>
      <c r="T1203" s="589" t="str">
        <f t="shared" ca="1" si="79"/>
        <v>Not Due</v>
      </c>
      <c r="W1203" s="591"/>
    </row>
    <row r="1204" spans="1:23" s="589" customFormat="1" x14ac:dyDescent="0.2">
      <c r="A1204" s="589" t="s">
        <v>56</v>
      </c>
      <c r="B1204" s="589" t="s">
        <v>810</v>
      </c>
      <c r="C1204" s="590" t="s">
        <v>3076</v>
      </c>
      <c r="D1204" s="589" t="s">
        <v>100</v>
      </c>
      <c r="E1204" s="589" t="s">
        <v>104</v>
      </c>
      <c r="F1204" s="589" t="s">
        <v>112</v>
      </c>
      <c r="G1204" s="589" t="s">
        <v>51</v>
      </c>
      <c r="H1204" s="589" t="s">
        <v>242</v>
      </c>
      <c r="I1204" s="589" t="s">
        <v>3271</v>
      </c>
      <c r="J1204" s="589" t="s">
        <v>35</v>
      </c>
      <c r="K1204" s="591">
        <v>3827.4879999999998</v>
      </c>
      <c r="L1204" s="592">
        <f>IF(J1204="TND",1,IF(J1204="EUR",Vertical_Cash_flow!$C$16,IF(J1204="USD",Vertical_Cash_flow!$F$16,0)))</f>
        <v>1</v>
      </c>
      <c r="M1204" s="593">
        <f t="shared" si="76"/>
        <v>3827.4879999999998</v>
      </c>
      <c r="N1204" s="589" t="s">
        <v>251</v>
      </c>
      <c r="O1204" s="594">
        <v>45418</v>
      </c>
      <c r="P1204" s="593">
        <f t="shared" si="77"/>
        <v>-105</v>
      </c>
      <c r="Q1204" s="594">
        <v>45523</v>
      </c>
      <c r="R1204" s="593">
        <f t="shared" ca="1" si="78"/>
        <v>-82</v>
      </c>
      <c r="S1204" s="589" t="str">
        <f>VLOOKUP(Q1204,Mapping!L:M,2,0)</f>
        <v>W34_2024</v>
      </c>
      <c r="T1204" s="589" t="str">
        <f t="shared" ca="1" si="79"/>
        <v>Not Due</v>
      </c>
      <c r="W1204" s="591"/>
    </row>
    <row r="1205" spans="1:23" s="589" customFormat="1" x14ac:dyDescent="0.2">
      <c r="A1205" s="589" t="s">
        <v>56</v>
      </c>
      <c r="B1205" s="589" t="s">
        <v>353</v>
      </c>
      <c r="C1205" s="590" t="s">
        <v>2353</v>
      </c>
      <c r="D1205" s="589" t="s">
        <v>100</v>
      </c>
      <c r="E1205" s="589" t="s">
        <v>104</v>
      </c>
      <c r="F1205" s="589" t="s">
        <v>112</v>
      </c>
      <c r="G1205" s="589" t="s">
        <v>51</v>
      </c>
      <c r="H1205" s="589" t="s">
        <v>242</v>
      </c>
      <c r="I1205" s="589" t="s">
        <v>2686</v>
      </c>
      <c r="J1205" s="589" t="s">
        <v>35</v>
      </c>
      <c r="K1205" s="591">
        <v>891.68899999999996</v>
      </c>
      <c r="L1205" s="592">
        <f>IF(J1205="TND",1,IF(J1205="EUR",Vertical_Cash_flow!$C$16,IF(J1205="USD",Vertical_Cash_flow!$F$16,0)))</f>
        <v>1</v>
      </c>
      <c r="M1205" s="593">
        <f t="shared" si="76"/>
        <v>891.68899999999996</v>
      </c>
      <c r="N1205" s="589" t="s">
        <v>251</v>
      </c>
      <c r="O1205" s="594">
        <v>45405</v>
      </c>
      <c r="P1205" s="593">
        <f t="shared" si="77"/>
        <v>-119</v>
      </c>
      <c r="Q1205" s="594">
        <v>45524</v>
      </c>
      <c r="R1205" s="593">
        <f t="shared" ca="1" si="78"/>
        <v>-83</v>
      </c>
      <c r="S1205" s="589" t="str">
        <f>VLOOKUP(Q1205,Mapping!L:M,2,0)</f>
        <v>W34_2024</v>
      </c>
      <c r="T1205" s="589" t="str">
        <f t="shared" ca="1" si="79"/>
        <v>Not Due</v>
      </c>
      <c r="W1205" s="591"/>
    </row>
    <row r="1206" spans="1:23" s="589" customFormat="1" x14ac:dyDescent="0.2">
      <c r="A1206" s="589" t="s">
        <v>56</v>
      </c>
      <c r="B1206" s="589" t="s">
        <v>294</v>
      </c>
      <c r="C1206" s="590" t="s">
        <v>3462</v>
      </c>
      <c r="D1206" s="589" t="s">
        <v>100</v>
      </c>
      <c r="E1206" s="589" t="s">
        <v>104</v>
      </c>
      <c r="F1206" s="589" t="s">
        <v>112</v>
      </c>
      <c r="G1206" s="589" t="s">
        <v>51</v>
      </c>
      <c r="H1206" s="589" t="s">
        <v>242</v>
      </c>
      <c r="I1206" s="589" t="s">
        <v>3624</v>
      </c>
      <c r="J1206" s="589" t="s">
        <v>35</v>
      </c>
      <c r="K1206" s="591">
        <v>2000</v>
      </c>
      <c r="L1206" s="592">
        <f>IF(J1206="TND",1,IF(J1206="EUR",Vertical_Cash_flow!$C$16,IF(J1206="USD",Vertical_Cash_flow!$F$16,0)))</f>
        <v>1</v>
      </c>
      <c r="M1206" s="593">
        <f t="shared" si="76"/>
        <v>2000</v>
      </c>
      <c r="N1206" s="589" t="s">
        <v>251</v>
      </c>
      <c r="O1206" s="594">
        <v>45430</v>
      </c>
      <c r="P1206" s="593">
        <f t="shared" si="77"/>
        <v>-94</v>
      </c>
      <c r="Q1206" s="594">
        <v>45524</v>
      </c>
      <c r="R1206" s="593">
        <f t="shared" ca="1" si="78"/>
        <v>-83</v>
      </c>
      <c r="S1206" s="589" t="str">
        <f>VLOOKUP(Q1206,Mapping!L:M,2,0)</f>
        <v>W34_2024</v>
      </c>
      <c r="T1206" s="589" t="str">
        <f t="shared" ca="1" si="79"/>
        <v>Not Due</v>
      </c>
      <c r="W1206" s="591"/>
    </row>
    <row r="1207" spans="1:23" s="589" customFormat="1" x14ac:dyDescent="0.2">
      <c r="A1207" s="589" t="s">
        <v>56</v>
      </c>
      <c r="B1207" s="589" t="s">
        <v>398</v>
      </c>
      <c r="C1207" s="590" t="s">
        <v>3461</v>
      </c>
      <c r="D1207" s="589" t="s">
        <v>100</v>
      </c>
      <c r="E1207" s="589" t="s">
        <v>104</v>
      </c>
      <c r="F1207" s="589" t="s">
        <v>112</v>
      </c>
      <c r="G1207" s="589" t="s">
        <v>51</v>
      </c>
      <c r="H1207" s="589" t="s">
        <v>242</v>
      </c>
      <c r="I1207" s="589" t="s">
        <v>3623</v>
      </c>
      <c r="J1207" s="589" t="s">
        <v>35</v>
      </c>
      <c r="K1207" s="591">
        <v>2000</v>
      </c>
      <c r="L1207" s="592">
        <f>IF(J1207="TND",1,IF(J1207="EUR",Vertical_Cash_flow!$C$16,IF(J1207="USD",Vertical_Cash_flow!$F$16,0)))</f>
        <v>1</v>
      </c>
      <c r="M1207" s="593">
        <f t="shared" si="76"/>
        <v>2000</v>
      </c>
      <c r="N1207" s="589" t="s">
        <v>251</v>
      </c>
      <c r="O1207" s="594">
        <v>45426</v>
      </c>
      <c r="P1207" s="593">
        <f t="shared" si="77"/>
        <v>-98</v>
      </c>
      <c r="Q1207" s="594">
        <v>45524</v>
      </c>
      <c r="R1207" s="593">
        <f t="shared" ca="1" si="78"/>
        <v>-83</v>
      </c>
      <c r="S1207" s="589" t="str">
        <f>VLOOKUP(Q1207,Mapping!L:M,2,0)</f>
        <v>W34_2024</v>
      </c>
      <c r="T1207" s="589" t="str">
        <f t="shared" ca="1" si="79"/>
        <v>Not Due</v>
      </c>
      <c r="W1207" s="591"/>
    </row>
    <row r="1208" spans="1:23" s="589" customFormat="1" x14ac:dyDescent="0.2">
      <c r="A1208" s="589" t="s">
        <v>56</v>
      </c>
      <c r="B1208" s="589" t="s">
        <v>827</v>
      </c>
      <c r="C1208" s="590" t="s">
        <v>3460</v>
      </c>
      <c r="D1208" s="589" t="s">
        <v>100</v>
      </c>
      <c r="E1208" s="589" t="s">
        <v>104</v>
      </c>
      <c r="F1208" s="589" t="s">
        <v>112</v>
      </c>
      <c r="G1208" s="589" t="s">
        <v>51</v>
      </c>
      <c r="H1208" s="589" t="s">
        <v>242</v>
      </c>
      <c r="I1208" s="589" t="s">
        <v>812</v>
      </c>
      <c r="J1208" s="589" t="s">
        <v>35</v>
      </c>
      <c r="K1208" s="591">
        <v>4642.9530000000004</v>
      </c>
      <c r="L1208" s="592">
        <f>IF(J1208="TND",1,IF(J1208="EUR",Vertical_Cash_flow!$C$16,IF(J1208="USD",Vertical_Cash_flow!$F$16,0)))</f>
        <v>1</v>
      </c>
      <c r="M1208" s="593">
        <f t="shared" si="76"/>
        <v>4642.9530000000004</v>
      </c>
      <c r="N1208" s="589" t="s">
        <v>251</v>
      </c>
      <c r="O1208" s="594">
        <v>45427</v>
      </c>
      <c r="P1208" s="593">
        <f t="shared" si="77"/>
        <v>-97</v>
      </c>
      <c r="Q1208" s="594">
        <v>45524</v>
      </c>
      <c r="R1208" s="593">
        <f t="shared" ca="1" si="78"/>
        <v>-83</v>
      </c>
      <c r="S1208" s="589" t="str">
        <f>VLOOKUP(Q1208,Mapping!L:M,2,0)</f>
        <v>W34_2024</v>
      </c>
      <c r="T1208" s="589" t="str">
        <f t="shared" ca="1" si="79"/>
        <v>Not Due</v>
      </c>
      <c r="W1208" s="591"/>
    </row>
    <row r="1209" spans="1:23" s="589" customFormat="1" x14ac:dyDescent="0.2">
      <c r="A1209" s="589" t="s">
        <v>56</v>
      </c>
      <c r="B1209" s="589" t="s">
        <v>388</v>
      </c>
      <c r="C1209" s="590" t="s">
        <v>3075</v>
      </c>
      <c r="D1209" s="589" t="s">
        <v>100</v>
      </c>
      <c r="E1209" s="589" t="s">
        <v>104</v>
      </c>
      <c r="F1209" s="589" t="s">
        <v>112</v>
      </c>
      <c r="G1209" s="589" t="s">
        <v>51</v>
      </c>
      <c r="H1209" s="589" t="s">
        <v>242</v>
      </c>
      <c r="I1209" s="589" t="s">
        <v>3270</v>
      </c>
      <c r="J1209" s="589" t="s">
        <v>35</v>
      </c>
      <c r="K1209" s="591">
        <v>6069.6009999999997</v>
      </c>
      <c r="L1209" s="592">
        <f>IF(J1209="TND",1,IF(J1209="EUR",Vertical_Cash_flow!$C$16,IF(J1209="USD",Vertical_Cash_flow!$F$16,0)))</f>
        <v>1</v>
      </c>
      <c r="M1209" s="593">
        <f t="shared" si="76"/>
        <v>6069.6009999999997</v>
      </c>
      <c r="N1209" s="589" t="s">
        <v>251</v>
      </c>
      <c r="O1209" s="594">
        <v>45412</v>
      </c>
      <c r="P1209" s="593">
        <f t="shared" si="77"/>
        <v>-112</v>
      </c>
      <c r="Q1209" s="594">
        <v>45524</v>
      </c>
      <c r="R1209" s="593">
        <f t="shared" ca="1" si="78"/>
        <v>-83</v>
      </c>
      <c r="S1209" s="589" t="str">
        <f>VLOOKUP(Q1209,Mapping!L:M,2,0)</f>
        <v>W34_2024</v>
      </c>
      <c r="T1209" s="589" t="str">
        <f t="shared" ca="1" si="79"/>
        <v>Not Due</v>
      </c>
      <c r="W1209" s="591"/>
    </row>
    <row r="1210" spans="1:23" s="589" customFormat="1" x14ac:dyDescent="0.2">
      <c r="A1210" s="589" t="s">
        <v>56</v>
      </c>
      <c r="B1210" s="589" t="s">
        <v>345</v>
      </c>
      <c r="C1210" s="590" t="s">
        <v>2350</v>
      </c>
      <c r="D1210" s="589" t="s">
        <v>100</v>
      </c>
      <c r="E1210" s="589" t="s">
        <v>104</v>
      </c>
      <c r="F1210" s="589" t="s">
        <v>112</v>
      </c>
      <c r="G1210" s="589" t="s">
        <v>51</v>
      </c>
      <c r="H1210" s="589" t="s">
        <v>242</v>
      </c>
      <c r="I1210" s="589" t="s">
        <v>2683</v>
      </c>
      <c r="J1210" s="589" t="s">
        <v>35</v>
      </c>
      <c r="K1210" s="591">
        <v>6145</v>
      </c>
      <c r="L1210" s="592">
        <f>IF(J1210="TND",1,IF(J1210="EUR",Vertical_Cash_flow!$C$16,IF(J1210="USD",Vertical_Cash_flow!$F$16,0)))</f>
        <v>1</v>
      </c>
      <c r="M1210" s="593">
        <f t="shared" si="76"/>
        <v>6145</v>
      </c>
      <c r="N1210" s="589" t="s">
        <v>251</v>
      </c>
      <c r="O1210" s="594">
        <v>45408</v>
      </c>
      <c r="P1210" s="593">
        <f t="shared" si="77"/>
        <v>-116</v>
      </c>
      <c r="Q1210" s="594">
        <v>45524</v>
      </c>
      <c r="R1210" s="593">
        <f t="shared" ca="1" si="78"/>
        <v>-83</v>
      </c>
      <c r="S1210" s="589" t="str">
        <f>VLOOKUP(Q1210,Mapping!L:M,2,0)</f>
        <v>W34_2024</v>
      </c>
      <c r="T1210" s="589" t="str">
        <f t="shared" ca="1" si="79"/>
        <v>Not Due</v>
      </c>
      <c r="W1210" s="591"/>
    </row>
    <row r="1211" spans="1:23" s="589" customFormat="1" x14ac:dyDescent="0.2">
      <c r="A1211" s="589" t="s">
        <v>56</v>
      </c>
      <c r="B1211" s="589" t="s">
        <v>605</v>
      </c>
      <c r="C1211" s="590" t="s">
        <v>3074</v>
      </c>
      <c r="D1211" s="589" t="s">
        <v>100</v>
      </c>
      <c r="E1211" s="589" t="s">
        <v>104</v>
      </c>
      <c r="F1211" s="589" t="s">
        <v>112</v>
      </c>
      <c r="G1211" s="589" t="s">
        <v>51</v>
      </c>
      <c r="H1211" s="589" t="s">
        <v>242</v>
      </c>
      <c r="I1211" s="589" t="s">
        <v>3269</v>
      </c>
      <c r="J1211" s="589" t="s">
        <v>35</v>
      </c>
      <c r="K1211" s="591">
        <v>3676.3910000000001</v>
      </c>
      <c r="L1211" s="592">
        <f>IF(J1211="TND",1,IF(J1211="EUR",Vertical_Cash_flow!$C$16,IF(J1211="USD",Vertical_Cash_flow!$F$16,0)))</f>
        <v>1</v>
      </c>
      <c r="M1211" s="593">
        <f t="shared" si="76"/>
        <v>3676.3910000000001</v>
      </c>
      <c r="N1211" s="589" t="s">
        <v>251</v>
      </c>
      <c r="O1211" s="594">
        <v>45412</v>
      </c>
      <c r="P1211" s="593">
        <f t="shared" si="77"/>
        <v>-112</v>
      </c>
      <c r="Q1211" s="594">
        <v>45524</v>
      </c>
      <c r="R1211" s="593">
        <f t="shared" ca="1" si="78"/>
        <v>-83</v>
      </c>
      <c r="S1211" s="589" t="str">
        <f>VLOOKUP(Q1211,Mapping!L:M,2,0)</f>
        <v>W34_2024</v>
      </c>
      <c r="T1211" s="589" t="str">
        <f t="shared" ca="1" si="79"/>
        <v>Not Due</v>
      </c>
      <c r="W1211" s="591"/>
    </row>
    <row r="1212" spans="1:23" s="589" customFormat="1" x14ac:dyDescent="0.2">
      <c r="A1212" s="589" t="s">
        <v>56</v>
      </c>
      <c r="B1212" s="589" t="s">
        <v>589</v>
      </c>
      <c r="C1212" s="590" t="s">
        <v>1509</v>
      </c>
      <c r="D1212" s="589" t="s">
        <v>100</v>
      </c>
      <c r="E1212" s="589" t="s">
        <v>104</v>
      </c>
      <c r="F1212" s="589" t="s">
        <v>112</v>
      </c>
      <c r="G1212" s="589" t="s">
        <v>51</v>
      </c>
      <c r="H1212" s="589" t="s">
        <v>242</v>
      </c>
      <c r="I1212" s="589" t="s">
        <v>1921</v>
      </c>
      <c r="J1212" s="589" t="s">
        <v>35</v>
      </c>
      <c r="K1212" s="591">
        <v>2273.768</v>
      </c>
      <c r="L1212" s="592">
        <f>IF(J1212="TND",1,IF(J1212="EUR",Vertical_Cash_flow!$C$16,IF(J1212="USD",Vertical_Cash_flow!$F$16,0)))</f>
        <v>1</v>
      </c>
      <c r="M1212" s="593">
        <f t="shared" si="76"/>
        <v>2273.768</v>
      </c>
      <c r="N1212" s="589" t="s">
        <v>251</v>
      </c>
      <c r="O1212" s="594">
        <v>45378</v>
      </c>
      <c r="P1212" s="593">
        <f t="shared" si="77"/>
        <v>-146</v>
      </c>
      <c r="Q1212" s="594">
        <v>45524</v>
      </c>
      <c r="R1212" s="593">
        <f t="shared" ca="1" si="78"/>
        <v>-83</v>
      </c>
      <c r="S1212" s="589" t="str">
        <f>VLOOKUP(Q1212,Mapping!L:M,2,0)</f>
        <v>W34_2024</v>
      </c>
      <c r="T1212" s="589" t="str">
        <f t="shared" ca="1" si="79"/>
        <v>Not Due</v>
      </c>
      <c r="W1212" s="591"/>
    </row>
    <row r="1213" spans="1:23" s="589" customFormat="1" x14ac:dyDescent="0.2">
      <c r="A1213" s="589" t="s">
        <v>56</v>
      </c>
      <c r="B1213" s="589" t="s">
        <v>1244</v>
      </c>
      <c r="C1213" s="590" t="s">
        <v>3459</v>
      </c>
      <c r="D1213" s="589" t="s">
        <v>100</v>
      </c>
      <c r="E1213" s="589" t="s">
        <v>104</v>
      </c>
      <c r="F1213" s="589" t="s">
        <v>112</v>
      </c>
      <c r="G1213" s="589" t="s">
        <v>51</v>
      </c>
      <c r="H1213" s="589" t="s">
        <v>242</v>
      </c>
      <c r="I1213" s="589" t="s">
        <v>3622</v>
      </c>
      <c r="J1213" s="589" t="s">
        <v>35</v>
      </c>
      <c r="K1213" s="591">
        <v>700</v>
      </c>
      <c r="L1213" s="592">
        <f>IF(J1213="TND",1,IF(J1213="EUR",Vertical_Cash_flow!$C$16,IF(J1213="USD",Vertical_Cash_flow!$F$16,0)))</f>
        <v>1</v>
      </c>
      <c r="M1213" s="593">
        <f t="shared" si="76"/>
        <v>700</v>
      </c>
      <c r="N1213" s="589" t="s">
        <v>251</v>
      </c>
      <c r="O1213" s="594">
        <v>45423</v>
      </c>
      <c r="P1213" s="593">
        <f t="shared" si="77"/>
        <v>-101</v>
      </c>
      <c r="Q1213" s="594">
        <v>45524</v>
      </c>
      <c r="R1213" s="593">
        <f t="shared" ca="1" si="78"/>
        <v>-83</v>
      </c>
      <c r="S1213" s="589" t="str">
        <f>VLOOKUP(Q1213,Mapping!L:M,2,0)</f>
        <v>W34_2024</v>
      </c>
      <c r="T1213" s="589" t="str">
        <f t="shared" ca="1" si="79"/>
        <v>Not Due</v>
      </c>
      <c r="W1213" s="591"/>
    </row>
    <row r="1214" spans="1:23" s="589" customFormat="1" x14ac:dyDescent="0.2">
      <c r="A1214" s="589" t="s">
        <v>56</v>
      </c>
      <c r="B1214" s="589" t="s">
        <v>279</v>
      </c>
      <c r="C1214" s="590" t="s">
        <v>2351</v>
      </c>
      <c r="D1214" s="589" t="s">
        <v>100</v>
      </c>
      <c r="E1214" s="589" t="s">
        <v>104</v>
      </c>
      <c r="F1214" s="589" t="s">
        <v>112</v>
      </c>
      <c r="G1214" s="589" t="s">
        <v>51</v>
      </c>
      <c r="H1214" s="589" t="s">
        <v>242</v>
      </c>
      <c r="I1214" s="589" t="s">
        <v>2684</v>
      </c>
      <c r="J1214" s="589" t="s">
        <v>35</v>
      </c>
      <c r="K1214" s="591">
        <v>3300</v>
      </c>
      <c r="L1214" s="592">
        <f>IF(J1214="TND",1,IF(J1214="EUR",Vertical_Cash_flow!$C$16,IF(J1214="USD",Vertical_Cash_flow!$F$16,0)))</f>
        <v>1</v>
      </c>
      <c r="M1214" s="593">
        <f t="shared" si="76"/>
        <v>3300</v>
      </c>
      <c r="N1214" s="589" t="s">
        <v>251</v>
      </c>
      <c r="O1214" s="594">
        <v>45406</v>
      </c>
      <c r="P1214" s="593">
        <f t="shared" si="77"/>
        <v>-118</v>
      </c>
      <c r="Q1214" s="594">
        <v>45524</v>
      </c>
      <c r="R1214" s="593">
        <f t="shared" ca="1" si="78"/>
        <v>-83</v>
      </c>
      <c r="S1214" s="589" t="str">
        <f>VLOOKUP(Q1214,Mapping!L:M,2,0)</f>
        <v>W34_2024</v>
      </c>
      <c r="T1214" s="589" t="str">
        <f t="shared" ca="1" si="79"/>
        <v>Not Due</v>
      </c>
      <c r="W1214" s="591"/>
    </row>
    <row r="1215" spans="1:23" s="589" customFormat="1" x14ac:dyDescent="0.2">
      <c r="A1215" s="589" t="s">
        <v>56</v>
      </c>
      <c r="B1215" s="589" t="s">
        <v>383</v>
      </c>
      <c r="C1215" s="590" t="s">
        <v>2352</v>
      </c>
      <c r="D1215" s="589" t="s">
        <v>100</v>
      </c>
      <c r="E1215" s="589" t="s">
        <v>104</v>
      </c>
      <c r="F1215" s="589" t="s">
        <v>112</v>
      </c>
      <c r="G1215" s="589" t="s">
        <v>51</v>
      </c>
      <c r="H1215" s="589" t="s">
        <v>242</v>
      </c>
      <c r="I1215" s="589" t="s">
        <v>2685</v>
      </c>
      <c r="J1215" s="589" t="s">
        <v>35</v>
      </c>
      <c r="K1215" s="591">
        <v>17223.28</v>
      </c>
      <c r="L1215" s="592">
        <f>IF(J1215="TND",1,IF(J1215="EUR",Vertical_Cash_flow!$C$16,IF(J1215="USD",Vertical_Cash_flow!$F$16,0)))</f>
        <v>1</v>
      </c>
      <c r="M1215" s="593">
        <f t="shared" si="76"/>
        <v>17223.28</v>
      </c>
      <c r="N1215" s="589" t="s">
        <v>251</v>
      </c>
      <c r="O1215" s="594">
        <v>45406</v>
      </c>
      <c r="P1215" s="593">
        <f t="shared" si="77"/>
        <v>-118</v>
      </c>
      <c r="Q1215" s="594">
        <v>45524</v>
      </c>
      <c r="R1215" s="593">
        <f t="shared" ca="1" si="78"/>
        <v>-83</v>
      </c>
      <c r="S1215" s="589" t="str">
        <f>VLOOKUP(Q1215,Mapping!L:M,2,0)</f>
        <v>W34_2024</v>
      </c>
      <c r="T1215" s="589" t="str">
        <f t="shared" ca="1" si="79"/>
        <v>Not Due</v>
      </c>
      <c r="W1215" s="591"/>
    </row>
    <row r="1216" spans="1:23" s="589" customFormat="1" x14ac:dyDescent="0.2">
      <c r="A1216" s="589" t="s">
        <v>56</v>
      </c>
      <c r="B1216" s="589" t="s">
        <v>482</v>
      </c>
      <c r="C1216" s="590" t="s">
        <v>3073</v>
      </c>
      <c r="D1216" s="589" t="s">
        <v>100</v>
      </c>
      <c r="E1216" s="589" t="s">
        <v>104</v>
      </c>
      <c r="F1216" s="589" t="s">
        <v>112</v>
      </c>
      <c r="G1216" s="589" t="s">
        <v>51</v>
      </c>
      <c r="H1216" s="589" t="s">
        <v>242</v>
      </c>
      <c r="I1216" s="589" t="s">
        <v>3268</v>
      </c>
      <c r="J1216" s="589" t="s">
        <v>35</v>
      </c>
      <c r="K1216" s="591">
        <v>1382.1890000000001</v>
      </c>
      <c r="L1216" s="592">
        <f>IF(J1216="TND",1,IF(J1216="EUR",Vertical_Cash_flow!$C$16,IF(J1216="USD",Vertical_Cash_flow!$F$16,0)))</f>
        <v>1</v>
      </c>
      <c r="M1216" s="593">
        <f t="shared" si="76"/>
        <v>1382.1890000000001</v>
      </c>
      <c r="N1216" s="589" t="s">
        <v>251</v>
      </c>
      <c r="O1216" s="594">
        <v>45411</v>
      </c>
      <c r="P1216" s="593">
        <f t="shared" si="77"/>
        <v>-113</v>
      </c>
      <c r="Q1216" s="594">
        <v>45524</v>
      </c>
      <c r="R1216" s="593">
        <f t="shared" ca="1" si="78"/>
        <v>-83</v>
      </c>
      <c r="S1216" s="589" t="str">
        <f>VLOOKUP(Q1216,Mapping!L:M,2,0)</f>
        <v>W34_2024</v>
      </c>
      <c r="T1216" s="589" t="str">
        <f t="shared" ca="1" si="79"/>
        <v>Not Due</v>
      </c>
      <c r="W1216" s="591"/>
    </row>
    <row r="1217" spans="1:23" s="589" customFormat="1" x14ac:dyDescent="0.2">
      <c r="A1217" s="589" t="s">
        <v>56</v>
      </c>
      <c r="B1217" s="589" t="s">
        <v>482</v>
      </c>
      <c r="C1217" s="590" t="s">
        <v>3071</v>
      </c>
      <c r="D1217" s="589" t="s">
        <v>100</v>
      </c>
      <c r="E1217" s="589" t="s">
        <v>104</v>
      </c>
      <c r="F1217" s="589" t="s">
        <v>112</v>
      </c>
      <c r="G1217" s="589" t="s">
        <v>51</v>
      </c>
      <c r="H1217" s="589" t="s">
        <v>242</v>
      </c>
      <c r="I1217" s="589" t="s">
        <v>3266</v>
      </c>
      <c r="J1217" s="589" t="s">
        <v>35</v>
      </c>
      <c r="K1217" s="591">
        <v>1350</v>
      </c>
      <c r="L1217" s="592">
        <f>IF(J1217="TND",1,IF(J1217="EUR",Vertical_Cash_flow!$C$16,IF(J1217="USD",Vertical_Cash_flow!$F$16,0)))</f>
        <v>1</v>
      </c>
      <c r="M1217" s="593">
        <f t="shared" si="76"/>
        <v>1350</v>
      </c>
      <c r="N1217" s="589" t="s">
        <v>251</v>
      </c>
      <c r="O1217" s="594">
        <v>45411</v>
      </c>
      <c r="P1217" s="593">
        <f t="shared" si="77"/>
        <v>-113</v>
      </c>
      <c r="Q1217" s="594">
        <v>45524</v>
      </c>
      <c r="R1217" s="593">
        <f t="shared" ca="1" si="78"/>
        <v>-83</v>
      </c>
      <c r="S1217" s="589" t="str">
        <f>VLOOKUP(Q1217,Mapping!L:M,2,0)</f>
        <v>W34_2024</v>
      </c>
      <c r="T1217" s="589" t="str">
        <f t="shared" ca="1" si="79"/>
        <v>Not Due</v>
      </c>
      <c r="W1217" s="591"/>
    </row>
    <row r="1218" spans="1:23" s="589" customFormat="1" x14ac:dyDescent="0.2">
      <c r="A1218" s="589" t="s">
        <v>56</v>
      </c>
      <c r="B1218" s="589" t="s">
        <v>482</v>
      </c>
      <c r="C1218" s="590" t="s">
        <v>3072</v>
      </c>
      <c r="D1218" s="589" t="s">
        <v>100</v>
      </c>
      <c r="E1218" s="589" t="s">
        <v>104</v>
      </c>
      <c r="F1218" s="589" t="s">
        <v>112</v>
      </c>
      <c r="G1218" s="589" t="s">
        <v>51</v>
      </c>
      <c r="H1218" s="589" t="s">
        <v>242</v>
      </c>
      <c r="I1218" s="589" t="s">
        <v>3267</v>
      </c>
      <c r="J1218" s="589" t="s">
        <v>35</v>
      </c>
      <c r="K1218" s="591">
        <v>1350</v>
      </c>
      <c r="L1218" s="592">
        <f>IF(J1218="TND",1,IF(J1218="EUR",Vertical_Cash_flow!$C$16,IF(J1218="USD",Vertical_Cash_flow!$F$16,0)))</f>
        <v>1</v>
      </c>
      <c r="M1218" s="593">
        <f t="shared" si="76"/>
        <v>1350</v>
      </c>
      <c r="N1218" s="589" t="s">
        <v>251</v>
      </c>
      <c r="O1218" s="594">
        <v>45411</v>
      </c>
      <c r="P1218" s="593">
        <f t="shared" si="77"/>
        <v>-113</v>
      </c>
      <c r="Q1218" s="594">
        <v>45524</v>
      </c>
      <c r="R1218" s="593">
        <f t="shared" ca="1" si="78"/>
        <v>-83</v>
      </c>
      <c r="S1218" s="589" t="str">
        <f>VLOOKUP(Q1218,Mapping!L:M,2,0)</f>
        <v>W34_2024</v>
      </c>
      <c r="T1218" s="589" t="str">
        <f t="shared" ca="1" si="79"/>
        <v>Not Due</v>
      </c>
      <c r="W1218" s="591"/>
    </row>
    <row r="1219" spans="1:23" s="589" customFormat="1" x14ac:dyDescent="0.2">
      <c r="A1219" s="589" t="s">
        <v>56</v>
      </c>
      <c r="B1219" s="589" t="s">
        <v>500</v>
      </c>
      <c r="C1219" s="590" t="s">
        <v>3070</v>
      </c>
      <c r="D1219" s="589" t="s">
        <v>100</v>
      </c>
      <c r="E1219" s="589" t="s">
        <v>104</v>
      </c>
      <c r="F1219" s="589" t="s">
        <v>112</v>
      </c>
      <c r="G1219" s="589" t="s">
        <v>51</v>
      </c>
      <c r="H1219" s="589" t="s">
        <v>242</v>
      </c>
      <c r="I1219" s="589" t="s">
        <v>3265</v>
      </c>
      <c r="J1219" s="589" t="s">
        <v>35</v>
      </c>
      <c r="K1219" s="591">
        <v>2007.153</v>
      </c>
      <c r="L1219" s="592">
        <f>IF(J1219="TND",1,IF(J1219="EUR",Vertical_Cash_flow!$C$16,IF(J1219="USD",Vertical_Cash_flow!$F$16,0)))</f>
        <v>1</v>
      </c>
      <c r="M1219" s="593">
        <f t="shared" si="76"/>
        <v>2007.153</v>
      </c>
      <c r="N1219" s="589" t="s">
        <v>251</v>
      </c>
      <c r="O1219" s="594">
        <v>45419</v>
      </c>
      <c r="P1219" s="593">
        <f t="shared" si="77"/>
        <v>-105</v>
      </c>
      <c r="Q1219" s="594">
        <v>45524</v>
      </c>
      <c r="R1219" s="593">
        <f t="shared" ca="1" si="78"/>
        <v>-83</v>
      </c>
      <c r="S1219" s="589" t="str">
        <f>VLOOKUP(Q1219,Mapping!L:M,2,0)</f>
        <v>W34_2024</v>
      </c>
      <c r="T1219" s="589" t="str">
        <f t="shared" ca="1" si="79"/>
        <v>Not Due</v>
      </c>
      <c r="W1219" s="591"/>
    </row>
    <row r="1220" spans="1:23" s="589" customFormat="1" x14ac:dyDescent="0.2">
      <c r="A1220" s="589" t="s">
        <v>56</v>
      </c>
      <c r="B1220" s="589" t="s">
        <v>1243</v>
      </c>
      <c r="C1220" s="590" t="s">
        <v>3458</v>
      </c>
      <c r="D1220" s="589" t="s">
        <v>100</v>
      </c>
      <c r="E1220" s="589" t="s">
        <v>104</v>
      </c>
      <c r="F1220" s="589" t="s">
        <v>112</v>
      </c>
      <c r="G1220" s="589" t="s">
        <v>51</v>
      </c>
      <c r="H1220" s="589" t="s">
        <v>242</v>
      </c>
      <c r="I1220" s="589" t="s">
        <v>3621</v>
      </c>
      <c r="J1220" s="589" t="s">
        <v>35</v>
      </c>
      <c r="K1220" s="591">
        <v>3985</v>
      </c>
      <c r="L1220" s="592">
        <f>IF(J1220="TND",1,IF(J1220="EUR",Vertical_Cash_flow!$C$16,IF(J1220="USD",Vertical_Cash_flow!$F$16,0)))</f>
        <v>1</v>
      </c>
      <c r="M1220" s="593">
        <f t="shared" si="76"/>
        <v>3985</v>
      </c>
      <c r="N1220" s="589" t="s">
        <v>251</v>
      </c>
      <c r="O1220" s="594">
        <v>45422</v>
      </c>
      <c r="P1220" s="593">
        <f t="shared" si="77"/>
        <v>-102</v>
      </c>
      <c r="Q1220" s="594">
        <v>45524</v>
      </c>
      <c r="R1220" s="593">
        <f t="shared" ca="1" si="78"/>
        <v>-83</v>
      </c>
      <c r="S1220" s="589" t="str">
        <f>VLOOKUP(Q1220,Mapping!L:M,2,0)</f>
        <v>W34_2024</v>
      </c>
      <c r="T1220" s="589" t="str">
        <f t="shared" ca="1" si="79"/>
        <v>Not Due</v>
      </c>
      <c r="W1220" s="591"/>
    </row>
    <row r="1221" spans="1:23" s="589" customFormat="1" x14ac:dyDescent="0.2">
      <c r="A1221" s="589" t="s">
        <v>56</v>
      </c>
      <c r="B1221" s="589" t="s">
        <v>332</v>
      </c>
      <c r="C1221" s="590" t="s">
        <v>3457</v>
      </c>
      <c r="D1221" s="589" t="s">
        <v>100</v>
      </c>
      <c r="E1221" s="589" t="s">
        <v>104</v>
      </c>
      <c r="F1221" s="589" t="s">
        <v>112</v>
      </c>
      <c r="G1221" s="589" t="s">
        <v>51</v>
      </c>
      <c r="H1221" s="589" t="s">
        <v>242</v>
      </c>
      <c r="I1221" s="589" t="s">
        <v>3620</v>
      </c>
      <c r="J1221" s="589" t="s">
        <v>35</v>
      </c>
      <c r="K1221" s="591">
        <v>2427.6179999999999</v>
      </c>
      <c r="L1221" s="592">
        <f>IF(J1221="TND",1,IF(J1221="EUR",Vertical_Cash_flow!$C$16,IF(J1221="USD",Vertical_Cash_flow!$F$16,0)))</f>
        <v>1</v>
      </c>
      <c r="M1221" s="593">
        <f t="shared" si="76"/>
        <v>2427.6179999999999</v>
      </c>
      <c r="N1221" s="589" t="s">
        <v>251</v>
      </c>
      <c r="O1221" s="594">
        <v>45425</v>
      </c>
      <c r="P1221" s="593">
        <f t="shared" si="77"/>
        <v>-99</v>
      </c>
      <c r="Q1221" s="594">
        <v>45524</v>
      </c>
      <c r="R1221" s="593">
        <f t="shared" ca="1" si="78"/>
        <v>-83</v>
      </c>
      <c r="S1221" s="589" t="str">
        <f>VLOOKUP(Q1221,Mapping!L:M,2,0)</f>
        <v>W34_2024</v>
      </c>
      <c r="T1221" s="589" t="str">
        <f t="shared" ca="1" si="79"/>
        <v>Not Due</v>
      </c>
      <c r="W1221" s="591"/>
    </row>
    <row r="1222" spans="1:23" s="589" customFormat="1" x14ac:dyDescent="0.2">
      <c r="A1222" s="589" t="s">
        <v>56</v>
      </c>
      <c r="B1222" s="589" t="s">
        <v>3405</v>
      </c>
      <c r="C1222" s="590" t="s">
        <v>3456</v>
      </c>
      <c r="D1222" s="589" t="s">
        <v>100</v>
      </c>
      <c r="E1222" s="589" t="s">
        <v>104</v>
      </c>
      <c r="F1222" s="589" t="s">
        <v>112</v>
      </c>
      <c r="G1222" s="589" t="s">
        <v>51</v>
      </c>
      <c r="H1222" s="589" t="s">
        <v>242</v>
      </c>
      <c r="I1222" s="589" t="s">
        <v>3619</v>
      </c>
      <c r="J1222" s="589" t="s">
        <v>35</v>
      </c>
      <c r="K1222" s="591">
        <v>10000</v>
      </c>
      <c r="L1222" s="592">
        <f>IF(J1222="TND",1,IF(J1222="EUR",Vertical_Cash_flow!$C$16,IF(J1222="USD",Vertical_Cash_flow!$F$16,0)))</f>
        <v>1</v>
      </c>
      <c r="M1222" s="593">
        <f t="shared" si="76"/>
        <v>10000</v>
      </c>
      <c r="N1222" s="589" t="s">
        <v>251</v>
      </c>
      <c r="O1222" s="594">
        <v>45427</v>
      </c>
      <c r="P1222" s="593">
        <f t="shared" si="77"/>
        <v>-97</v>
      </c>
      <c r="Q1222" s="594">
        <v>45524</v>
      </c>
      <c r="R1222" s="593">
        <f t="shared" ca="1" si="78"/>
        <v>-83</v>
      </c>
      <c r="S1222" s="589" t="str">
        <f>VLOOKUP(Q1222,Mapping!L:M,2,0)</f>
        <v>W34_2024</v>
      </c>
      <c r="T1222" s="589" t="str">
        <f t="shared" ca="1" si="79"/>
        <v>Not Due</v>
      </c>
      <c r="W1222" s="591"/>
    </row>
    <row r="1223" spans="1:23" s="589" customFormat="1" x14ac:dyDescent="0.2">
      <c r="A1223" s="589" t="s">
        <v>56</v>
      </c>
      <c r="B1223" s="589" t="s">
        <v>943</v>
      </c>
      <c r="C1223" s="590" t="s">
        <v>3455</v>
      </c>
      <c r="D1223" s="589" t="s">
        <v>100</v>
      </c>
      <c r="E1223" s="589" t="s">
        <v>104</v>
      </c>
      <c r="F1223" s="589" t="s">
        <v>112</v>
      </c>
      <c r="G1223" s="589" t="s">
        <v>51</v>
      </c>
      <c r="H1223" s="589" t="s">
        <v>242</v>
      </c>
      <c r="I1223" s="589" t="s">
        <v>3618</v>
      </c>
      <c r="J1223" s="589" t="s">
        <v>35</v>
      </c>
      <c r="K1223" s="591">
        <v>2310.136</v>
      </c>
      <c r="L1223" s="592">
        <f>IF(J1223="TND",1,IF(J1223="EUR",Vertical_Cash_flow!$C$16,IF(J1223="USD",Vertical_Cash_flow!$F$16,0)))</f>
        <v>1</v>
      </c>
      <c r="M1223" s="593">
        <f t="shared" si="76"/>
        <v>2310.136</v>
      </c>
      <c r="N1223" s="589" t="s">
        <v>251</v>
      </c>
      <c r="O1223" s="594">
        <v>45428</v>
      </c>
      <c r="P1223" s="593">
        <f t="shared" si="77"/>
        <v>-96</v>
      </c>
      <c r="Q1223" s="594">
        <v>45524</v>
      </c>
      <c r="R1223" s="593">
        <f t="shared" ca="1" si="78"/>
        <v>-83</v>
      </c>
      <c r="S1223" s="589" t="str">
        <f>VLOOKUP(Q1223,Mapping!L:M,2,0)</f>
        <v>W34_2024</v>
      </c>
      <c r="T1223" s="589" t="str">
        <f t="shared" ca="1" si="79"/>
        <v>Not Due</v>
      </c>
      <c r="W1223" s="591"/>
    </row>
    <row r="1224" spans="1:23" s="589" customFormat="1" x14ac:dyDescent="0.2">
      <c r="A1224" s="589" t="s">
        <v>56</v>
      </c>
      <c r="B1224" s="589" t="s">
        <v>334</v>
      </c>
      <c r="C1224" s="590" t="s">
        <v>3069</v>
      </c>
      <c r="D1224" s="589" t="s">
        <v>100</v>
      </c>
      <c r="E1224" s="589" t="s">
        <v>104</v>
      </c>
      <c r="F1224" s="589" t="s">
        <v>112</v>
      </c>
      <c r="G1224" s="589" t="s">
        <v>51</v>
      </c>
      <c r="H1224" s="589" t="s">
        <v>242</v>
      </c>
      <c r="I1224" s="589" t="s">
        <v>3264</v>
      </c>
      <c r="J1224" s="589" t="s">
        <v>35</v>
      </c>
      <c r="K1224" s="591">
        <v>900</v>
      </c>
      <c r="L1224" s="592">
        <f>IF(J1224="TND",1,IF(J1224="EUR",Vertical_Cash_flow!$C$16,IF(J1224="USD",Vertical_Cash_flow!$F$16,0)))</f>
        <v>1</v>
      </c>
      <c r="M1224" s="593">
        <f t="shared" si="76"/>
        <v>900</v>
      </c>
      <c r="N1224" s="589" t="s">
        <v>251</v>
      </c>
      <c r="O1224" s="594">
        <v>45420</v>
      </c>
      <c r="P1224" s="593">
        <f t="shared" si="77"/>
        <v>-104</v>
      </c>
      <c r="Q1224" s="594">
        <v>45524</v>
      </c>
      <c r="R1224" s="593">
        <f t="shared" ca="1" si="78"/>
        <v>-83</v>
      </c>
      <c r="S1224" s="589" t="str">
        <f>VLOOKUP(Q1224,Mapping!L:M,2,0)</f>
        <v>W34_2024</v>
      </c>
      <c r="T1224" s="589" t="str">
        <f t="shared" ca="1" si="79"/>
        <v>Not Due</v>
      </c>
      <c r="W1224" s="591"/>
    </row>
    <row r="1225" spans="1:23" s="589" customFormat="1" x14ac:dyDescent="0.2">
      <c r="A1225" s="589" t="s">
        <v>56</v>
      </c>
      <c r="B1225" s="589" t="s">
        <v>274</v>
      </c>
      <c r="C1225" s="590" t="s">
        <v>3068</v>
      </c>
      <c r="D1225" s="589" t="s">
        <v>100</v>
      </c>
      <c r="E1225" s="589" t="s">
        <v>104</v>
      </c>
      <c r="F1225" s="589" t="s">
        <v>112</v>
      </c>
      <c r="G1225" s="589" t="s">
        <v>51</v>
      </c>
      <c r="H1225" s="589" t="s">
        <v>242</v>
      </c>
      <c r="I1225" s="589" t="s">
        <v>3263</v>
      </c>
      <c r="J1225" s="589" t="s">
        <v>35</v>
      </c>
      <c r="K1225" s="591">
        <v>880</v>
      </c>
      <c r="L1225" s="592">
        <f>IF(J1225="TND",1,IF(J1225="EUR",Vertical_Cash_flow!$C$16,IF(J1225="USD",Vertical_Cash_flow!$F$16,0)))</f>
        <v>1</v>
      </c>
      <c r="M1225" s="593">
        <f t="shared" si="76"/>
        <v>880</v>
      </c>
      <c r="N1225" s="589" t="s">
        <v>251</v>
      </c>
      <c r="O1225" s="594">
        <v>45411</v>
      </c>
      <c r="P1225" s="593">
        <f t="shared" si="77"/>
        <v>-114</v>
      </c>
      <c r="Q1225" s="594">
        <v>45525</v>
      </c>
      <c r="R1225" s="593">
        <f t="shared" ca="1" si="78"/>
        <v>-84</v>
      </c>
      <c r="S1225" s="589" t="str">
        <f>VLOOKUP(Q1225,Mapping!L:M,2,0)</f>
        <v>W34_2024</v>
      </c>
      <c r="T1225" s="589" t="str">
        <f t="shared" ca="1" si="79"/>
        <v>Not Due</v>
      </c>
      <c r="W1225" s="591"/>
    </row>
    <row r="1226" spans="1:23" s="589" customFormat="1" x14ac:dyDescent="0.2">
      <c r="A1226" s="589" t="s">
        <v>56</v>
      </c>
      <c r="B1226" s="589" t="s">
        <v>288</v>
      </c>
      <c r="C1226" s="590" t="s">
        <v>3066</v>
      </c>
      <c r="D1226" s="589" t="s">
        <v>100</v>
      </c>
      <c r="E1226" s="589" t="s">
        <v>104</v>
      </c>
      <c r="F1226" s="589" t="s">
        <v>112</v>
      </c>
      <c r="G1226" s="589" t="s">
        <v>51</v>
      </c>
      <c r="H1226" s="589" t="s">
        <v>242</v>
      </c>
      <c r="I1226" s="589" t="s">
        <v>3261</v>
      </c>
      <c r="J1226" s="589" t="s">
        <v>35</v>
      </c>
      <c r="K1226" s="591">
        <v>730</v>
      </c>
      <c r="L1226" s="592">
        <f>IF(J1226="TND",1,IF(J1226="EUR",Vertical_Cash_flow!$C$16,IF(J1226="USD",Vertical_Cash_flow!$F$16,0)))</f>
        <v>1</v>
      </c>
      <c r="M1226" s="593">
        <f t="shared" si="76"/>
        <v>730</v>
      </c>
      <c r="N1226" s="589" t="s">
        <v>251</v>
      </c>
      <c r="O1226" s="594">
        <v>45414</v>
      </c>
      <c r="P1226" s="593">
        <f t="shared" si="77"/>
        <v>-111</v>
      </c>
      <c r="Q1226" s="594">
        <v>45525</v>
      </c>
      <c r="R1226" s="593">
        <f t="shared" ca="1" si="78"/>
        <v>-84</v>
      </c>
      <c r="S1226" s="589" t="str">
        <f>VLOOKUP(Q1226,Mapping!L:M,2,0)</f>
        <v>W34_2024</v>
      </c>
      <c r="T1226" s="589" t="str">
        <f t="shared" ca="1" si="79"/>
        <v>Not Due</v>
      </c>
      <c r="W1226" s="591"/>
    </row>
    <row r="1227" spans="1:23" s="589" customFormat="1" x14ac:dyDescent="0.2">
      <c r="A1227" s="589" t="s">
        <v>56</v>
      </c>
      <c r="B1227" s="589" t="s">
        <v>481</v>
      </c>
      <c r="C1227" s="590" t="s">
        <v>3067</v>
      </c>
      <c r="D1227" s="589" t="s">
        <v>100</v>
      </c>
      <c r="E1227" s="589" t="s">
        <v>104</v>
      </c>
      <c r="F1227" s="589" t="s">
        <v>112</v>
      </c>
      <c r="G1227" s="589" t="s">
        <v>51</v>
      </c>
      <c r="H1227" s="589" t="s">
        <v>242</v>
      </c>
      <c r="I1227" s="589" t="s">
        <v>3262</v>
      </c>
      <c r="J1227" s="589" t="s">
        <v>35</v>
      </c>
      <c r="K1227" s="591">
        <v>5570</v>
      </c>
      <c r="L1227" s="592">
        <f>IF(J1227="TND",1,IF(J1227="EUR",Vertical_Cash_flow!$C$16,IF(J1227="USD",Vertical_Cash_flow!$F$16,0)))</f>
        <v>1</v>
      </c>
      <c r="M1227" s="593">
        <f t="shared" si="76"/>
        <v>5570</v>
      </c>
      <c r="N1227" s="589" t="s">
        <v>251</v>
      </c>
      <c r="O1227" s="594">
        <v>45412</v>
      </c>
      <c r="P1227" s="593">
        <f t="shared" si="77"/>
        <v>-113</v>
      </c>
      <c r="Q1227" s="594">
        <v>45525</v>
      </c>
      <c r="R1227" s="593">
        <f t="shared" ca="1" si="78"/>
        <v>-84</v>
      </c>
      <c r="S1227" s="589" t="str">
        <f>VLOOKUP(Q1227,Mapping!L:M,2,0)</f>
        <v>W34_2024</v>
      </c>
      <c r="T1227" s="589" t="str">
        <f t="shared" ca="1" si="79"/>
        <v>Not Due</v>
      </c>
      <c r="W1227" s="591"/>
    </row>
    <row r="1228" spans="1:23" s="589" customFormat="1" x14ac:dyDescent="0.2">
      <c r="A1228" s="589" t="s">
        <v>56</v>
      </c>
      <c r="B1228" s="589" t="s">
        <v>285</v>
      </c>
      <c r="C1228" s="590" t="s">
        <v>3454</v>
      </c>
      <c r="D1228" s="589" t="s">
        <v>100</v>
      </c>
      <c r="E1228" s="589" t="s">
        <v>104</v>
      </c>
      <c r="F1228" s="589" t="s">
        <v>112</v>
      </c>
      <c r="G1228" s="589" t="s">
        <v>51</v>
      </c>
      <c r="H1228" s="589" t="s">
        <v>242</v>
      </c>
      <c r="I1228" s="589" t="s">
        <v>3617</v>
      </c>
      <c r="J1228" s="589" t="s">
        <v>35</v>
      </c>
      <c r="K1228" s="591">
        <v>887.43899999999996</v>
      </c>
      <c r="L1228" s="592">
        <f>IF(J1228="TND",1,IF(J1228="EUR",Vertical_Cash_flow!$C$16,IF(J1228="USD",Vertical_Cash_flow!$F$16,0)))</f>
        <v>1</v>
      </c>
      <c r="M1228" s="593">
        <f t="shared" si="76"/>
        <v>887.43899999999996</v>
      </c>
      <c r="N1228" s="589" t="s">
        <v>251</v>
      </c>
      <c r="O1228" s="594">
        <v>45422</v>
      </c>
      <c r="P1228" s="593">
        <f t="shared" si="77"/>
        <v>-104</v>
      </c>
      <c r="Q1228" s="594">
        <v>45526</v>
      </c>
      <c r="R1228" s="593">
        <f t="shared" ca="1" si="78"/>
        <v>-85</v>
      </c>
      <c r="S1228" s="589" t="str">
        <f>VLOOKUP(Q1228,Mapping!L:M,2,0)</f>
        <v>W34_2024</v>
      </c>
      <c r="T1228" s="589" t="str">
        <f t="shared" ca="1" si="79"/>
        <v>Not Due</v>
      </c>
      <c r="W1228" s="591"/>
    </row>
    <row r="1229" spans="1:23" s="589" customFormat="1" x14ac:dyDescent="0.2">
      <c r="A1229" s="589" t="s">
        <v>56</v>
      </c>
      <c r="B1229" s="589" t="s">
        <v>1247</v>
      </c>
      <c r="C1229" s="590" t="s">
        <v>3453</v>
      </c>
      <c r="D1229" s="589" t="s">
        <v>100</v>
      </c>
      <c r="E1229" s="589" t="s">
        <v>104</v>
      </c>
      <c r="F1229" s="589" t="s">
        <v>112</v>
      </c>
      <c r="G1229" s="589" t="s">
        <v>51</v>
      </c>
      <c r="H1229" s="589" t="s">
        <v>242</v>
      </c>
      <c r="I1229" s="589" t="s">
        <v>3616</v>
      </c>
      <c r="J1229" s="589" t="s">
        <v>35</v>
      </c>
      <c r="K1229" s="591">
        <v>3243.8780000000002</v>
      </c>
      <c r="L1229" s="592">
        <f>IF(J1229="TND",1,IF(J1229="EUR",Vertical_Cash_flow!$C$16,IF(J1229="USD",Vertical_Cash_flow!$F$16,0)))</f>
        <v>1</v>
      </c>
      <c r="M1229" s="593">
        <f t="shared" si="76"/>
        <v>3243.8780000000002</v>
      </c>
      <c r="N1229" s="589" t="s">
        <v>251</v>
      </c>
      <c r="O1229" s="594">
        <v>45427</v>
      </c>
      <c r="P1229" s="593">
        <f t="shared" si="77"/>
        <v>-99</v>
      </c>
      <c r="Q1229" s="594">
        <v>45526</v>
      </c>
      <c r="R1229" s="593">
        <f t="shared" ca="1" si="78"/>
        <v>-85</v>
      </c>
      <c r="S1229" s="589" t="str">
        <f>VLOOKUP(Q1229,Mapping!L:M,2,0)</f>
        <v>W34_2024</v>
      </c>
      <c r="T1229" s="589" t="str">
        <f t="shared" ca="1" si="79"/>
        <v>Not Due</v>
      </c>
      <c r="W1229" s="591"/>
    </row>
    <row r="1230" spans="1:23" s="589" customFormat="1" x14ac:dyDescent="0.2">
      <c r="A1230" s="589" t="s">
        <v>56</v>
      </c>
      <c r="B1230" s="589" t="s">
        <v>1048</v>
      </c>
      <c r="C1230" s="590" t="s">
        <v>3065</v>
      </c>
      <c r="D1230" s="589" t="s">
        <v>100</v>
      </c>
      <c r="E1230" s="589" t="s">
        <v>104</v>
      </c>
      <c r="F1230" s="589" t="s">
        <v>112</v>
      </c>
      <c r="G1230" s="589" t="s">
        <v>51</v>
      </c>
      <c r="H1230" s="589" t="s">
        <v>242</v>
      </c>
      <c r="I1230" s="589" t="s">
        <v>2015</v>
      </c>
      <c r="J1230" s="589" t="s">
        <v>35</v>
      </c>
      <c r="K1230" s="591">
        <v>640</v>
      </c>
      <c r="L1230" s="592">
        <f>IF(J1230="TND",1,IF(J1230="EUR",Vertical_Cash_flow!$C$16,IF(J1230="USD",Vertical_Cash_flow!$F$16,0)))</f>
        <v>1</v>
      </c>
      <c r="M1230" s="593">
        <f t="shared" si="76"/>
        <v>640</v>
      </c>
      <c r="N1230" s="589" t="s">
        <v>251</v>
      </c>
      <c r="O1230" s="594">
        <v>45412</v>
      </c>
      <c r="P1230" s="593">
        <f t="shared" si="77"/>
        <v>-114</v>
      </c>
      <c r="Q1230" s="594">
        <v>45526</v>
      </c>
      <c r="R1230" s="593">
        <f t="shared" ca="1" si="78"/>
        <v>-85</v>
      </c>
      <c r="S1230" s="589" t="str">
        <f>VLOOKUP(Q1230,Mapping!L:M,2,0)</f>
        <v>W34_2024</v>
      </c>
      <c r="T1230" s="589" t="str">
        <f t="shared" ca="1" si="79"/>
        <v>Not Due</v>
      </c>
      <c r="W1230" s="591"/>
    </row>
    <row r="1231" spans="1:23" s="589" customFormat="1" x14ac:dyDescent="0.2">
      <c r="A1231" s="589" t="s">
        <v>56</v>
      </c>
      <c r="B1231" s="589" t="s">
        <v>278</v>
      </c>
      <c r="C1231" s="590" t="s">
        <v>1508</v>
      </c>
      <c r="D1231" s="589" t="s">
        <v>100</v>
      </c>
      <c r="E1231" s="589" t="s">
        <v>104</v>
      </c>
      <c r="F1231" s="589" t="s">
        <v>112</v>
      </c>
      <c r="G1231" s="589" t="s">
        <v>51</v>
      </c>
      <c r="H1231" s="589" t="s">
        <v>242</v>
      </c>
      <c r="I1231" s="589" t="s">
        <v>1919</v>
      </c>
      <c r="J1231" s="589" t="s">
        <v>35</v>
      </c>
      <c r="K1231" s="591">
        <v>6500</v>
      </c>
      <c r="L1231" s="592">
        <f>IF(J1231="TND",1,IF(J1231="EUR",Vertical_Cash_flow!$C$16,IF(J1231="USD",Vertical_Cash_flow!$F$16,0)))</f>
        <v>1</v>
      </c>
      <c r="M1231" s="593">
        <f t="shared" si="76"/>
        <v>6500</v>
      </c>
      <c r="N1231" s="589" t="s">
        <v>251</v>
      </c>
      <c r="O1231" s="594">
        <v>45373</v>
      </c>
      <c r="P1231" s="593">
        <f t="shared" si="77"/>
        <v>-153</v>
      </c>
      <c r="Q1231" s="594">
        <v>45526</v>
      </c>
      <c r="R1231" s="593">
        <f t="shared" ca="1" si="78"/>
        <v>-85</v>
      </c>
      <c r="S1231" s="589" t="str">
        <f>VLOOKUP(Q1231,Mapping!L:M,2,0)</f>
        <v>W34_2024</v>
      </c>
      <c r="T1231" s="589" t="str">
        <f t="shared" ca="1" si="79"/>
        <v>Not Due</v>
      </c>
      <c r="W1231" s="591"/>
    </row>
    <row r="1232" spans="1:23" s="589" customFormat="1" x14ac:dyDescent="0.2">
      <c r="A1232" s="589" t="s">
        <v>56</v>
      </c>
      <c r="B1232" s="589" t="s">
        <v>500</v>
      </c>
      <c r="C1232" s="590" t="s">
        <v>3064</v>
      </c>
      <c r="D1232" s="589" t="s">
        <v>100</v>
      </c>
      <c r="E1232" s="589" t="s">
        <v>104</v>
      </c>
      <c r="F1232" s="589" t="s">
        <v>112</v>
      </c>
      <c r="G1232" s="589" t="s">
        <v>51</v>
      </c>
      <c r="H1232" s="589" t="s">
        <v>242</v>
      </c>
      <c r="I1232" s="589" t="s">
        <v>3260</v>
      </c>
      <c r="J1232" s="589" t="s">
        <v>35</v>
      </c>
      <c r="K1232" s="591">
        <v>1000</v>
      </c>
      <c r="L1232" s="592">
        <f>IF(J1232="TND",1,IF(J1232="EUR",Vertical_Cash_flow!$C$16,IF(J1232="USD",Vertical_Cash_flow!$F$16,0)))</f>
        <v>1</v>
      </c>
      <c r="M1232" s="593">
        <f t="shared" si="76"/>
        <v>1000</v>
      </c>
      <c r="N1232" s="589" t="s">
        <v>251</v>
      </c>
      <c r="O1232" s="594">
        <v>45419</v>
      </c>
      <c r="P1232" s="593">
        <f t="shared" si="77"/>
        <v>-107</v>
      </c>
      <c r="Q1232" s="594">
        <v>45526</v>
      </c>
      <c r="R1232" s="593">
        <f t="shared" ca="1" si="78"/>
        <v>-85</v>
      </c>
      <c r="S1232" s="589" t="str">
        <f>VLOOKUP(Q1232,Mapping!L:M,2,0)</f>
        <v>W34_2024</v>
      </c>
      <c r="T1232" s="589" t="str">
        <f t="shared" ca="1" si="79"/>
        <v>Not Due</v>
      </c>
      <c r="W1232" s="591"/>
    </row>
    <row r="1233" spans="1:23" s="589" customFormat="1" x14ac:dyDescent="0.2">
      <c r="A1233" s="589" t="s">
        <v>56</v>
      </c>
      <c r="B1233" s="589" t="s">
        <v>371</v>
      </c>
      <c r="C1233" s="590" t="s">
        <v>3452</v>
      </c>
      <c r="D1233" s="589" t="s">
        <v>100</v>
      </c>
      <c r="E1233" s="589" t="s">
        <v>104</v>
      </c>
      <c r="F1233" s="589" t="s">
        <v>112</v>
      </c>
      <c r="G1233" s="589" t="s">
        <v>51</v>
      </c>
      <c r="H1233" s="589" t="s">
        <v>242</v>
      </c>
      <c r="I1233" s="589" t="s">
        <v>3615</v>
      </c>
      <c r="J1233" s="589" t="s">
        <v>35</v>
      </c>
      <c r="K1233" s="591">
        <v>560.04200000000003</v>
      </c>
      <c r="L1233" s="592">
        <f>IF(J1233="TND",1,IF(J1233="EUR",Vertical_Cash_flow!$C$16,IF(J1233="USD",Vertical_Cash_flow!$F$16,0)))</f>
        <v>1</v>
      </c>
      <c r="M1233" s="593">
        <f t="shared" si="76"/>
        <v>560.04200000000003</v>
      </c>
      <c r="N1233" s="589" t="s">
        <v>251</v>
      </c>
      <c r="O1233" s="594">
        <v>45422</v>
      </c>
      <c r="P1233" s="593">
        <f t="shared" si="77"/>
        <v>-104</v>
      </c>
      <c r="Q1233" s="594">
        <v>45526</v>
      </c>
      <c r="R1233" s="593">
        <f t="shared" ca="1" si="78"/>
        <v>-85</v>
      </c>
      <c r="S1233" s="589" t="str">
        <f>VLOOKUP(Q1233,Mapping!L:M,2,0)</f>
        <v>W34_2024</v>
      </c>
      <c r="T1233" s="589" t="str">
        <f t="shared" ca="1" si="79"/>
        <v>Not Due</v>
      </c>
      <c r="W1233" s="591"/>
    </row>
    <row r="1234" spans="1:23" s="589" customFormat="1" x14ac:dyDescent="0.2">
      <c r="A1234" s="589" t="s">
        <v>56</v>
      </c>
      <c r="B1234" s="589" t="s">
        <v>274</v>
      </c>
      <c r="C1234" s="590" t="s">
        <v>3063</v>
      </c>
      <c r="D1234" s="589" t="s">
        <v>100</v>
      </c>
      <c r="E1234" s="589" t="s">
        <v>104</v>
      </c>
      <c r="F1234" s="589" t="s">
        <v>112</v>
      </c>
      <c r="G1234" s="589" t="s">
        <v>51</v>
      </c>
      <c r="H1234" s="589" t="s">
        <v>242</v>
      </c>
      <c r="I1234" s="589" t="s">
        <v>3259</v>
      </c>
      <c r="J1234" s="589" t="s">
        <v>35</v>
      </c>
      <c r="K1234" s="591">
        <v>875</v>
      </c>
      <c r="L1234" s="592">
        <f>IF(J1234="TND",1,IF(J1234="EUR",Vertical_Cash_flow!$C$16,IF(J1234="USD",Vertical_Cash_flow!$F$16,0)))</f>
        <v>1</v>
      </c>
      <c r="M1234" s="593">
        <f t="shared" si="76"/>
        <v>875</v>
      </c>
      <c r="N1234" s="589" t="s">
        <v>251</v>
      </c>
      <c r="O1234" s="594">
        <v>45411</v>
      </c>
      <c r="P1234" s="593">
        <f t="shared" si="77"/>
        <v>-116</v>
      </c>
      <c r="Q1234" s="594">
        <v>45527</v>
      </c>
      <c r="R1234" s="593">
        <f t="shared" ca="1" si="78"/>
        <v>-86</v>
      </c>
      <c r="S1234" s="589" t="str">
        <f>VLOOKUP(Q1234,Mapping!L:M,2,0)</f>
        <v>W34_2024</v>
      </c>
      <c r="T1234" s="589" t="str">
        <f t="shared" ca="1" si="79"/>
        <v>Not Due</v>
      </c>
      <c r="W1234" s="591"/>
    </row>
    <row r="1235" spans="1:23" s="589" customFormat="1" x14ac:dyDescent="0.2">
      <c r="A1235" s="589" t="s">
        <v>56</v>
      </c>
      <c r="B1235" s="589" t="s">
        <v>498</v>
      </c>
      <c r="C1235" s="590" t="s">
        <v>2349</v>
      </c>
      <c r="D1235" s="589" t="s">
        <v>100</v>
      </c>
      <c r="E1235" s="589" t="s">
        <v>104</v>
      </c>
      <c r="F1235" s="589" t="s">
        <v>112</v>
      </c>
      <c r="G1235" s="589" t="s">
        <v>51</v>
      </c>
      <c r="H1235" s="589" t="s">
        <v>242</v>
      </c>
      <c r="I1235" s="589" t="s">
        <v>2682</v>
      </c>
      <c r="J1235" s="589" t="s">
        <v>35</v>
      </c>
      <c r="K1235" s="591">
        <v>6000</v>
      </c>
      <c r="L1235" s="592">
        <f>IF(J1235="TND",1,IF(J1235="EUR",Vertical_Cash_flow!$C$16,IF(J1235="USD",Vertical_Cash_flow!$F$16,0)))</f>
        <v>1</v>
      </c>
      <c r="M1235" s="593">
        <f t="shared" si="76"/>
        <v>6000</v>
      </c>
      <c r="N1235" s="589" t="s">
        <v>251</v>
      </c>
      <c r="O1235" s="594">
        <v>45404</v>
      </c>
      <c r="P1235" s="593">
        <f t="shared" si="77"/>
        <v>-123</v>
      </c>
      <c r="Q1235" s="594">
        <v>45527</v>
      </c>
      <c r="R1235" s="593">
        <f t="shared" ca="1" si="78"/>
        <v>-86</v>
      </c>
      <c r="S1235" s="589" t="str">
        <f>VLOOKUP(Q1235,Mapping!L:M,2,0)</f>
        <v>W34_2024</v>
      </c>
      <c r="T1235" s="589" t="str">
        <f t="shared" ca="1" si="79"/>
        <v>Not Due</v>
      </c>
      <c r="W1235" s="591"/>
    </row>
    <row r="1236" spans="1:23" s="589" customFormat="1" x14ac:dyDescent="0.2">
      <c r="A1236" s="589" t="s">
        <v>56</v>
      </c>
      <c r="B1236" s="589" t="s">
        <v>348</v>
      </c>
      <c r="C1236" s="590" t="s">
        <v>2348</v>
      </c>
      <c r="D1236" s="589" t="s">
        <v>100</v>
      </c>
      <c r="E1236" s="589" t="s">
        <v>104</v>
      </c>
      <c r="F1236" s="589" t="s">
        <v>112</v>
      </c>
      <c r="G1236" s="589" t="s">
        <v>51</v>
      </c>
      <c r="H1236" s="589" t="s">
        <v>242</v>
      </c>
      <c r="I1236" s="589" t="s">
        <v>2681</v>
      </c>
      <c r="J1236" s="589" t="s">
        <v>35</v>
      </c>
      <c r="K1236" s="591">
        <v>3800</v>
      </c>
      <c r="L1236" s="592">
        <f>IF(J1236="TND",1,IF(J1236="EUR",Vertical_Cash_flow!$C$16,IF(J1236="USD",Vertical_Cash_flow!$F$16,0)))</f>
        <v>1</v>
      </c>
      <c r="M1236" s="593">
        <f t="shared" si="76"/>
        <v>3800</v>
      </c>
      <c r="N1236" s="589" t="s">
        <v>251</v>
      </c>
      <c r="O1236" s="594">
        <v>45408</v>
      </c>
      <c r="P1236" s="593">
        <f t="shared" si="77"/>
        <v>-119</v>
      </c>
      <c r="Q1236" s="594">
        <v>45527</v>
      </c>
      <c r="R1236" s="593">
        <f t="shared" ca="1" si="78"/>
        <v>-86</v>
      </c>
      <c r="S1236" s="589" t="str">
        <f>VLOOKUP(Q1236,Mapping!L:M,2,0)</f>
        <v>W34_2024</v>
      </c>
      <c r="T1236" s="589" t="str">
        <f t="shared" ca="1" si="79"/>
        <v>Not Due</v>
      </c>
      <c r="W1236" s="591"/>
    </row>
    <row r="1237" spans="1:23" s="589" customFormat="1" x14ac:dyDescent="0.2">
      <c r="A1237" s="589" t="s">
        <v>56</v>
      </c>
      <c r="B1237" s="589" t="s">
        <v>940</v>
      </c>
      <c r="C1237" s="590" t="s">
        <v>3062</v>
      </c>
      <c r="D1237" s="589" t="s">
        <v>100</v>
      </c>
      <c r="E1237" s="589" t="s">
        <v>104</v>
      </c>
      <c r="F1237" s="589" t="s">
        <v>112</v>
      </c>
      <c r="G1237" s="589" t="s">
        <v>51</v>
      </c>
      <c r="H1237" s="589" t="s">
        <v>242</v>
      </c>
      <c r="I1237" s="589" t="s">
        <v>3258</v>
      </c>
      <c r="J1237" s="589" t="s">
        <v>35</v>
      </c>
      <c r="K1237" s="591">
        <v>4602.6499999999996</v>
      </c>
      <c r="L1237" s="592">
        <f>IF(J1237="TND",1,IF(J1237="EUR",Vertical_Cash_flow!$C$16,IF(J1237="USD",Vertical_Cash_flow!$F$16,0)))</f>
        <v>1</v>
      </c>
      <c r="M1237" s="593">
        <f t="shared" ref="M1237:M1300" si="80">K1237/L1237</f>
        <v>4602.6499999999996</v>
      </c>
      <c r="N1237" s="589" t="s">
        <v>251</v>
      </c>
      <c r="O1237" s="594">
        <v>45418</v>
      </c>
      <c r="P1237" s="593">
        <f t="shared" ref="P1237:P1300" si="81">O1237-Q1237</f>
        <v>-109</v>
      </c>
      <c r="Q1237" s="594">
        <v>45527</v>
      </c>
      <c r="R1237" s="593">
        <f t="shared" ref="R1237:R1300" ca="1" si="82">$W$1-Q1237</f>
        <v>-86</v>
      </c>
      <c r="S1237" s="589" t="str">
        <f>VLOOKUP(Q1237,Mapping!L:M,2,0)</f>
        <v>W34_2024</v>
      </c>
      <c r="T1237" s="589" t="str">
        <f t="shared" ref="T1237:T1300" ca="1" si="83">IF(R1237="","",IF(R1237&lt;0,"Not Due",IF(AND(R1237&gt;=0,R1237&lt;=30),"up to 30 days",IF(AND(R1237&gt;30,R1237&lt;=60),"30-60 days",IF(AND(R1237&gt;60,R1237&lt;=90),"60-90 days",IF(AND(R1237&gt;90,R1237&lt;=120),"90-120 days",IF(AND(R1237&gt;120,R1237&lt;=180),"120-180 days",IF(AND(R1237&gt;180,R1237&lt;=360),"180-360 days",IF(R1237&gt;360,"more than 360 days","ok")))))))))</f>
        <v>Not Due</v>
      </c>
      <c r="W1237" s="591"/>
    </row>
    <row r="1238" spans="1:23" s="589" customFormat="1" x14ac:dyDescent="0.2">
      <c r="A1238" s="589" t="s">
        <v>56</v>
      </c>
      <c r="B1238" s="589" t="s">
        <v>2335</v>
      </c>
      <c r="C1238" s="590" t="s">
        <v>3061</v>
      </c>
      <c r="D1238" s="589" t="s">
        <v>100</v>
      </c>
      <c r="E1238" s="589" t="s">
        <v>104</v>
      </c>
      <c r="F1238" s="589" t="s">
        <v>112</v>
      </c>
      <c r="G1238" s="589" t="s">
        <v>51</v>
      </c>
      <c r="H1238" s="589" t="s">
        <v>242</v>
      </c>
      <c r="I1238" s="589" t="s">
        <v>3257</v>
      </c>
      <c r="J1238" s="589" t="s">
        <v>35</v>
      </c>
      <c r="K1238" s="591">
        <v>2000</v>
      </c>
      <c r="L1238" s="592">
        <f>IF(J1238="TND",1,IF(J1238="EUR",Vertical_Cash_flow!$C$16,IF(J1238="USD",Vertical_Cash_flow!$F$16,0)))</f>
        <v>1</v>
      </c>
      <c r="M1238" s="593">
        <f t="shared" si="80"/>
        <v>2000</v>
      </c>
      <c r="N1238" s="589" t="s">
        <v>251</v>
      </c>
      <c r="O1238" s="594">
        <v>45419</v>
      </c>
      <c r="P1238" s="593">
        <f t="shared" si="81"/>
        <v>-109</v>
      </c>
      <c r="Q1238" s="594">
        <v>45528</v>
      </c>
      <c r="R1238" s="593">
        <f t="shared" ca="1" si="82"/>
        <v>-87</v>
      </c>
      <c r="S1238" s="589" t="str">
        <f>VLOOKUP(Q1238,Mapping!L:M,2,0)</f>
        <v>W35_2024</v>
      </c>
      <c r="T1238" s="589" t="str">
        <f t="shared" ca="1" si="83"/>
        <v>Not Due</v>
      </c>
      <c r="W1238" s="591"/>
    </row>
    <row r="1239" spans="1:23" s="589" customFormat="1" x14ac:dyDescent="0.2">
      <c r="A1239" s="589" t="s">
        <v>56</v>
      </c>
      <c r="B1239" s="589" t="s">
        <v>482</v>
      </c>
      <c r="C1239" s="590" t="s">
        <v>3060</v>
      </c>
      <c r="D1239" s="589" t="s">
        <v>100</v>
      </c>
      <c r="E1239" s="589" t="s">
        <v>104</v>
      </c>
      <c r="F1239" s="589" t="s">
        <v>112</v>
      </c>
      <c r="G1239" s="589" t="s">
        <v>51</v>
      </c>
      <c r="H1239" s="589" t="s">
        <v>242</v>
      </c>
      <c r="I1239" s="589" t="s">
        <v>3256</v>
      </c>
      <c r="J1239" s="589" t="s">
        <v>35</v>
      </c>
      <c r="K1239" s="591">
        <v>1350</v>
      </c>
      <c r="L1239" s="592">
        <f>IF(J1239="TND",1,IF(J1239="EUR",Vertical_Cash_flow!$C$16,IF(J1239="USD",Vertical_Cash_flow!$F$16,0)))</f>
        <v>1</v>
      </c>
      <c r="M1239" s="593">
        <f t="shared" si="80"/>
        <v>1350</v>
      </c>
      <c r="N1239" s="589" t="s">
        <v>251</v>
      </c>
      <c r="O1239" s="594">
        <v>45411</v>
      </c>
      <c r="P1239" s="593">
        <f t="shared" si="81"/>
        <v>-117</v>
      </c>
      <c r="Q1239" s="594">
        <v>45528</v>
      </c>
      <c r="R1239" s="593">
        <f t="shared" ca="1" si="82"/>
        <v>-87</v>
      </c>
      <c r="S1239" s="589" t="str">
        <f>VLOOKUP(Q1239,Mapping!L:M,2,0)</f>
        <v>W35_2024</v>
      </c>
      <c r="T1239" s="589" t="str">
        <f t="shared" ca="1" si="83"/>
        <v>Not Due</v>
      </c>
      <c r="W1239" s="591"/>
    </row>
    <row r="1240" spans="1:23" s="589" customFormat="1" x14ac:dyDescent="0.2">
      <c r="A1240" s="589" t="s">
        <v>56</v>
      </c>
      <c r="B1240" s="589" t="s">
        <v>274</v>
      </c>
      <c r="C1240" s="590" t="s">
        <v>3059</v>
      </c>
      <c r="D1240" s="589" t="s">
        <v>100</v>
      </c>
      <c r="E1240" s="589" t="s">
        <v>104</v>
      </c>
      <c r="F1240" s="589" t="s">
        <v>112</v>
      </c>
      <c r="G1240" s="589" t="s">
        <v>51</v>
      </c>
      <c r="H1240" s="589" t="s">
        <v>242</v>
      </c>
      <c r="I1240" s="589" t="s">
        <v>3255</v>
      </c>
      <c r="J1240" s="589" t="s">
        <v>35</v>
      </c>
      <c r="K1240" s="591">
        <v>870</v>
      </c>
      <c r="L1240" s="592">
        <f>IF(J1240="TND",1,IF(J1240="EUR",Vertical_Cash_flow!$C$16,IF(J1240="USD",Vertical_Cash_flow!$F$16,0)))</f>
        <v>1</v>
      </c>
      <c r="M1240" s="593">
        <f t="shared" si="80"/>
        <v>870</v>
      </c>
      <c r="N1240" s="589" t="s">
        <v>251</v>
      </c>
      <c r="O1240" s="594">
        <v>45411</v>
      </c>
      <c r="P1240" s="593">
        <f t="shared" si="81"/>
        <v>-118</v>
      </c>
      <c r="Q1240" s="594">
        <v>45529</v>
      </c>
      <c r="R1240" s="593">
        <f t="shared" ca="1" si="82"/>
        <v>-88</v>
      </c>
      <c r="S1240" s="589" t="str">
        <f>VLOOKUP(Q1240,Mapping!L:M,2,0)</f>
        <v>W35_2024</v>
      </c>
      <c r="T1240" s="589" t="str">
        <f t="shared" ca="1" si="83"/>
        <v>Not Due</v>
      </c>
      <c r="W1240" s="591"/>
    </row>
    <row r="1241" spans="1:23" s="589" customFormat="1" x14ac:dyDescent="0.2">
      <c r="A1241" s="589" t="s">
        <v>56</v>
      </c>
      <c r="B1241" s="589" t="s">
        <v>398</v>
      </c>
      <c r="C1241" s="590" t="s">
        <v>3451</v>
      </c>
      <c r="D1241" s="589" t="s">
        <v>100</v>
      </c>
      <c r="E1241" s="589" t="s">
        <v>104</v>
      </c>
      <c r="F1241" s="589" t="s">
        <v>112</v>
      </c>
      <c r="G1241" s="589" t="s">
        <v>51</v>
      </c>
      <c r="H1241" s="589" t="s">
        <v>242</v>
      </c>
      <c r="I1241" s="589" t="s">
        <v>3614</v>
      </c>
      <c r="J1241" s="589" t="s">
        <v>35</v>
      </c>
      <c r="K1241" s="591">
        <v>2000</v>
      </c>
      <c r="L1241" s="592">
        <f>IF(J1241="TND",1,IF(J1241="EUR",Vertical_Cash_flow!$C$16,IF(J1241="USD",Vertical_Cash_flow!$F$16,0)))</f>
        <v>1</v>
      </c>
      <c r="M1241" s="593">
        <f t="shared" si="80"/>
        <v>2000</v>
      </c>
      <c r="N1241" s="589" t="s">
        <v>251</v>
      </c>
      <c r="O1241" s="594">
        <v>45426</v>
      </c>
      <c r="P1241" s="593">
        <f t="shared" si="81"/>
        <v>-103</v>
      </c>
      <c r="Q1241" s="594">
        <v>45529</v>
      </c>
      <c r="R1241" s="593">
        <f t="shared" ca="1" si="82"/>
        <v>-88</v>
      </c>
      <c r="S1241" s="589" t="str">
        <f>VLOOKUP(Q1241,Mapping!L:M,2,0)</f>
        <v>W35_2024</v>
      </c>
      <c r="T1241" s="589" t="str">
        <f t="shared" ca="1" si="83"/>
        <v>Not Due</v>
      </c>
      <c r="W1241" s="591"/>
    </row>
    <row r="1242" spans="1:23" s="589" customFormat="1" x14ac:dyDescent="0.2">
      <c r="A1242" s="589" t="s">
        <v>56</v>
      </c>
      <c r="B1242" s="589" t="s">
        <v>345</v>
      </c>
      <c r="C1242" s="590" t="s">
        <v>2347</v>
      </c>
      <c r="D1242" s="589" t="s">
        <v>100</v>
      </c>
      <c r="E1242" s="589" t="s">
        <v>104</v>
      </c>
      <c r="F1242" s="589" t="s">
        <v>112</v>
      </c>
      <c r="G1242" s="589" t="s">
        <v>51</v>
      </c>
      <c r="H1242" s="589" t="s">
        <v>242</v>
      </c>
      <c r="I1242" s="589" t="s">
        <v>2680</v>
      </c>
      <c r="J1242" s="589" t="s">
        <v>35</v>
      </c>
      <c r="K1242" s="591">
        <v>6000</v>
      </c>
      <c r="L1242" s="592">
        <f>IF(J1242="TND",1,IF(J1242="EUR",Vertical_Cash_flow!$C$16,IF(J1242="USD",Vertical_Cash_flow!$F$16,0)))</f>
        <v>1</v>
      </c>
      <c r="M1242" s="593">
        <f t="shared" si="80"/>
        <v>6000</v>
      </c>
      <c r="N1242" s="589" t="s">
        <v>251</v>
      </c>
      <c r="O1242" s="594">
        <v>45408</v>
      </c>
      <c r="P1242" s="593">
        <f t="shared" si="81"/>
        <v>-121</v>
      </c>
      <c r="Q1242" s="594">
        <v>45529</v>
      </c>
      <c r="R1242" s="593">
        <f t="shared" ca="1" si="82"/>
        <v>-88</v>
      </c>
      <c r="S1242" s="589" t="str">
        <f>VLOOKUP(Q1242,Mapping!L:M,2,0)</f>
        <v>W35_2024</v>
      </c>
      <c r="T1242" s="589" t="str">
        <f t="shared" ca="1" si="83"/>
        <v>Not Due</v>
      </c>
      <c r="W1242" s="591"/>
    </row>
    <row r="1243" spans="1:23" s="589" customFormat="1" x14ac:dyDescent="0.2">
      <c r="A1243" s="589" t="s">
        <v>56</v>
      </c>
      <c r="B1243" s="589" t="s">
        <v>387</v>
      </c>
      <c r="C1243" s="590" t="s">
        <v>1507</v>
      </c>
      <c r="D1243" s="589" t="s">
        <v>100</v>
      </c>
      <c r="E1243" s="589" t="s">
        <v>104</v>
      </c>
      <c r="F1243" s="589" t="s">
        <v>112</v>
      </c>
      <c r="G1243" s="589" t="s">
        <v>51</v>
      </c>
      <c r="H1243" s="589" t="s">
        <v>242</v>
      </c>
      <c r="I1243" s="589" t="s">
        <v>999</v>
      </c>
      <c r="J1243" s="589" t="s">
        <v>35</v>
      </c>
      <c r="K1243" s="591">
        <v>1301.9749999999999</v>
      </c>
      <c r="L1243" s="592">
        <f>IF(J1243="TND",1,IF(J1243="EUR",Vertical_Cash_flow!$C$16,IF(J1243="USD",Vertical_Cash_flow!$F$16,0)))</f>
        <v>1</v>
      </c>
      <c r="M1243" s="593">
        <f t="shared" si="80"/>
        <v>1301.9749999999999</v>
      </c>
      <c r="N1243" s="589" t="s">
        <v>251</v>
      </c>
      <c r="O1243" s="594">
        <v>45378</v>
      </c>
      <c r="P1243" s="593">
        <f t="shared" si="81"/>
        <v>-151</v>
      </c>
      <c r="Q1243" s="594">
        <v>45529</v>
      </c>
      <c r="R1243" s="593">
        <f t="shared" ca="1" si="82"/>
        <v>-88</v>
      </c>
      <c r="S1243" s="589" t="str">
        <f>VLOOKUP(Q1243,Mapping!L:M,2,0)</f>
        <v>W35_2024</v>
      </c>
      <c r="T1243" s="589" t="str">
        <f t="shared" ca="1" si="83"/>
        <v>Not Due</v>
      </c>
      <c r="W1243" s="591"/>
    </row>
    <row r="1244" spans="1:23" s="589" customFormat="1" x14ac:dyDescent="0.2">
      <c r="A1244" s="589" t="s">
        <v>56</v>
      </c>
      <c r="B1244" s="589" t="s">
        <v>482</v>
      </c>
      <c r="C1244" s="590" t="s">
        <v>3056</v>
      </c>
      <c r="D1244" s="589" t="s">
        <v>100</v>
      </c>
      <c r="E1244" s="589" t="s">
        <v>104</v>
      </c>
      <c r="F1244" s="589" t="s">
        <v>112</v>
      </c>
      <c r="G1244" s="589" t="s">
        <v>51</v>
      </c>
      <c r="H1244" s="589" t="s">
        <v>242</v>
      </c>
      <c r="I1244" s="589" t="s">
        <v>3252</v>
      </c>
      <c r="J1244" s="589" t="s">
        <v>35</v>
      </c>
      <c r="K1244" s="591">
        <v>1350</v>
      </c>
      <c r="L1244" s="592">
        <f>IF(J1244="TND",1,IF(J1244="EUR",Vertical_Cash_flow!$C$16,IF(J1244="USD",Vertical_Cash_flow!$F$16,0)))</f>
        <v>1</v>
      </c>
      <c r="M1244" s="593">
        <f t="shared" si="80"/>
        <v>1350</v>
      </c>
      <c r="N1244" s="589" t="s">
        <v>251</v>
      </c>
      <c r="O1244" s="594">
        <v>45411</v>
      </c>
      <c r="P1244" s="593">
        <f t="shared" si="81"/>
        <v>-118</v>
      </c>
      <c r="Q1244" s="594">
        <v>45529</v>
      </c>
      <c r="R1244" s="593">
        <f t="shared" ca="1" si="82"/>
        <v>-88</v>
      </c>
      <c r="S1244" s="589" t="str">
        <f>VLOOKUP(Q1244,Mapping!L:M,2,0)</f>
        <v>W35_2024</v>
      </c>
      <c r="T1244" s="589" t="str">
        <f t="shared" ca="1" si="83"/>
        <v>Not Due</v>
      </c>
      <c r="W1244" s="591"/>
    </row>
    <row r="1245" spans="1:23" s="589" customFormat="1" x14ac:dyDescent="0.2">
      <c r="A1245" s="589" t="s">
        <v>56</v>
      </c>
      <c r="B1245" s="589" t="s">
        <v>482</v>
      </c>
      <c r="C1245" s="590" t="s">
        <v>3058</v>
      </c>
      <c r="D1245" s="589" t="s">
        <v>100</v>
      </c>
      <c r="E1245" s="589" t="s">
        <v>104</v>
      </c>
      <c r="F1245" s="589" t="s">
        <v>112</v>
      </c>
      <c r="G1245" s="589" t="s">
        <v>51</v>
      </c>
      <c r="H1245" s="589" t="s">
        <v>242</v>
      </c>
      <c r="I1245" s="589" t="s">
        <v>3254</v>
      </c>
      <c r="J1245" s="589" t="s">
        <v>35</v>
      </c>
      <c r="K1245" s="591">
        <v>1350</v>
      </c>
      <c r="L1245" s="592">
        <f>IF(J1245="TND",1,IF(J1245="EUR",Vertical_Cash_flow!$C$16,IF(J1245="USD",Vertical_Cash_flow!$F$16,0)))</f>
        <v>1</v>
      </c>
      <c r="M1245" s="593">
        <f t="shared" si="80"/>
        <v>1350</v>
      </c>
      <c r="N1245" s="589" t="s">
        <v>251</v>
      </c>
      <c r="O1245" s="594">
        <v>45411</v>
      </c>
      <c r="P1245" s="593">
        <f t="shared" si="81"/>
        <v>-118</v>
      </c>
      <c r="Q1245" s="594">
        <v>45529</v>
      </c>
      <c r="R1245" s="593">
        <f t="shared" ca="1" si="82"/>
        <v>-88</v>
      </c>
      <c r="S1245" s="589" t="str">
        <f>VLOOKUP(Q1245,Mapping!L:M,2,0)</f>
        <v>W35_2024</v>
      </c>
      <c r="T1245" s="589" t="str">
        <f t="shared" ca="1" si="83"/>
        <v>Not Due</v>
      </c>
      <c r="W1245" s="591"/>
    </row>
    <row r="1246" spans="1:23" s="589" customFormat="1" x14ac:dyDescent="0.2">
      <c r="A1246" s="589" t="s">
        <v>56</v>
      </c>
      <c r="B1246" s="589" t="s">
        <v>482</v>
      </c>
      <c r="C1246" s="590" t="s">
        <v>3057</v>
      </c>
      <c r="D1246" s="589" t="s">
        <v>100</v>
      </c>
      <c r="E1246" s="589" t="s">
        <v>104</v>
      </c>
      <c r="F1246" s="589" t="s">
        <v>112</v>
      </c>
      <c r="G1246" s="589" t="s">
        <v>51</v>
      </c>
      <c r="H1246" s="589" t="s">
        <v>242</v>
      </c>
      <c r="I1246" s="589" t="s">
        <v>3253</v>
      </c>
      <c r="J1246" s="589" t="s">
        <v>35</v>
      </c>
      <c r="K1246" s="591">
        <v>1350</v>
      </c>
      <c r="L1246" s="592">
        <f>IF(J1246="TND",1,IF(J1246="EUR",Vertical_Cash_flow!$C$16,IF(J1246="USD",Vertical_Cash_flow!$F$16,0)))</f>
        <v>1</v>
      </c>
      <c r="M1246" s="593">
        <f t="shared" si="80"/>
        <v>1350</v>
      </c>
      <c r="N1246" s="589" t="s">
        <v>251</v>
      </c>
      <c r="O1246" s="594">
        <v>45411</v>
      </c>
      <c r="P1246" s="593">
        <f t="shared" si="81"/>
        <v>-118</v>
      </c>
      <c r="Q1246" s="594">
        <v>45529</v>
      </c>
      <c r="R1246" s="593">
        <f t="shared" ca="1" si="82"/>
        <v>-88</v>
      </c>
      <c r="S1246" s="589" t="str">
        <f>VLOOKUP(Q1246,Mapping!L:M,2,0)</f>
        <v>W35_2024</v>
      </c>
      <c r="T1246" s="589" t="str">
        <f t="shared" ca="1" si="83"/>
        <v>Not Due</v>
      </c>
      <c r="W1246" s="591"/>
    </row>
    <row r="1247" spans="1:23" s="589" customFormat="1" x14ac:dyDescent="0.2">
      <c r="A1247" s="589" t="s">
        <v>56</v>
      </c>
      <c r="B1247" s="589" t="s">
        <v>1496</v>
      </c>
      <c r="C1247" s="590" t="s">
        <v>3450</v>
      </c>
      <c r="D1247" s="589" t="s">
        <v>100</v>
      </c>
      <c r="E1247" s="589" t="s">
        <v>104</v>
      </c>
      <c r="F1247" s="589" t="s">
        <v>112</v>
      </c>
      <c r="G1247" s="589" t="s">
        <v>51</v>
      </c>
      <c r="H1247" s="589" t="s">
        <v>242</v>
      </c>
      <c r="I1247" s="589" t="s">
        <v>3613</v>
      </c>
      <c r="J1247" s="589" t="s">
        <v>35</v>
      </c>
      <c r="K1247" s="591">
        <v>613.255</v>
      </c>
      <c r="L1247" s="592">
        <f>IF(J1247="TND",1,IF(J1247="EUR",Vertical_Cash_flow!$C$16,IF(J1247="USD",Vertical_Cash_flow!$F$16,0)))</f>
        <v>1</v>
      </c>
      <c r="M1247" s="593">
        <f t="shared" si="80"/>
        <v>613.255</v>
      </c>
      <c r="N1247" s="589" t="s">
        <v>251</v>
      </c>
      <c r="O1247" s="594">
        <v>45426</v>
      </c>
      <c r="P1247" s="593">
        <f t="shared" si="81"/>
        <v>-103</v>
      </c>
      <c r="Q1247" s="594">
        <v>45529</v>
      </c>
      <c r="R1247" s="593">
        <f t="shared" ca="1" si="82"/>
        <v>-88</v>
      </c>
      <c r="S1247" s="589" t="str">
        <f>VLOOKUP(Q1247,Mapping!L:M,2,0)</f>
        <v>W35_2024</v>
      </c>
      <c r="T1247" s="589" t="str">
        <f t="shared" ca="1" si="83"/>
        <v>Not Due</v>
      </c>
      <c r="W1247" s="591"/>
    </row>
    <row r="1248" spans="1:23" s="589" customFormat="1" x14ac:dyDescent="0.2">
      <c r="A1248" s="589" t="s">
        <v>56</v>
      </c>
      <c r="B1248" s="589" t="s">
        <v>1247</v>
      </c>
      <c r="C1248" s="590" t="s">
        <v>3449</v>
      </c>
      <c r="D1248" s="589" t="s">
        <v>100</v>
      </c>
      <c r="E1248" s="589" t="s">
        <v>104</v>
      </c>
      <c r="F1248" s="589" t="s">
        <v>112</v>
      </c>
      <c r="G1248" s="589" t="s">
        <v>51</v>
      </c>
      <c r="H1248" s="589" t="s">
        <v>242</v>
      </c>
      <c r="I1248" s="589" t="s">
        <v>3612</v>
      </c>
      <c r="J1248" s="589" t="s">
        <v>35</v>
      </c>
      <c r="K1248" s="591">
        <v>3243.8780000000002</v>
      </c>
      <c r="L1248" s="592">
        <f>IF(J1248="TND",1,IF(J1248="EUR",Vertical_Cash_flow!$C$16,IF(J1248="USD",Vertical_Cash_flow!$F$16,0)))</f>
        <v>1</v>
      </c>
      <c r="M1248" s="593">
        <f t="shared" si="80"/>
        <v>3243.8780000000002</v>
      </c>
      <c r="N1248" s="589" t="s">
        <v>251</v>
      </c>
      <c r="O1248" s="594">
        <v>45427</v>
      </c>
      <c r="P1248" s="593">
        <f t="shared" si="81"/>
        <v>-103</v>
      </c>
      <c r="Q1248" s="594">
        <v>45530</v>
      </c>
      <c r="R1248" s="593">
        <f t="shared" ca="1" si="82"/>
        <v>-89</v>
      </c>
      <c r="S1248" s="589" t="str">
        <f>VLOOKUP(Q1248,Mapping!L:M,2,0)</f>
        <v>W35_2024</v>
      </c>
      <c r="T1248" s="589" t="str">
        <f t="shared" ca="1" si="83"/>
        <v>Not Due</v>
      </c>
      <c r="W1248" s="591"/>
    </row>
    <row r="1249" spans="1:23" s="589" customFormat="1" x14ac:dyDescent="0.2">
      <c r="A1249" s="589" t="s">
        <v>56</v>
      </c>
      <c r="B1249" s="589" t="s">
        <v>278</v>
      </c>
      <c r="C1249" s="590" t="s">
        <v>1506</v>
      </c>
      <c r="D1249" s="589" t="s">
        <v>100</v>
      </c>
      <c r="E1249" s="589" t="s">
        <v>104</v>
      </c>
      <c r="F1249" s="589" t="s">
        <v>112</v>
      </c>
      <c r="G1249" s="589" t="s">
        <v>51</v>
      </c>
      <c r="H1249" s="589" t="s">
        <v>242</v>
      </c>
      <c r="I1249" s="589" t="s">
        <v>1919</v>
      </c>
      <c r="J1249" s="589" t="s">
        <v>35</v>
      </c>
      <c r="K1249" s="591">
        <v>3400</v>
      </c>
      <c r="L1249" s="592">
        <f>IF(J1249="TND",1,IF(J1249="EUR",Vertical_Cash_flow!$C$16,IF(J1249="USD",Vertical_Cash_flow!$F$16,0)))</f>
        <v>1</v>
      </c>
      <c r="M1249" s="593">
        <f t="shared" si="80"/>
        <v>3400</v>
      </c>
      <c r="N1249" s="589" t="s">
        <v>251</v>
      </c>
      <c r="O1249" s="594">
        <v>45373</v>
      </c>
      <c r="P1249" s="593">
        <f t="shared" si="81"/>
        <v>-157</v>
      </c>
      <c r="Q1249" s="594">
        <v>45530</v>
      </c>
      <c r="R1249" s="593">
        <f t="shared" ca="1" si="82"/>
        <v>-89</v>
      </c>
      <c r="S1249" s="589" t="str">
        <f>VLOOKUP(Q1249,Mapping!L:M,2,0)</f>
        <v>W35_2024</v>
      </c>
      <c r="T1249" s="589" t="str">
        <f t="shared" ca="1" si="83"/>
        <v>Not Due</v>
      </c>
      <c r="W1249" s="591"/>
    </row>
    <row r="1250" spans="1:23" s="589" customFormat="1" x14ac:dyDescent="0.2">
      <c r="A1250" s="589" t="s">
        <v>56</v>
      </c>
      <c r="B1250" s="589" t="s">
        <v>274</v>
      </c>
      <c r="C1250" s="590" t="s">
        <v>3054</v>
      </c>
      <c r="D1250" s="589" t="s">
        <v>100</v>
      </c>
      <c r="E1250" s="589" t="s">
        <v>104</v>
      </c>
      <c r="F1250" s="589" t="s">
        <v>112</v>
      </c>
      <c r="G1250" s="589" t="s">
        <v>51</v>
      </c>
      <c r="H1250" s="589" t="s">
        <v>242</v>
      </c>
      <c r="I1250" s="589" t="s">
        <v>3250</v>
      </c>
      <c r="J1250" s="589" t="s">
        <v>35</v>
      </c>
      <c r="K1250" s="591">
        <v>865</v>
      </c>
      <c r="L1250" s="592">
        <f>IF(J1250="TND",1,IF(J1250="EUR",Vertical_Cash_flow!$C$16,IF(J1250="USD",Vertical_Cash_flow!$F$16,0)))</f>
        <v>1</v>
      </c>
      <c r="M1250" s="593">
        <f t="shared" si="80"/>
        <v>865</v>
      </c>
      <c r="N1250" s="589" t="s">
        <v>251</v>
      </c>
      <c r="O1250" s="594">
        <v>45411</v>
      </c>
      <c r="P1250" s="593">
        <f t="shared" si="81"/>
        <v>-120</v>
      </c>
      <c r="Q1250" s="594">
        <v>45531</v>
      </c>
      <c r="R1250" s="593">
        <f t="shared" ca="1" si="82"/>
        <v>-90</v>
      </c>
      <c r="S1250" s="589" t="str">
        <f>VLOOKUP(Q1250,Mapping!L:M,2,0)</f>
        <v>W35_2024</v>
      </c>
      <c r="T1250" s="589" t="str">
        <f t="shared" ca="1" si="83"/>
        <v>Not Due</v>
      </c>
      <c r="W1250" s="591"/>
    </row>
    <row r="1251" spans="1:23" s="589" customFormat="1" x14ac:dyDescent="0.2">
      <c r="A1251" s="589" t="s">
        <v>56</v>
      </c>
      <c r="B1251" s="589" t="s">
        <v>285</v>
      </c>
      <c r="C1251" s="590" t="s">
        <v>3448</v>
      </c>
      <c r="D1251" s="589" t="s">
        <v>100</v>
      </c>
      <c r="E1251" s="589" t="s">
        <v>104</v>
      </c>
      <c r="F1251" s="589" t="s">
        <v>112</v>
      </c>
      <c r="G1251" s="589" t="s">
        <v>51</v>
      </c>
      <c r="H1251" s="589" t="s">
        <v>242</v>
      </c>
      <c r="I1251" s="589" t="s">
        <v>3611</v>
      </c>
      <c r="J1251" s="589" t="s">
        <v>35</v>
      </c>
      <c r="K1251" s="591">
        <v>781.05700000000002</v>
      </c>
      <c r="L1251" s="592">
        <f>IF(J1251="TND",1,IF(J1251="EUR",Vertical_Cash_flow!$C$16,IF(J1251="USD",Vertical_Cash_flow!$F$16,0)))</f>
        <v>1</v>
      </c>
      <c r="M1251" s="593">
        <f t="shared" si="80"/>
        <v>781.05700000000002</v>
      </c>
      <c r="N1251" s="589" t="s">
        <v>251</v>
      </c>
      <c r="O1251" s="594">
        <v>45422</v>
      </c>
      <c r="P1251" s="593">
        <f t="shared" si="81"/>
        <v>-109</v>
      </c>
      <c r="Q1251" s="594">
        <v>45531</v>
      </c>
      <c r="R1251" s="593">
        <f t="shared" ca="1" si="82"/>
        <v>-90</v>
      </c>
      <c r="S1251" s="589" t="str">
        <f>VLOOKUP(Q1251,Mapping!L:M,2,0)</f>
        <v>W35_2024</v>
      </c>
      <c r="T1251" s="589" t="str">
        <f t="shared" ca="1" si="83"/>
        <v>Not Due</v>
      </c>
      <c r="W1251" s="591"/>
    </row>
    <row r="1252" spans="1:23" s="589" customFormat="1" x14ac:dyDescent="0.2">
      <c r="A1252" s="589" t="s">
        <v>56</v>
      </c>
      <c r="B1252" s="589" t="s">
        <v>2335</v>
      </c>
      <c r="C1252" s="590" t="s">
        <v>3055</v>
      </c>
      <c r="D1252" s="589" t="s">
        <v>100</v>
      </c>
      <c r="E1252" s="589" t="s">
        <v>104</v>
      </c>
      <c r="F1252" s="589" t="s">
        <v>112</v>
      </c>
      <c r="G1252" s="589" t="s">
        <v>51</v>
      </c>
      <c r="H1252" s="589" t="s">
        <v>242</v>
      </c>
      <c r="I1252" s="589" t="s">
        <v>3251</v>
      </c>
      <c r="J1252" s="589" t="s">
        <v>35</v>
      </c>
      <c r="K1252" s="591">
        <v>2000</v>
      </c>
      <c r="L1252" s="592">
        <f>IF(J1252="TND",1,IF(J1252="EUR",Vertical_Cash_flow!$C$16,IF(J1252="USD",Vertical_Cash_flow!$F$16,0)))</f>
        <v>1</v>
      </c>
      <c r="M1252" s="593">
        <f t="shared" si="80"/>
        <v>2000</v>
      </c>
      <c r="N1252" s="589" t="s">
        <v>251</v>
      </c>
      <c r="O1252" s="594">
        <v>45419</v>
      </c>
      <c r="P1252" s="593">
        <f t="shared" si="81"/>
        <v>-112</v>
      </c>
      <c r="Q1252" s="594">
        <v>45531</v>
      </c>
      <c r="R1252" s="593">
        <f t="shared" ca="1" si="82"/>
        <v>-90</v>
      </c>
      <c r="S1252" s="589" t="str">
        <f>VLOOKUP(Q1252,Mapping!L:M,2,0)</f>
        <v>W35_2024</v>
      </c>
      <c r="T1252" s="589" t="str">
        <f t="shared" ca="1" si="83"/>
        <v>Not Due</v>
      </c>
      <c r="W1252" s="591"/>
    </row>
    <row r="1253" spans="1:23" s="589" customFormat="1" x14ac:dyDescent="0.2">
      <c r="A1253" s="589" t="s">
        <v>56</v>
      </c>
      <c r="B1253" s="589" t="s">
        <v>277</v>
      </c>
      <c r="C1253" s="590" t="s">
        <v>1505</v>
      </c>
      <c r="D1253" s="589" t="s">
        <v>100</v>
      </c>
      <c r="E1253" s="589" t="s">
        <v>104</v>
      </c>
      <c r="F1253" s="589" t="s">
        <v>112</v>
      </c>
      <c r="G1253" s="589" t="s">
        <v>51</v>
      </c>
      <c r="H1253" s="589" t="s">
        <v>242</v>
      </c>
      <c r="I1253" s="589" t="s">
        <v>1920</v>
      </c>
      <c r="J1253" s="589" t="s">
        <v>35</v>
      </c>
      <c r="K1253" s="591">
        <v>13233.498</v>
      </c>
      <c r="L1253" s="592">
        <f>IF(J1253="TND",1,IF(J1253="EUR",Vertical_Cash_flow!$C$16,IF(J1253="USD",Vertical_Cash_flow!$F$16,0)))</f>
        <v>1</v>
      </c>
      <c r="M1253" s="593">
        <f t="shared" si="80"/>
        <v>13233.498</v>
      </c>
      <c r="N1253" s="589" t="s">
        <v>251</v>
      </c>
      <c r="O1253" s="594">
        <v>45378</v>
      </c>
      <c r="P1253" s="593">
        <f t="shared" si="81"/>
        <v>-153</v>
      </c>
      <c r="Q1253" s="594">
        <v>45531</v>
      </c>
      <c r="R1253" s="593">
        <f t="shared" ca="1" si="82"/>
        <v>-90</v>
      </c>
      <c r="S1253" s="589" t="str">
        <f>VLOOKUP(Q1253,Mapping!L:M,2,0)</f>
        <v>W35_2024</v>
      </c>
      <c r="T1253" s="589" t="str">
        <f t="shared" ca="1" si="83"/>
        <v>Not Due</v>
      </c>
      <c r="W1253" s="591"/>
    </row>
    <row r="1254" spans="1:23" s="589" customFormat="1" x14ac:dyDescent="0.2">
      <c r="A1254" s="589" t="s">
        <v>56</v>
      </c>
      <c r="B1254" s="589" t="s">
        <v>500</v>
      </c>
      <c r="C1254" s="590" t="s">
        <v>3053</v>
      </c>
      <c r="D1254" s="589" t="s">
        <v>100</v>
      </c>
      <c r="E1254" s="589" t="s">
        <v>104</v>
      </c>
      <c r="F1254" s="589" t="s">
        <v>112</v>
      </c>
      <c r="G1254" s="589" t="s">
        <v>51</v>
      </c>
      <c r="H1254" s="589" t="s">
        <v>242</v>
      </c>
      <c r="I1254" s="589" t="s">
        <v>3236</v>
      </c>
      <c r="J1254" s="589" t="s">
        <v>35</v>
      </c>
      <c r="K1254" s="591">
        <v>2000</v>
      </c>
      <c r="L1254" s="592">
        <f>IF(J1254="TND",1,IF(J1254="EUR",Vertical_Cash_flow!$C$16,IF(J1254="USD",Vertical_Cash_flow!$F$16,0)))</f>
        <v>1</v>
      </c>
      <c r="M1254" s="593">
        <f t="shared" si="80"/>
        <v>2000</v>
      </c>
      <c r="N1254" s="589" t="s">
        <v>251</v>
      </c>
      <c r="O1254" s="594">
        <v>45419</v>
      </c>
      <c r="P1254" s="593">
        <f t="shared" si="81"/>
        <v>-112</v>
      </c>
      <c r="Q1254" s="594">
        <v>45531</v>
      </c>
      <c r="R1254" s="593">
        <f t="shared" ca="1" si="82"/>
        <v>-90</v>
      </c>
      <c r="S1254" s="589" t="str">
        <f>VLOOKUP(Q1254,Mapping!L:M,2,0)</f>
        <v>W35_2024</v>
      </c>
      <c r="T1254" s="589" t="str">
        <f t="shared" ca="1" si="83"/>
        <v>Not Due</v>
      </c>
      <c r="W1254" s="591"/>
    </row>
    <row r="1255" spans="1:23" s="589" customFormat="1" x14ac:dyDescent="0.2">
      <c r="A1255" s="589" t="s">
        <v>56</v>
      </c>
      <c r="B1255" s="589" t="s">
        <v>371</v>
      </c>
      <c r="C1255" s="590" t="s">
        <v>3447</v>
      </c>
      <c r="D1255" s="589" t="s">
        <v>100</v>
      </c>
      <c r="E1255" s="589" t="s">
        <v>104</v>
      </c>
      <c r="F1255" s="589" t="s">
        <v>112</v>
      </c>
      <c r="G1255" s="589" t="s">
        <v>51</v>
      </c>
      <c r="H1255" s="589" t="s">
        <v>242</v>
      </c>
      <c r="I1255" s="589" t="s">
        <v>3610</v>
      </c>
      <c r="J1255" s="589" t="s">
        <v>35</v>
      </c>
      <c r="K1255" s="591">
        <v>560.04200000000003</v>
      </c>
      <c r="L1255" s="592">
        <f>IF(J1255="TND",1,IF(J1255="EUR",Vertical_Cash_flow!$C$16,IF(J1255="USD",Vertical_Cash_flow!$F$16,0)))</f>
        <v>1</v>
      </c>
      <c r="M1255" s="593">
        <f t="shared" si="80"/>
        <v>560.04200000000003</v>
      </c>
      <c r="N1255" s="589" t="s">
        <v>251</v>
      </c>
      <c r="O1255" s="594">
        <v>45422</v>
      </c>
      <c r="P1255" s="593">
        <f t="shared" si="81"/>
        <v>-109</v>
      </c>
      <c r="Q1255" s="594">
        <v>45531</v>
      </c>
      <c r="R1255" s="593">
        <f t="shared" ca="1" si="82"/>
        <v>-90</v>
      </c>
      <c r="S1255" s="589" t="str">
        <f>VLOOKUP(Q1255,Mapping!L:M,2,0)</f>
        <v>W35_2024</v>
      </c>
      <c r="T1255" s="589" t="str">
        <f t="shared" ca="1" si="83"/>
        <v>Not Due</v>
      </c>
      <c r="W1255" s="591"/>
    </row>
    <row r="1256" spans="1:23" s="589" customFormat="1" x14ac:dyDescent="0.2">
      <c r="A1256" s="589" t="s">
        <v>56</v>
      </c>
      <c r="B1256" s="589" t="s">
        <v>1242</v>
      </c>
      <c r="C1256" s="590" t="s">
        <v>2346</v>
      </c>
      <c r="D1256" s="589" t="s">
        <v>100</v>
      </c>
      <c r="E1256" s="589" t="s">
        <v>104</v>
      </c>
      <c r="F1256" s="589" t="s">
        <v>112</v>
      </c>
      <c r="G1256" s="589" t="s">
        <v>51</v>
      </c>
      <c r="H1256" s="589" t="s">
        <v>242</v>
      </c>
      <c r="I1256" s="589" t="s">
        <v>2679</v>
      </c>
      <c r="J1256" s="589" t="s">
        <v>35</v>
      </c>
      <c r="K1256" s="591">
        <v>5000</v>
      </c>
      <c r="L1256" s="592">
        <f>IF(J1256="TND",1,IF(J1256="EUR",Vertical_Cash_flow!$C$16,IF(J1256="USD",Vertical_Cash_flow!$F$16,0)))</f>
        <v>1</v>
      </c>
      <c r="M1256" s="593">
        <f t="shared" si="80"/>
        <v>5000</v>
      </c>
      <c r="N1256" s="589" t="s">
        <v>251</v>
      </c>
      <c r="O1256" s="594">
        <v>45402</v>
      </c>
      <c r="P1256" s="593">
        <f t="shared" si="81"/>
        <v>-129</v>
      </c>
      <c r="Q1256" s="594">
        <v>45531</v>
      </c>
      <c r="R1256" s="593">
        <f t="shared" ca="1" si="82"/>
        <v>-90</v>
      </c>
      <c r="S1256" s="589" t="str">
        <f>VLOOKUP(Q1256,Mapping!L:M,2,0)</f>
        <v>W35_2024</v>
      </c>
      <c r="T1256" s="589" t="str">
        <f t="shared" ca="1" si="83"/>
        <v>Not Due</v>
      </c>
      <c r="W1256" s="591"/>
    </row>
    <row r="1257" spans="1:23" s="589" customFormat="1" x14ac:dyDescent="0.2">
      <c r="A1257" s="589" t="s">
        <v>56</v>
      </c>
      <c r="B1257" s="589" t="s">
        <v>509</v>
      </c>
      <c r="C1257" s="590" t="s">
        <v>2345</v>
      </c>
      <c r="D1257" s="589" t="s">
        <v>100</v>
      </c>
      <c r="E1257" s="589" t="s">
        <v>104</v>
      </c>
      <c r="F1257" s="589" t="s">
        <v>112</v>
      </c>
      <c r="G1257" s="589" t="s">
        <v>51</v>
      </c>
      <c r="H1257" s="589" t="s">
        <v>242</v>
      </c>
      <c r="I1257" s="589" t="s">
        <v>1969</v>
      </c>
      <c r="J1257" s="589" t="s">
        <v>35</v>
      </c>
      <c r="K1257" s="591">
        <v>6397.0829999999996</v>
      </c>
      <c r="L1257" s="592">
        <f>IF(J1257="TND",1,IF(J1257="EUR",Vertical_Cash_flow!$C$16,IF(J1257="USD",Vertical_Cash_flow!$F$16,0)))</f>
        <v>1</v>
      </c>
      <c r="M1257" s="593">
        <f t="shared" si="80"/>
        <v>6397.0829999999996</v>
      </c>
      <c r="N1257" s="589" t="s">
        <v>251</v>
      </c>
      <c r="O1257" s="594">
        <v>45406</v>
      </c>
      <c r="P1257" s="593">
        <f t="shared" si="81"/>
        <v>-126</v>
      </c>
      <c r="Q1257" s="594">
        <v>45532</v>
      </c>
      <c r="R1257" s="593">
        <f t="shared" ca="1" si="82"/>
        <v>-91</v>
      </c>
      <c r="S1257" s="589" t="str">
        <f>VLOOKUP(Q1257,Mapping!L:M,2,0)</f>
        <v>W35_2024</v>
      </c>
      <c r="T1257" s="589" t="str">
        <f t="shared" ca="1" si="83"/>
        <v>Not Due</v>
      </c>
      <c r="W1257" s="591"/>
    </row>
    <row r="1258" spans="1:23" s="589" customFormat="1" x14ac:dyDescent="0.2">
      <c r="A1258" s="589" t="s">
        <v>56</v>
      </c>
      <c r="B1258" s="589" t="s">
        <v>274</v>
      </c>
      <c r="C1258" s="590" t="s">
        <v>3052</v>
      </c>
      <c r="D1258" s="589" t="s">
        <v>100</v>
      </c>
      <c r="E1258" s="589" t="s">
        <v>104</v>
      </c>
      <c r="F1258" s="589" t="s">
        <v>112</v>
      </c>
      <c r="G1258" s="589" t="s">
        <v>51</v>
      </c>
      <c r="H1258" s="589" t="s">
        <v>242</v>
      </c>
      <c r="I1258" s="589" t="s">
        <v>3249</v>
      </c>
      <c r="J1258" s="589" t="s">
        <v>35</v>
      </c>
      <c r="K1258" s="591">
        <v>860</v>
      </c>
      <c r="L1258" s="592">
        <f>IF(J1258="TND",1,IF(J1258="EUR",Vertical_Cash_flow!$C$16,IF(J1258="USD",Vertical_Cash_flow!$F$16,0)))</f>
        <v>1</v>
      </c>
      <c r="M1258" s="593">
        <f t="shared" si="80"/>
        <v>860</v>
      </c>
      <c r="N1258" s="589" t="s">
        <v>251</v>
      </c>
      <c r="O1258" s="594">
        <v>45411</v>
      </c>
      <c r="P1258" s="593">
        <f t="shared" si="81"/>
        <v>-122</v>
      </c>
      <c r="Q1258" s="594">
        <v>45533</v>
      </c>
      <c r="R1258" s="593">
        <f t="shared" ca="1" si="82"/>
        <v>-92</v>
      </c>
      <c r="S1258" s="589" t="str">
        <f>VLOOKUP(Q1258,Mapping!L:M,2,0)</f>
        <v>W35_2024</v>
      </c>
      <c r="T1258" s="589" t="str">
        <f t="shared" ca="1" si="83"/>
        <v>Not Due</v>
      </c>
      <c r="W1258" s="591"/>
    </row>
    <row r="1259" spans="1:23" s="589" customFormat="1" x14ac:dyDescent="0.2">
      <c r="A1259" s="589" t="s">
        <v>56</v>
      </c>
      <c r="B1259" s="589" t="s">
        <v>1247</v>
      </c>
      <c r="C1259" s="590" t="s">
        <v>3446</v>
      </c>
      <c r="D1259" s="589" t="s">
        <v>100</v>
      </c>
      <c r="E1259" s="589" t="s">
        <v>104</v>
      </c>
      <c r="F1259" s="589" t="s">
        <v>112</v>
      </c>
      <c r="G1259" s="589" t="s">
        <v>51</v>
      </c>
      <c r="H1259" s="589" t="s">
        <v>242</v>
      </c>
      <c r="I1259" s="589" t="s">
        <v>3609</v>
      </c>
      <c r="J1259" s="589" t="s">
        <v>35</v>
      </c>
      <c r="K1259" s="591">
        <v>3243.8780000000002</v>
      </c>
      <c r="L1259" s="592">
        <f>IF(J1259="TND",1,IF(J1259="EUR",Vertical_Cash_flow!$C$16,IF(J1259="USD",Vertical_Cash_flow!$F$16,0)))</f>
        <v>1</v>
      </c>
      <c r="M1259" s="593">
        <f t="shared" si="80"/>
        <v>3243.8780000000002</v>
      </c>
      <c r="N1259" s="589" t="s">
        <v>251</v>
      </c>
      <c r="O1259" s="594">
        <v>45427</v>
      </c>
      <c r="P1259" s="593">
        <f t="shared" si="81"/>
        <v>-106</v>
      </c>
      <c r="Q1259" s="594">
        <v>45533</v>
      </c>
      <c r="R1259" s="593">
        <f t="shared" ca="1" si="82"/>
        <v>-92</v>
      </c>
      <c r="S1259" s="589" t="str">
        <f>VLOOKUP(Q1259,Mapping!L:M,2,0)</f>
        <v>W35_2024</v>
      </c>
      <c r="T1259" s="589" t="str">
        <f t="shared" ca="1" si="83"/>
        <v>Not Due</v>
      </c>
      <c r="W1259" s="591"/>
    </row>
    <row r="1260" spans="1:23" s="589" customFormat="1" x14ac:dyDescent="0.2">
      <c r="A1260" s="589" t="s">
        <v>56</v>
      </c>
      <c r="B1260" s="589" t="s">
        <v>481</v>
      </c>
      <c r="C1260" s="590" t="s">
        <v>3051</v>
      </c>
      <c r="D1260" s="589" t="s">
        <v>100</v>
      </c>
      <c r="E1260" s="589" t="s">
        <v>104</v>
      </c>
      <c r="F1260" s="589" t="s">
        <v>112</v>
      </c>
      <c r="G1260" s="589" t="s">
        <v>51</v>
      </c>
      <c r="H1260" s="589" t="s">
        <v>242</v>
      </c>
      <c r="I1260" s="589" t="s">
        <v>3248</v>
      </c>
      <c r="J1260" s="589" t="s">
        <v>35</v>
      </c>
      <c r="K1260" s="591">
        <v>5570</v>
      </c>
      <c r="L1260" s="592">
        <f>IF(J1260="TND",1,IF(J1260="EUR",Vertical_Cash_flow!$C$16,IF(J1260="USD",Vertical_Cash_flow!$F$16,0)))</f>
        <v>1</v>
      </c>
      <c r="M1260" s="593">
        <f t="shared" si="80"/>
        <v>5570</v>
      </c>
      <c r="N1260" s="589" t="s">
        <v>251</v>
      </c>
      <c r="O1260" s="594">
        <v>45412</v>
      </c>
      <c r="P1260" s="593">
        <f t="shared" si="81"/>
        <v>-121</v>
      </c>
      <c r="Q1260" s="594">
        <v>45533</v>
      </c>
      <c r="R1260" s="593">
        <f t="shared" ca="1" si="82"/>
        <v>-92</v>
      </c>
      <c r="S1260" s="589" t="str">
        <f>VLOOKUP(Q1260,Mapping!L:M,2,0)</f>
        <v>W35_2024</v>
      </c>
      <c r="T1260" s="589" t="str">
        <f t="shared" ca="1" si="83"/>
        <v>Not Due</v>
      </c>
      <c r="W1260" s="591"/>
    </row>
    <row r="1261" spans="1:23" s="589" customFormat="1" x14ac:dyDescent="0.2">
      <c r="A1261" s="589" t="s">
        <v>56</v>
      </c>
      <c r="B1261" s="589" t="s">
        <v>1048</v>
      </c>
      <c r="C1261" s="590" t="s">
        <v>3050</v>
      </c>
      <c r="D1261" s="589" t="s">
        <v>100</v>
      </c>
      <c r="E1261" s="589" t="s">
        <v>104</v>
      </c>
      <c r="F1261" s="589" t="s">
        <v>112</v>
      </c>
      <c r="G1261" s="589" t="s">
        <v>51</v>
      </c>
      <c r="H1261" s="589" t="s">
        <v>242</v>
      </c>
      <c r="I1261" s="589" t="s">
        <v>2015</v>
      </c>
      <c r="J1261" s="589" t="s">
        <v>35</v>
      </c>
      <c r="K1261" s="591">
        <v>634.20500000000004</v>
      </c>
      <c r="L1261" s="592">
        <f>IF(J1261="TND",1,IF(J1261="EUR",Vertical_Cash_flow!$C$16,IF(J1261="USD",Vertical_Cash_flow!$F$16,0)))</f>
        <v>1</v>
      </c>
      <c r="M1261" s="593">
        <f t="shared" si="80"/>
        <v>634.20500000000004</v>
      </c>
      <c r="N1261" s="589" t="s">
        <v>251</v>
      </c>
      <c r="O1261" s="594">
        <v>45412</v>
      </c>
      <c r="P1261" s="593">
        <f t="shared" si="81"/>
        <v>-121</v>
      </c>
      <c r="Q1261" s="594">
        <v>45533</v>
      </c>
      <c r="R1261" s="593">
        <f t="shared" ca="1" si="82"/>
        <v>-92</v>
      </c>
      <c r="S1261" s="589" t="str">
        <f>VLOOKUP(Q1261,Mapping!L:M,2,0)</f>
        <v>W35_2024</v>
      </c>
      <c r="T1261" s="589" t="str">
        <f t="shared" ca="1" si="83"/>
        <v>Not Due</v>
      </c>
      <c r="W1261" s="591"/>
    </row>
    <row r="1262" spans="1:23" s="589" customFormat="1" x14ac:dyDescent="0.2">
      <c r="A1262" s="589" t="s">
        <v>56</v>
      </c>
      <c r="B1262" s="589" t="s">
        <v>328</v>
      </c>
      <c r="C1262" s="590" t="s">
        <v>3049</v>
      </c>
      <c r="D1262" s="589" t="s">
        <v>100</v>
      </c>
      <c r="E1262" s="589" t="s">
        <v>104</v>
      </c>
      <c r="F1262" s="589" t="s">
        <v>112</v>
      </c>
      <c r="G1262" s="589" t="s">
        <v>51</v>
      </c>
      <c r="H1262" s="589" t="s">
        <v>242</v>
      </c>
      <c r="I1262" s="589" t="s">
        <v>3247</v>
      </c>
      <c r="J1262" s="589" t="s">
        <v>35</v>
      </c>
      <c r="K1262" s="591">
        <v>1300</v>
      </c>
      <c r="L1262" s="592">
        <f>IF(J1262="TND",1,IF(J1262="EUR",Vertical_Cash_flow!$C$16,IF(J1262="USD",Vertical_Cash_flow!$F$16,0)))</f>
        <v>1</v>
      </c>
      <c r="M1262" s="593">
        <f t="shared" si="80"/>
        <v>1300</v>
      </c>
      <c r="N1262" s="589" t="s">
        <v>251</v>
      </c>
      <c r="O1262" s="594">
        <v>45416</v>
      </c>
      <c r="P1262" s="593">
        <f t="shared" si="81"/>
        <v>-117</v>
      </c>
      <c r="Q1262" s="594">
        <v>45533</v>
      </c>
      <c r="R1262" s="593">
        <f t="shared" ca="1" si="82"/>
        <v>-92</v>
      </c>
      <c r="S1262" s="589" t="str">
        <f>VLOOKUP(Q1262,Mapping!L:M,2,0)</f>
        <v>W35_2024</v>
      </c>
      <c r="T1262" s="589" t="str">
        <f t="shared" ca="1" si="83"/>
        <v>Not Due</v>
      </c>
      <c r="W1262" s="591"/>
    </row>
    <row r="1263" spans="1:23" s="589" customFormat="1" x14ac:dyDescent="0.2">
      <c r="A1263" s="589" t="s">
        <v>56</v>
      </c>
      <c r="B1263" s="589" t="s">
        <v>527</v>
      </c>
      <c r="C1263" s="590" t="s">
        <v>3445</v>
      </c>
      <c r="D1263" s="589" t="s">
        <v>100</v>
      </c>
      <c r="E1263" s="589" t="s">
        <v>104</v>
      </c>
      <c r="F1263" s="589" t="s">
        <v>112</v>
      </c>
      <c r="G1263" s="589" t="s">
        <v>51</v>
      </c>
      <c r="H1263" s="589" t="s">
        <v>242</v>
      </c>
      <c r="I1263" s="589" t="s">
        <v>1003</v>
      </c>
      <c r="J1263" s="589" t="s">
        <v>35</v>
      </c>
      <c r="K1263" s="591">
        <v>2299.6329999999998</v>
      </c>
      <c r="L1263" s="592">
        <f>IF(J1263="TND",1,IF(J1263="EUR",Vertical_Cash_flow!$C$16,IF(J1263="USD",Vertical_Cash_flow!$F$16,0)))</f>
        <v>1</v>
      </c>
      <c r="M1263" s="593">
        <f t="shared" si="80"/>
        <v>2299.6329999999998</v>
      </c>
      <c r="N1263" s="589" t="s">
        <v>251</v>
      </c>
      <c r="O1263" s="594">
        <v>45423</v>
      </c>
      <c r="P1263" s="593">
        <f t="shared" si="81"/>
        <v>-110</v>
      </c>
      <c r="Q1263" s="594">
        <v>45533</v>
      </c>
      <c r="R1263" s="593">
        <f t="shared" ca="1" si="82"/>
        <v>-92</v>
      </c>
      <c r="S1263" s="589" t="str">
        <f>VLOOKUP(Q1263,Mapping!L:M,2,0)</f>
        <v>W35_2024</v>
      </c>
      <c r="T1263" s="589" t="str">
        <f t="shared" ca="1" si="83"/>
        <v>Not Due</v>
      </c>
      <c r="W1263" s="591"/>
    </row>
    <row r="1264" spans="1:23" s="589" customFormat="1" x14ac:dyDescent="0.2">
      <c r="A1264" s="589" t="s">
        <v>56</v>
      </c>
      <c r="B1264" s="589" t="s">
        <v>760</v>
      </c>
      <c r="C1264" s="590" t="s">
        <v>2344</v>
      </c>
      <c r="D1264" s="589" t="s">
        <v>100</v>
      </c>
      <c r="E1264" s="589" t="s">
        <v>104</v>
      </c>
      <c r="F1264" s="589" t="s">
        <v>112</v>
      </c>
      <c r="G1264" s="589" t="s">
        <v>51</v>
      </c>
      <c r="H1264" s="589" t="s">
        <v>242</v>
      </c>
      <c r="I1264" s="589" t="s">
        <v>2678</v>
      </c>
      <c r="J1264" s="589" t="s">
        <v>35</v>
      </c>
      <c r="K1264" s="591">
        <v>4500</v>
      </c>
      <c r="L1264" s="592">
        <f>IF(J1264="TND",1,IF(J1264="EUR",Vertical_Cash_flow!$C$16,IF(J1264="USD",Vertical_Cash_flow!$F$16,0)))</f>
        <v>1</v>
      </c>
      <c r="M1264" s="593">
        <f t="shared" si="80"/>
        <v>4500</v>
      </c>
      <c r="N1264" s="589" t="s">
        <v>251</v>
      </c>
      <c r="O1264" s="594">
        <v>45400</v>
      </c>
      <c r="P1264" s="593">
        <f t="shared" si="81"/>
        <v>-134</v>
      </c>
      <c r="Q1264" s="594">
        <v>45534</v>
      </c>
      <c r="R1264" s="593">
        <f t="shared" ca="1" si="82"/>
        <v>-93</v>
      </c>
      <c r="S1264" s="589" t="str">
        <f>VLOOKUP(Q1264,Mapping!L:M,2,0)</f>
        <v>W35_2024</v>
      </c>
      <c r="T1264" s="589" t="str">
        <f t="shared" ca="1" si="83"/>
        <v>Not Due</v>
      </c>
      <c r="W1264" s="591"/>
    </row>
    <row r="1265" spans="1:23" s="589" customFormat="1" x14ac:dyDescent="0.2">
      <c r="A1265" s="589" t="s">
        <v>56</v>
      </c>
      <c r="B1265" s="589" t="s">
        <v>294</v>
      </c>
      <c r="C1265" s="590" t="s">
        <v>3444</v>
      </c>
      <c r="D1265" s="589" t="s">
        <v>100</v>
      </c>
      <c r="E1265" s="589" t="s">
        <v>104</v>
      </c>
      <c r="F1265" s="589" t="s">
        <v>112</v>
      </c>
      <c r="G1265" s="589" t="s">
        <v>51</v>
      </c>
      <c r="H1265" s="589" t="s">
        <v>242</v>
      </c>
      <c r="I1265" s="589" t="s">
        <v>3608</v>
      </c>
      <c r="J1265" s="589" t="s">
        <v>35</v>
      </c>
      <c r="K1265" s="591">
        <v>2000</v>
      </c>
      <c r="L1265" s="592">
        <f>IF(J1265="TND",1,IF(J1265="EUR",Vertical_Cash_flow!$C$16,IF(J1265="USD",Vertical_Cash_flow!$F$16,0)))</f>
        <v>1</v>
      </c>
      <c r="M1265" s="593">
        <f t="shared" si="80"/>
        <v>2000</v>
      </c>
      <c r="N1265" s="589" t="s">
        <v>251</v>
      </c>
      <c r="O1265" s="594">
        <v>45430</v>
      </c>
      <c r="P1265" s="593">
        <f t="shared" si="81"/>
        <v>-104</v>
      </c>
      <c r="Q1265" s="594">
        <v>45534</v>
      </c>
      <c r="R1265" s="593">
        <f t="shared" ca="1" si="82"/>
        <v>-93</v>
      </c>
      <c r="S1265" s="589" t="str">
        <f>VLOOKUP(Q1265,Mapping!L:M,2,0)</f>
        <v>W35_2024</v>
      </c>
      <c r="T1265" s="589" t="str">
        <f t="shared" ca="1" si="83"/>
        <v>Not Due</v>
      </c>
      <c r="W1265" s="591"/>
    </row>
    <row r="1266" spans="1:23" s="589" customFormat="1" x14ac:dyDescent="0.2">
      <c r="A1266" s="589" t="s">
        <v>56</v>
      </c>
      <c r="B1266" s="589" t="s">
        <v>498</v>
      </c>
      <c r="C1266" s="590" t="s">
        <v>2343</v>
      </c>
      <c r="D1266" s="589" t="s">
        <v>100</v>
      </c>
      <c r="E1266" s="589" t="s">
        <v>104</v>
      </c>
      <c r="F1266" s="589" t="s">
        <v>112</v>
      </c>
      <c r="G1266" s="589" t="s">
        <v>51</v>
      </c>
      <c r="H1266" s="589" t="s">
        <v>242</v>
      </c>
      <c r="I1266" s="589" t="s">
        <v>2677</v>
      </c>
      <c r="J1266" s="589" t="s">
        <v>35</v>
      </c>
      <c r="K1266" s="591">
        <v>6000</v>
      </c>
      <c r="L1266" s="592">
        <f>IF(J1266="TND",1,IF(J1266="EUR",Vertical_Cash_flow!$C$16,IF(J1266="USD",Vertical_Cash_flow!$F$16,0)))</f>
        <v>1</v>
      </c>
      <c r="M1266" s="593">
        <f t="shared" si="80"/>
        <v>6000</v>
      </c>
      <c r="N1266" s="589" t="s">
        <v>251</v>
      </c>
      <c r="O1266" s="594">
        <v>45404</v>
      </c>
      <c r="P1266" s="593">
        <f t="shared" si="81"/>
        <v>-130</v>
      </c>
      <c r="Q1266" s="594">
        <v>45534</v>
      </c>
      <c r="R1266" s="593">
        <f t="shared" ca="1" si="82"/>
        <v>-93</v>
      </c>
      <c r="S1266" s="589" t="str">
        <f>VLOOKUP(Q1266,Mapping!L:M,2,0)</f>
        <v>W35_2024</v>
      </c>
      <c r="T1266" s="589" t="str">
        <f t="shared" ca="1" si="83"/>
        <v>Not Due</v>
      </c>
      <c r="W1266" s="591"/>
    </row>
    <row r="1267" spans="1:23" s="589" customFormat="1" x14ac:dyDescent="0.2">
      <c r="A1267" s="589" t="s">
        <v>56</v>
      </c>
      <c r="B1267" s="589" t="s">
        <v>532</v>
      </c>
      <c r="C1267" s="590" t="s">
        <v>3048</v>
      </c>
      <c r="D1267" s="589" t="s">
        <v>100</v>
      </c>
      <c r="E1267" s="589" t="s">
        <v>104</v>
      </c>
      <c r="F1267" s="589" t="s">
        <v>112</v>
      </c>
      <c r="G1267" s="589" t="s">
        <v>51</v>
      </c>
      <c r="H1267" s="589" t="s">
        <v>242</v>
      </c>
      <c r="I1267" s="589" t="s">
        <v>3246</v>
      </c>
      <c r="J1267" s="589" t="s">
        <v>35</v>
      </c>
      <c r="K1267" s="591">
        <v>1376.3820000000001</v>
      </c>
      <c r="L1267" s="592">
        <f>IF(J1267="TND",1,IF(J1267="EUR",Vertical_Cash_flow!$C$16,IF(J1267="USD",Vertical_Cash_flow!$F$16,0)))</f>
        <v>1</v>
      </c>
      <c r="M1267" s="593">
        <f t="shared" si="80"/>
        <v>1376.3820000000001</v>
      </c>
      <c r="N1267" s="589" t="s">
        <v>251</v>
      </c>
      <c r="O1267" s="594">
        <v>45412</v>
      </c>
      <c r="P1267" s="593">
        <f t="shared" si="81"/>
        <v>-122</v>
      </c>
      <c r="Q1267" s="594">
        <v>45534</v>
      </c>
      <c r="R1267" s="593">
        <f t="shared" ca="1" si="82"/>
        <v>-93</v>
      </c>
      <c r="S1267" s="589" t="str">
        <f>VLOOKUP(Q1267,Mapping!L:M,2,0)</f>
        <v>W35_2024</v>
      </c>
      <c r="T1267" s="589" t="str">
        <f t="shared" ca="1" si="83"/>
        <v>Not Due</v>
      </c>
      <c r="W1267" s="591"/>
    </row>
    <row r="1268" spans="1:23" s="589" customFormat="1" x14ac:dyDescent="0.2">
      <c r="A1268" s="589" t="s">
        <v>56</v>
      </c>
      <c r="B1268" s="589" t="s">
        <v>343</v>
      </c>
      <c r="C1268" s="590" t="s">
        <v>3443</v>
      </c>
      <c r="D1268" s="589" t="s">
        <v>100</v>
      </c>
      <c r="E1268" s="589" t="s">
        <v>104</v>
      </c>
      <c r="F1268" s="589" t="s">
        <v>112</v>
      </c>
      <c r="G1268" s="589" t="s">
        <v>51</v>
      </c>
      <c r="H1268" s="589" t="s">
        <v>242</v>
      </c>
      <c r="I1268" s="589" t="s">
        <v>3607</v>
      </c>
      <c r="J1268" s="589" t="s">
        <v>35</v>
      </c>
      <c r="K1268" s="591">
        <v>1312.633</v>
      </c>
      <c r="L1268" s="592">
        <f>IF(J1268="TND",1,IF(J1268="EUR",Vertical_Cash_flow!$C$16,IF(J1268="USD",Vertical_Cash_flow!$F$16,0)))</f>
        <v>1</v>
      </c>
      <c r="M1268" s="593">
        <f t="shared" si="80"/>
        <v>1312.633</v>
      </c>
      <c r="N1268" s="589" t="s">
        <v>251</v>
      </c>
      <c r="O1268" s="594">
        <v>45430</v>
      </c>
      <c r="P1268" s="593">
        <f t="shared" si="81"/>
        <v>-104</v>
      </c>
      <c r="Q1268" s="594">
        <v>45534</v>
      </c>
      <c r="R1268" s="593">
        <f t="shared" ca="1" si="82"/>
        <v>-93</v>
      </c>
      <c r="S1268" s="589" t="str">
        <f>VLOOKUP(Q1268,Mapping!L:M,2,0)</f>
        <v>W35_2024</v>
      </c>
      <c r="T1268" s="589" t="str">
        <f t="shared" ca="1" si="83"/>
        <v>Not Due</v>
      </c>
      <c r="W1268" s="591"/>
    </row>
    <row r="1269" spans="1:23" s="589" customFormat="1" x14ac:dyDescent="0.2">
      <c r="A1269" s="589" t="s">
        <v>56</v>
      </c>
      <c r="B1269" s="589" t="s">
        <v>741</v>
      </c>
      <c r="C1269" s="590" t="s">
        <v>3442</v>
      </c>
      <c r="D1269" s="589" t="s">
        <v>100</v>
      </c>
      <c r="E1269" s="589" t="s">
        <v>104</v>
      </c>
      <c r="F1269" s="589" t="s">
        <v>112</v>
      </c>
      <c r="G1269" s="589" t="s">
        <v>51</v>
      </c>
      <c r="H1269" s="589" t="s">
        <v>242</v>
      </c>
      <c r="I1269" s="589" t="s">
        <v>3606</v>
      </c>
      <c r="J1269" s="589" t="s">
        <v>35</v>
      </c>
      <c r="K1269" s="591">
        <v>3052.4749999999999</v>
      </c>
      <c r="L1269" s="592">
        <f>IF(J1269="TND",1,IF(J1269="EUR",Vertical_Cash_flow!$C$16,IF(J1269="USD",Vertical_Cash_flow!$F$16,0)))</f>
        <v>1</v>
      </c>
      <c r="M1269" s="593">
        <f t="shared" si="80"/>
        <v>3052.4749999999999</v>
      </c>
      <c r="N1269" s="589" t="s">
        <v>251</v>
      </c>
      <c r="O1269" s="594">
        <v>45429</v>
      </c>
      <c r="P1269" s="593">
        <f t="shared" si="81"/>
        <v>-105</v>
      </c>
      <c r="Q1269" s="594">
        <v>45534</v>
      </c>
      <c r="R1269" s="593">
        <f t="shared" ca="1" si="82"/>
        <v>-93</v>
      </c>
      <c r="S1269" s="589" t="str">
        <f>VLOOKUP(Q1269,Mapping!L:M,2,0)</f>
        <v>W35_2024</v>
      </c>
      <c r="T1269" s="589" t="str">
        <f t="shared" ca="1" si="83"/>
        <v>Not Due</v>
      </c>
      <c r="W1269" s="591"/>
    </row>
    <row r="1270" spans="1:23" s="589" customFormat="1" x14ac:dyDescent="0.2">
      <c r="A1270" s="589" t="s">
        <v>56</v>
      </c>
      <c r="B1270" s="589" t="s">
        <v>902</v>
      </c>
      <c r="C1270" s="590" t="s">
        <v>3047</v>
      </c>
      <c r="D1270" s="589" t="s">
        <v>100</v>
      </c>
      <c r="E1270" s="589" t="s">
        <v>104</v>
      </c>
      <c r="F1270" s="589" t="s">
        <v>112</v>
      </c>
      <c r="G1270" s="589" t="s">
        <v>51</v>
      </c>
      <c r="H1270" s="589" t="s">
        <v>242</v>
      </c>
      <c r="I1270" s="589" t="s">
        <v>3245</v>
      </c>
      <c r="J1270" s="589" t="s">
        <v>35</v>
      </c>
      <c r="K1270" s="591">
        <v>2070.942</v>
      </c>
      <c r="L1270" s="592">
        <f>IF(J1270="TND",1,IF(J1270="EUR",Vertical_Cash_flow!$C$16,IF(J1270="USD",Vertical_Cash_flow!$F$16,0)))</f>
        <v>1</v>
      </c>
      <c r="M1270" s="593">
        <f t="shared" si="80"/>
        <v>2070.942</v>
      </c>
      <c r="N1270" s="589" t="s">
        <v>251</v>
      </c>
      <c r="O1270" s="594">
        <v>45420</v>
      </c>
      <c r="P1270" s="593">
        <f t="shared" si="81"/>
        <v>-114</v>
      </c>
      <c r="Q1270" s="594">
        <v>45534</v>
      </c>
      <c r="R1270" s="593">
        <f t="shared" ca="1" si="82"/>
        <v>-93</v>
      </c>
      <c r="S1270" s="589" t="str">
        <f>VLOOKUP(Q1270,Mapping!L:M,2,0)</f>
        <v>W35_2024</v>
      </c>
      <c r="T1270" s="589" t="str">
        <f t="shared" ca="1" si="83"/>
        <v>Not Due</v>
      </c>
      <c r="W1270" s="591"/>
    </row>
    <row r="1271" spans="1:23" s="589" customFormat="1" x14ac:dyDescent="0.2">
      <c r="A1271" s="589" t="s">
        <v>56</v>
      </c>
      <c r="B1271" s="589" t="s">
        <v>353</v>
      </c>
      <c r="C1271" s="590" t="s">
        <v>2342</v>
      </c>
      <c r="D1271" s="589" t="s">
        <v>100</v>
      </c>
      <c r="E1271" s="589" t="s">
        <v>104</v>
      </c>
      <c r="F1271" s="589" t="s">
        <v>112</v>
      </c>
      <c r="G1271" s="589" t="s">
        <v>51</v>
      </c>
      <c r="H1271" s="589" t="s">
        <v>242</v>
      </c>
      <c r="I1271" s="589" t="s">
        <v>2676</v>
      </c>
      <c r="J1271" s="589" t="s">
        <v>35</v>
      </c>
      <c r="K1271" s="591">
        <v>883.74099999999999</v>
      </c>
      <c r="L1271" s="592">
        <f>IF(J1271="TND",1,IF(J1271="EUR",Vertical_Cash_flow!$C$16,IF(J1271="USD",Vertical_Cash_flow!$F$16,0)))</f>
        <v>1</v>
      </c>
      <c r="M1271" s="593">
        <f t="shared" si="80"/>
        <v>883.74099999999999</v>
      </c>
      <c r="N1271" s="589" t="s">
        <v>251</v>
      </c>
      <c r="O1271" s="594">
        <v>45405</v>
      </c>
      <c r="P1271" s="593">
        <f t="shared" si="81"/>
        <v>-130</v>
      </c>
      <c r="Q1271" s="594">
        <v>45535</v>
      </c>
      <c r="R1271" s="593">
        <f t="shared" ca="1" si="82"/>
        <v>-94</v>
      </c>
      <c r="S1271" s="589" t="str">
        <f>VLOOKUP(Q1271,Mapping!L:M,2,0)</f>
        <v>W36_2024</v>
      </c>
      <c r="T1271" s="589" t="str">
        <f t="shared" ca="1" si="83"/>
        <v>Not Due</v>
      </c>
      <c r="W1271" s="591"/>
    </row>
    <row r="1272" spans="1:23" s="589" customFormat="1" x14ac:dyDescent="0.2">
      <c r="A1272" s="589" t="s">
        <v>56</v>
      </c>
      <c r="B1272" s="589" t="s">
        <v>511</v>
      </c>
      <c r="C1272" s="590" t="s">
        <v>3441</v>
      </c>
      <c r="D1272" s="589" t="s">
        <v>100</v>
      </c>
      <c r="E1272" s="589" t="s">
        <v>104</v>
      </c>
      <c r="F1272" s="589" t="s">
        <v>112</v>
      </c>
      <c r="G1272" s="589" t="s">
        <v>51</v>
      </c>
      <c r="H1272" s="589" t="s">
        <v>242</v>
      </c>
      <c r="I1272" s="589" t="s">
        <v>3605</v>
      </c>
      <c r="J1272" s="589" t="s">
        <v>35</v>
      </c>
      <c r="K1272" s="591">
        <v>10752.331</v>
      </c>
      <c r="L1272" s="592">
        <f>IF(J1272="TND",1,IF(J1272="EUR",Vertical_Cash_flow!$C$16,IF(J1272="USD",Vertical_Cash_flow!$F$16,0)))</f>
        <v>1</v>
      </c>
      <c r="M1272" s="593">
        <f t="shared" si="80"/>
        <v>10752.331</v>
      </c>
      <c r="N1272" s="589" t="s">
        <v>251</v>
      </c>
      <c r="O1272" s="594">
        <v>45422</v>
      </c>
      <c r="P1272" s="593">
        <f t="shared" si="81"/>
        <v>-113</v>
      </c>
      <c r="Q1272" s="594">
        <v>45535</v>
      </c>
      <c r="R1272" s="593">
        <f t="shared" ca="1" si="82"/>
        <v>-94</v>
      </c>
      <c r="S1272" s="589" t="str">
        <f>VLOOKUP(Q1272,Mapping!L:M,2,0)</f>
        <v>W36_2024</v>
      </c>
      <c r="T1272" s="589" t="str">
        <f t="shared" ca="1" si="83"/>
        <v>Not Due</v>
      </c>
      <c r="W1272" s="591"/>
    </row>
    <row r="1273" spans="1:23" s="589" customFormat="1" x14ac:dyDescent="0.2">
      <c r="A1273" s="589" t="s">
        <v>56</v>
      </c>
      <c r="B1273" s="589" t="s">
        <v>365</v>
      </c>
      <c r="C1273" s="590" t="s">
        <v>3046</v>
      </c>
      <c r="D1273" s="589" t="s">
        <v>100</v>
      </c>
      <c r="E1273" s="589" t="s">
        <v>104</v>
      </c>
      <c r="F1273" s="589" t="s">
        <v>112</v>
      </c>
      <c r="G1273" s="589" t="s">
        <v>51</v>
      </c>
      <c r="H1273" s="589" t="s">
        <v>242</v>
      </c>
      <c r="I1273" s="589" t="s">
        <v>3244</v>
      </c>
      <c r="J1273" s="589" t="s">
        <v>35</v>
      </c>
      <c r="K1273" s="591">
        <v>1435.9159999999999</v>
      </c>
      <c r="L1273" s="592">
        <f>IF(J1273="TND",1,IF(J1273="EUR",Vertical_Cash_flow!$C$16,IF(J1273="USD",Vertical_Cash_flow!$F$16,0)))</f>
        <v>1</v>
      </c>
      <c r="M1273" s="593">
        <f t="shared" si="80"/>
        <v>1435.9159999999999</v>
      </c>
      <c r="N1273" s="589" t="s">
        <v>251</v>
      </c>
      <c r="O1273" s="594">
        <v>45411</v>
      </c>
      <c r="P1273" s="593">
        <f t="shared" si="81"/>
        <v>-124</v>
      </c>
      <c r="Q1273" s="594">
        <v>45535</v>
      </c>
      <c r="R1273" s="593">
        <f t="shared" ca="1" si="82"/>
        <v>-94</v>
      </c>
      <c r="S1273" s="589" t="str">
        <f>VLOOKUP(Q1273,Mapping!L:M,2,0)</f>
        <v>W36_2024</v>
      </c>
      <c r="T1273" s="589" t="str">
        <f t="shared" ca="1" si="83"/>
        <v>Not Due</v>
      </c>
      <c r="W1273" s="591"/>
    </row>
    <row r="1274" spans="1:23" s="589" customFormat="1" x14ac:dyDescent="0.2">
      <c r="A1274" s="589" t="s">
        <v>56</v>
      </c>
      <c r="B1274" s="589" t="s">
        <v>354</v>
      </c>
      <c r="C1274" s="590" t="s">
        <v>3440</v>
      </c>
      <c r="D1274" s="589" t="s">
        <v>100</v>
      </c>
      <c r="E1274" s="589" t="s">
        <v>104</v>
      </c>
      <c r="F1274" s="589" t="s">
        <v>112</v>
      </c>
      <c r="G1274" s="589" t="s">
        <v>51</v>
      </c>
      <c r="H1274" s="589" t="s">
        <v>242</v>
      </c>
      <c r="I1274" s="589" t="s">
        <v>3604</v>
      </c>
      <c r="J1274" s="589" t="s">
        <v>35</v>
      </c>
      <c r="K1274" s="591">
        <v>390.005</v>
      </c>
      <c r="L1274" s="592">
        <f>IF(J1274="TND",1,IF(J1274="EUR",Vertical_Cash_flow!$C$16,IF(J1274="USD",Vertical_Cash_flow!$F$16,0)))</f>
        <v>1</v>
      </c>
      <c r="M1274" s="593">
        <f t="shared" si="80"/>
        <v>390.005</v>
      </c>
      <c r="N1274" s="589" t="s">
        <v>251</v>
      </c>
      <c r="O1274" s="594">
        <v>45427</v>
      </c>
      <c r="P1274" s="593">
        <f t="shared" si="81"/>
        <v>-108</v>
      </c>
      <c r="Q1274" s="594">
        <v>45535</v>
      </c>
      <c r="R1274" s="593">
        <f t="shared" ca="1" si="82"/>
        <v>-94</v>
      </c>
      <c r="S1274" s="589" t="str">
        <f>VLOOKUP(Q1274,Mapping!L:M,2,0)</f>
        <v>W36_2024</v>
      </c>
      <c r="T1274" s="589" t="str">
        <f t="shared" ca="1" si="83"/>
        <v>Not Due</v>
      </c>
      <c r="W1274" s="591"/>
    </row>
    <row r="1275" spans="1:23" s="589" customFormat="1" x14ac:dyDescent="0.2">
      <c r="A1275" s="589" t="s">
        <v>56</v>
      </c>
      <c r="B1275" s="589" t="s">
        <v>357</v>
      </c>
      <c r="C1275" s="590" t="s">
        <v>3439</v>
      </c>
      <c r="D1275" s="589" t="s">
        <v>100</v>
      </c>
      <c r="E1275" s="589" t="s">
        <v>104</v>
      </c>
      <c r="F1275" s="589" t="s">
        <v>112</v>
      </c>
      <c r="G1275" s="589" t="s">
        <v>51</v>
      </c>
      <c r="H1275" s="589" t="s">
        <v>242</v>
      </c>
      <c r="I1275" s="589" t="s">
        <v>3603</v>
      </c>
      <c r="J1275" s="589" t="s">
        <v>35</v>
      </c>
      <c r="K1275" s="591">
        <v>4792.74</v>
      </c>
      <c r="L1275" s="592">
        <f>IF(J1275="TND",1,IF(J1275="EUR",Vertical_Cash_flow!$C$16,IF(J1275="USD",Vertical_Cash_flow!$F$16,0)))</f>
        <v>1</v>
      </c>
      <c r="M1275" s="593">
        <f t="shared" si="80"/>
        <v>4792.74</v>
      </c>
      <c r="N1275" s="589" t="s">
        <v>251</v>
      </c>
      <c r="O1275" s="594">
        <v>45427</v>
      </c>
      <c r="P1275" s="593">
        <f t="shared" si="81"/>
        <v>-108</v>
      </c>
      <c r="Q1275" s="594">
        <v>45535</v>
      </c>
      <c r="R1275" s="593">
        <f t="shared" ca="1" si="82"/>
        <v>-94</v>
      </c>
      <c r="S1275" s="589" t="str">
        <f>VLOOKUP(Q1275,Mapping!L:M,2,0)</f>
        <v>W36_2024</v>
      </c>
      <c r="T1275" s="589" t="str">
        <f t="shared" ca="1" si="83"/>
        <v>Not Due</v>
      </c>
      <c r="W1275" s="591"/>
    </row>
    <row r="1276" spans="1:23" s="589" customFormat="1" x14ac:dyDescent="0.2">
      <c r="A1276" s="589" t="s">
        <v>56</v>
      </c>
      <c r="B1276" s="589" t="s">
        <v>1247</v>
      </c>
      <c r="C1276" s="590" t="s">
        <v>3438</v>
      </c>
      <c r="D1276" s="589" t="s">
        <v>100</v>
      </c>
      <c r="E1276" s="589" t="s">
        <v>104</v>
      </c>
      <c r="F1276" s="589" t="s">
        <v>112</v>
      </c>
      <c r="G1276" s="589" t="s">
        <v>51</v>
      </c>
      <c r="H1276" s="589" t="s">
        <v>242</v>
      </c>
      <c r="I1276" s="589" t="s">
        <v>3602</v>
      </c>
      <c r="J1276" s="589" t="s">
        <v>35</v>
      </c>
      <c r="K1276" s="591">
        <v>3243.8780000000002</v>
      </c>
      <c r="L1276" s="592">
        <f>IF(J1276="TND",1,IF(J1276="EUR",Vertical_Cash_flow!$C$16,IF(J1276="USD",Vertical_Cash_flow!$F$16,0)))</f>
        <v>1</v>
      </c>
      <c r="M1276" s="593">
        <f t="shared" si="80"/>
        <v>3243.8780000000002</v>
      </c>
      <c r="N1276" s="589" t="s">
        <v>251</v>
      </c>
      <c r="O1276" s="594">
        <v>45427</v>
      </c>
      <c r="P1276" s="593">
        <f t="shared" si="81"/>
        <v>-108</v>
      </c>
      <c r="Q1276" s="594">
        <v>45535</v>
      </c>
      <c r="R1276" s="593">
        <f t="shared" ca="1" si="82"/>
        <v>-94</v>
      </c>
      <c r="S1276" s="589" t="str">
        <f>VLOOKUP(Q1276,Mapping!L:M,2,0)</f>
        <v>W36_2024</v>
      </c>
      <c r="T1276" s="589" t="str">
        <f t="shared" ca="1" si="83"/>
        <v>Not Due</v>
      </c>
      <c r="W1276" s="591"/>
    </row>
    <row r="1277" spans="1:23" s="589" customFormat="1" x14ac:dyDescent="0.2">
      <c r="A1277" s="589" t="s">
        <v>56</v>
      </c>
      <c r="B1277" s="589" t="s">
        <v>395</v>
      </c>
      <c r="C1277" s="590" t="s">
        <v>3437</v>
      </c>
      <c r="D1277" s="589" t="s">
        <v>100</v>
      </c>
      <c r="E1277" s="589" t="s">
        <v>104</v>
      </c>
      <c r="F1277" s="589" t="s">
        <v>112</v>
      </c>
      <c r="G1277" s="589" t="s">
        <v>51</v>
      </c>
      <c r="H1277" s="589" t="s">
        <v>242</v>
      </c>
      <c r="I1277" s="589" t="s">
        <v>3601</v>
      </c>
      <c r="J1277" s="589" t="s">
        <v>35</v>
      </c>
      <c r="K1277" s="591">
        <v>5285.8310000000001</v>
      </c>
      <c r="L1277" s="592">
        <f>IF(J1277="TND",1,IF(J1277="EUR",Vertical_Cash_flow!$C$16,IF(J1277="USD",Vertical_Cash_flow!$F$16,0)))</f>
        <v>1</v>
      </c>
      <c r="M1277" s="593">
        <f t="shared" si="80"/>
        <v>5285.8310000000001</v>
      </c>
      <c r="N1277" s="589" t="s">
        <v>251</v>
      </c>
      <c r="O1277" s="594">
        <v>45426</v>
      </c>
      <c r="P1277" s="593">
        <f t="shared" si="81"/>
        <v>-109</v>
      </c>
      <c r="Q1277" s="594">
        <v>45535</v>
      </c>
      <c r="R1277" s="593">
        <f t="shared" ca="1" si="82"/>
        <v>-94</v>
      </c>
      <c r="S1277" s="589" t="str">
        <f>VLOOKUP(Q1277,Mapping!L:M,2,0)</f>
        <v>W36_2024</v>
      </c>
      <c r="T1277" s="589" t="str">
        <f t="shared" ca="1" si="83"/>
        <v>Not Due</v>
      </c>
      <c r="W1277" s="591"/>
    </row>
    <row r="1278" spans="1:23" s="589" customFormat="1" x14ac:dyDescent="0.2">
      <c r="A1278" s="589" t="s">
        <v>56</v>
      </c>
      <c r="B1278" s="589" t="s">
        <v>349</v>
      </c>
      <c r="C1278" s="590" t="s">
        <v>3044</v>
      </c>
      <c r="D1278" s="589" t="s">
        <v>100</v>
      </c>
      <c r="E1278" s="589" t="s">
        <v>104</v>
      </c>
      <c r="F1278" s="589" t="s">
        <v>112</v>
      </c>
      <c r="G1278" s="589" t="s">
        <v>51</v>
      </c>
      <c r="H1278" s="589" t="s">
        <v>242</v>
      </c>
      <c r="I1278" s="589" t="s">
        <v>3242</v>
      </c>
      <c r="J1278" s="589" t="s">
        <v>35</v>
      </c>
      <c r="K1278" s="591">
        <v>4733.4989999999998</v>
      </c>
      <c r="L1278" s="592">
        <f>IF(J1278="TND",1,IF(J1278="EUR",Vertical_Cash_flow!$C$16,IF(J1278="USD",Vertical_Cash_flow!$F$16,0)))</f>
        <v>1</v>
      </c>
      <c r="M1278" s="593">
        <f t="shared" si="80"/>
        <v>4733.4989999999998</v>
      </c>
      <c r="N1278" s="589" t="s">
        <v>251</v>
      </c>
      <c r="O1278" s="594">
        <v>45411</v>
      </c>
      <c r="P1278" s="593">
        <f t="shared" si="81"/>
        <v>-124</v>
      </c>
      <c r="Q1278" s="594">
        <v>45535</v>
      </c>
      <c r="R1278" s="593">
        <f t="shared" ca="1" si="82"/>
        <v>-94</v>
      </c>
      <c r="S1278" s="589" t="str">
        <f>VLOOKUP(Q1278,Mapping!L:M,2,0)</f>
        <v>W36_2024</v>
      </c>
      <c r="T1278" s="589" t="str">
        <f t="shared" ca="1" si="83"/>
        <v>Not Due</v>
      </c>
      <c r="W1278" s="591"/>
    </row>
    <row r="1279" spans="1:23" s="589" customFormat="1" x14ac:dyDescent="0.2">
      <c r="A1279" s="589" t="s">
        <v>56</v>
      </c>
      <c r="B1279" s="589" t="s">
        <v>398</v>
      </c>
      <c r="C1279" s="590" t="s">
        <v>3436</v>
      </c>
      <c r="D1279" s="589" t="s">
        <v>100</v>
      </c>
      <c r="E1279" s="589" t="s">
        <v>104</v>
      </c>
      <c r="F1279" s="589" t="s">
        <v>112</v>
      </c>
      <c r="G1279" s="589" t="s">
        <v>51</v>
      </c>
      <c r="H1279" s="589" t="s">
        <v>242</v>
      </c>
      <c r="I1279" s="589" t="s">
        <v>3600</v>
      </c>
      <c r="J1279" s="589" t="s">
        <v>35</v>
      </c>
      <c r="K1279" s="591">
        <v>2188.4589999999998</v>
      </c>
      <c r="L1279" s="592">
        <f>IF(J1279="TND",1,IF(J1279="EUR",Vertical_Cash_flow!$C$16,IF(J1279="USD",Vertical_Cash_flow!$F$16,0)))</f>
        <v>1</v>
      </c>
      <c r="M1279" s="593">
        <f t="shared" si="80"/>
        <v>2188.4589999999998</v>
      </c>
      <c r="N1279" s="589" t="s">
        <v>251</v>
      </c>
      <c r="O1279" s="594">
        <v>45426</v>
      </c>
      <c r="P1279" s="593">
        <f t="shared" si="81"/>
        <v>-109</v>
      </c>
      <c r="Q1279" s="594">
        <v>45535</v>
      </c>
      <c r="R1279" s="593">
        <f t="shared" ca="1" si="82"/>
        <v>-94</v>
      </c>
      <c r="S1279" s="589" t="str">
        <f>VLOOKUP(Q1279,Mapping!L:M,2,0)</f>
        <v>W36_2024</v>
      </c>
      <c r="T1279" s="589" t="str">
        <f t="shared" ca="1" si="83"/>
        <v>Not Due</v>
      </c>
      <c r="W1279" s="591"/>
    </row>
    <row r="1280" spans="1:23" s="589" customFormat="1" x14ac:dyDescent="0.2">
      <c r="A1280" s="589" t="s">
        <v>56</v>
      </c>
      <c r="B1280" s="589" t="s">
        <v>726</v>
      </c>
      <c r="C1280" s="590" t="s">
        <v>3045</v>
      </c>
      <c r="D1280" s="589" t="s">
        <v>100</v>
      </c>
      <c r="E1280" s="589" t="s">
        <v>104</v>
      </c>
      <c r="F1280" s="589" t="s">
        <v>112</v>
      </c>
      <c r="G1280" s="589" t="s">
        <v>51</v>
      </c>
      <c r="H1280" s="589" t="s">
        <v>242</v>
      </c>
      <c r="I1280" s="589" t="s">
        <v>3243</v>
      </c>
      <c r="J1280" s="589" t="s">
        <v>35</v>
      </c>
      <c r="K1280" s="591">
        <v>360</v>
      </c>
      <c r="L1280" s="592">
        <f>IF(J1280="TND",1,IF(J1280="EUR",Vertical_Cash_flow!$C$16,IF(J1280="USD",Vertical_Cash_flow!$F$16,0)))</f>
        <v>1</v>
      </c>
      <c r="M1280" s="593">
        <f t="shared" si="80"/>
        <v>360</v>
      </c>
      <c r="N1280" s="589" t="s">
        <v>251</v>
      </c>
      <c r="O1280" s="594">
        <v>45415</v>
      </c>
      <c r="P1280" s="593">
        <f t="shared" si="81"/>
        <v>-120</v>
      </c>
      <c r="Q1280" s="594">
        <v>45535</v>
      </c>
      <c r="R1280" s="593">
        <f t="shared" ca="1" si="82"/>
        <v>-94</v>
      </c>
      <c r="S1280" s="589" t="str">
        <f>VLOOKUP(Q1280,Mapping!L:M,2,0)</f>
        <v>W36_2024</v>
      </c>
      <c r="T1280" s="589" t="str">
        <f t="shared" ca="1" si="83"/>
        <v>Not Due</v>
      </c>
      <c r="W1280" s="591"/>
    </row>
    <row r="1281" spans="1:23" s="589" customFormat="1" x14ac:dyDescent="0.2">
      <c r="A1281" s="589" t="s">
        <v>56</v>
      </c>
      <c r="B1281" s="589" t="s">
        <v>348</v>
      </c>
      <c r="C1281" s="590" t="s">
        <v>2341</v>
      </c>
      <c r="D1281" s="589" t="s">
        <v>100</v>
      </c>
      <c r="E1281" s="589" t="s">
        <v>104</v>
      </c>
      <c r="F1281" s="589" t="s">
        <v>112</v>
      </c>
      <c r="G1281" s="589" t="s">
        <v>51</v>
      </c>
      <c r="H1281" s="589" t="s">
        <v>242</v>
      </c>
      <c r="I1281" s="589" t="s">
        <v>2675</v>
      </c>
      <c r="J1281" s="589" t="s">
        <v>35</v>
      </c>
      <c r="K1281" s="591">
        <v>3800.1419999999998</v>
      </c>
      <c r="L1281" s="592">
        <f>IF(J1281="TND",1,IF(J1281="EUR",Vertical_Cash_flow!$C$16,IF(J1281="USD",Vertical_Cash_flow!$F$16,0)))</f>
        <v>1</v>
      </c>
      <c r="M1281" s="593">
        <f t="shared" si="80"/>
        <v>3800.1419999999998</v>
      </c>
      <c r="N1281" s="589" t="s">
        <v>251</v>
      </c>
      <c r="O1281" s="594">
        <v>45408</v>
      </c>
      <c r="P1281" s="593">
        <f t="shared" si="81"/>
        <v>-127</v>
      </c>
      <c r="Q1281" s="594">
        <v>45535</v>
      </c>
      <c r="R1281" s="593">
        <f t="shared" ca="1" si="82"/>
        <v>-94</v>
      </c>
      <c r="S1281" s="589" t="str">
        <f>VLOOKUP(Q1281,Mapping!L:M,2,0)</f>
        <v>W36_2024</v>
      </c>
      <c r="T1281" s="589" t="str">
        <f t="shared" ca="1" si="83"/>
        <v>Not Due</v>
      </c>
      <c r="W1281" s="591"/>
    </row>
    <row r="1282" spans="1:23" s="589" customFormat="1" x14ac:dyDescent="0.2">
      <c r="A1282" s="589" t="s">
        <v>56</v>
      </c>
      <c r="B1282" s="589" t="s">
        <v>397</v>
      </c>
      <c r="C1282" s="590" t="s">
        <v>3435</v>
      </c>
      <c r="D1282" s="589" t="s">
        <v>100</v>
      </c>
      <c r="E1282" s="589" t="s">
        <v>104</v>
      </c>
      <c r="F1282" s="589" t="s">
        <v>112</v>
      </c>
      <c r="G1282" s="589" t="s">
        <v>51</v>
      </c>
      <c r="H1282" s="589" t="s">
        <v>242</v>
      </c>
      <c r="I1282" s="589" t="s">
        <v>3599</v>
      </c>
      <c r="J1282" s="589" t="s">
        <v>35</v>
      </c>
      <c r="K1282" s="591">
        <v>6463.7839999999997</v>
      </c>
      <c r="L1282" s="592">
        <f>IF(J1282="TND",1,IF(J1282="EUR",Vertical_Cash_flow!$C$16,IF(J1282="USD",Vertical_Cash_flow!$F$16,0)))</f>
        <v>1</v>
      </c>
      <c r="M1282" s="593">
        <f t="shared" si="80"/>
        <v>6463.7839999999997</v>
      </c>
      <c r="N1282" s="589" t="s">
        <v>251</v>
      </c>
      <c r="O1282" s="594">
        <v>45426</v>
      </c>
      <c r="P1282" s="593">
        <f t="shared" si="81"/>
        <v>-109</v>
      </c>
      <c r="Q1282" s="594">
        <v>45535</v>
      </c>
      <c r="R1282" s="593">
        <f t="shared" ca="1" si="82"/>
        <v>-94</v>
      </c>
      <c r="S1282" s="589" t="str">
        <f>VLOOKUP(Q1282,Mapping!L:M,2,0)</f>
        <v>W36_2024</v>
      </c>
      <c r="T1282" s="589" t="str">
        <f t="shared" ca="1" si="83"/>
        <v>Not Due</v>
      </c>
      <c r="W1282" s="591"/>
    </row>
    <row r="1283" spans="1:23" s="589" customFormat="1" x14ac:dyDescent="0.2">
      <c r="A1283" s="589" t="s">
        <v>56</v>
      </c>
      <c r="B1283" s="589" t="s">
        <v>288</v>
      </c>
      <c r="C1283" s="590" t="s">
        <v>3042</v>
      </c>
      <c r="D1283" s="589" t="s">
        <v>100</v>
      </c>
      <c r="E1283" s="589" t="s">
        <v>104</v>
      </c>
      <c r="F1283" s="589" t="s">
        <v>112</v>
      </c>
      <c r="G1283" s="589" t="s">
        <v>51</v>
      </c>
      <c r="H1283" s="589" t="s">
        <v>242</v>
      </c>
      <c r="I1283" s="589" t="s">
        <v>3240</v>
      </c>
      <c r="J1283" s="589" t="s">
        <v>35</v>
      </c>
      <c r="K1283" s="591">
        <v>720</v>
      </c>
      <c r="L1283" s="592">
        <f>IF(J1283="TND",1,IF(J1283="EUR",Vertical_Cash_flow!$C$16,IF(J1283="USD",Vertical_Cash_flow!$F$16,0)))</f>
        <v>1</v>
      </c>
      <c r="M1283" s="593">
        <f t="shared" si="80"/>
        <v>720</v>
      </c>
      <c r="N1283" s="589" t="s">
        <v>251</v>
      </c>
      <c r="O1283" s="594">
        <v>45414</v>
      </c>
      <c r="P1283" s="593">
        <f t="shared" si="81"/>
        <v>-121</v>
      </c>
      <c r="Q1283" s="594">
        <v>45535</v>
      </c>
      <c r="R1283" s="593">
        <f t="shared" ca="1" si="82"/>
        <v>-94</v>
      </c>
      <c r="S1283" s="589" t="str">
        <f>VLOOKUP(Q1283,Mapping!L:M,2,0)</f>
        <v>W36_2024</v>
      </c>
      <c r="T1283" s="589" t="str">
        <f t="shared" ca="1" si="83"/>
        <v>Not Due</v>
      </c>
      <c r="W1283" s="591"/>
    </row>
    <row r="1284" spans="1:23" s="589" customFormat="1" x14ac:dyDescent="0.2">
      <c r="A1284" s="589" t="s">
        <v>56</v>
      </c>
      <c r="B1284" s="589" t="s">
        <v>481</v>
      </c>
      <c r="C1284" s="590" t="s">
        <v>3043</v>
      </c>
      <c r="D1284" s="589" t="s">
        <v>100</v>
      </c>
      <c r="E1284" s="589" t="s">
        <v>104</v>
      </c>
      <c r="F1284" s="589" t="s">
        <v>112</v>
      </c>
      <c r="G1284" s="589" t="s">
        <v>51</v>
      </c>
      <c r="H1284" s="589" t="s">
        <v>242</v>
      </c>
      <c r="I1284" s="589" t="s">
        <v>3241</v>
      </c>
      <c r="J1284" s="589" t="s">
        <v>35</v>
      </c>
      <c r="K1284" s="591">
        <v>5570</v>
      </c>
      <c r="L1284" s="592">
        <f>IF(J1284="TND",1,IF(J1284="EUR",Vertical_Cash_flow!$C$16,IF(J1284="USD",Vertical_Cash_flow!$F$16,0)))</f>
        <v>1</v>
      </c>
      <c r="M1284" s="593">
        <f t="shared" si="80"/>
        <v>5570</v>
      </c>
      <c r="N1284" s="589" t="s">
        <v>251</v>
      </c>
      <c r="O1284" s="594">
        <v>45412</v>
      </c>
      <c r="P1284" s="593">
        <f t="shared" si="81"/>
        <v>-123</v>
      </c>
      <c r="Q1284" s="594">
        <v>45535</v>
      </c>
      <c r="R1284" s="593">
        <f t="shared" ca="1" si="82"/>
        <v>-94</v>
      </c>
      <c r="S1284" s="589" t="str">
        <f>VLOOKUP(Q1284,Mapping!L:M,2,0)</f>
        <v>W36_2024</v>
      </c>
      <c r="T1284" s="589" t="str">
        <f t="shared" ca="1" si="83"/>
        <v>Not Due</v>
      </c>
      <c r="W1284" s="591"/>
    </row>
    <row r="1285" spans="1:23" s="589" customFormat="1" x14ac:dyDescent="0.2">
      <c r="A1285" s="589" t="s">
        <v>56</v>
      </c>
      <c r="B1285" s="589" t="s">
        <v>481</v>
      </c>
      <c r="C1285" s="590" t="s">
        <v>3041</v>
      </c>
      <c r="D1285" s="589" t="s">
        <v>100</v>
      </c>
      <c r="E1285" s="589" t="s">
        <v>104</v>
      </c>
      <c r="F1285" s="589" t="s">
        <v>112</v>
      </c>
      <c r="G1285" s="589" t="s">
        <v>51</v>
      </c>
      <c r="H1285" s="589" t="s">
        <v>242</v>
      </c>
      <c r="I1285" s="589" t="s">
        <v>3239</v>
      </c>
      <c r="J1285" s="589" t="s">
        <v>35</v>
      </c>
      <c r="K1285" s="591">
        <v>5625.7910000000002</v>
      </c>
      <c r="L1285" s="592">
        <f>IF(J1285="TND",1,IF(J1285="EUR",Vertical_Cash_flow!$C$16,IF(J1285="USD",Vertical_Cash_flow!$F$16,0)))</f>
        <v>1</v>
      </c>
      <c r="M1285" s="593">
        <f t="shared" si="80"/>
        <v>5625.7910000000002</v>
      </c>
      <c r="N1285" s="589" t="s">
        <v>251</v>
      </c>
      <c r="O1285" s="594">
        <v>45412</v>
      </c>
      <c r="P1285" s="593">
        <f t="shared" si="81"/>
        <v>-123</v>
      </c>
      <c r="Q1285" s="594">
        <v>45535</v>
      </c>
      <c r="R1285" s="593">
        <f t="shared" ca="1" si="82"/>
        <v>-94</v>
      </c>
      <c r="S1285" s="589" t="str">
        <f>VLOOKUP(Q1285,Mapping!L:M,2,0)</f>
        <v>W36_2024</v>
      </c>
      <c r="T1285" s="589" t="str">
        <f t="shared" ca="1" si="83"/>
        <v>Not Due</v>
      </c>
      <c r="W1285" s="591"/>
    </row>
    <row r="1286" spans="1:23" s="589" customFormat="1" x14ac:dyDescent="0.2">
      <c r="A1286" s="589" t="s">
        <v>56</v>
      </c>
      <c r="B1286" s="589" t="s">
        <v>345</v>
      </c>
      <c r="C1286" s="590" t="s">
        <v>2340</v>
      </c>
      <c r="D1286" s="589" t="s">
        <v>100</v>
      </c>
      <c r="E1286" s="589" t="s">
        <v>104</v>
      </c>
      <c r="F1286" s="589" t="s">
        <v>112</v>
      </c>
      <c r="G1286" s="589" t="s">
        <v>51</v>
      </c>
      <c r="H1286" s="589" t="s">
        <v>242</v>
      </c>
      <c r="I1286" s="589" t="s">
        <v>2674</v>
      </c>
      <c r="J1286" s="589" t="s">
        <v>35</v>
      </c>
      <c r="K1286" s="591">
        <v>7000</v>
      </c>
      <c r="L1286" s="592">
        <f>IF(J1286="TND",1,IF(J1286="EUR",Vertical_Cash_flow!$C$16,IF(J1286="USD",Vertical_Cash_flow!$F$16,0)))</f>
        <v>1</v>
      </c>
      <c r="M1286" s="593">
        <f t="shared" si="80"/>
        <v>7000</v>
      </c>
      <c r="N1286" s="589" t="s">
        <v>251</v>
      </c>
      <c r="O1286" s="594">
        <v>45408</v>
      </c>
      <c r="P1286" s="593">
        <f t="shared" si="81"/>
        <v>-127</v>
      </c>
      <c r="Q1286" s="594">
        <v>45535</v>
      </c>
      <c r="R1286" s="593">
        <f t="shared" ca="1" si="82"/>
        <v>-94</v>
      </c>
      <c r="S1286" s="589" t="str">
        <f>VLOOKUP(Q1286,Mapping!L:M,2,0)</f>
        <v>W36_2024</v>
      </c>
      <c r="T1286" s="589" t="str">
        <f t="shared" ca="1" si="83"/>
        <v>Not Due</v>
      </c>
      <c r="W1286" s="591"/>
    </row>
    <row r="1287" spans="1:23" s="589" customFormat="1" x14ac:dyDescent="0.2">
      <c r="A1287" s="589" t="s">
        <v>56</v>
      </c>
      <c r="B1287" s="589" t="s">
        <v>534</v>
      </c>
      <c r="C1287" s="590" t="s">
        <v>1053</v>
      </c>
      <c r="D1287" s="589" t="s">
        <v>100</v>
      </c>
      <c r="E1287" s="589" t="s">
        <v>104</v>
      </c>
      <c r="F1287" s="589" t="s">
        <v>112</v>
      </c>
      <c r="G1287" s="589" t="s">
        <v>51</v>
      </c>
      <c r="H1287" s="589" t="s">
        <v>242</v>
      </c>
      <c r="I1287" s="589" t="s">
        <v>1129</v>
      </c>
      <c r="J1287" s="589" t="s">
        <v>35</v>
      </c>
      <c r="K1287" s="591">
        <v>37920.976999999999</v>
      </c>
      <c r="L1287" s="592">
        <f>IF(J1287="TND",1,IF(J1287="EUR",Vertical_Cash_flow!$C$16,IF(J1287="USD",Vertical_Cash_flow!$F$16,0)))</f>
        <v>1</v>
      </c>
      <c r="M1287" s="593">
        <f t="shared" si="80"/>
        <v>37920.976999999999</v>
      </c>
      <c r="N1287" s="589" t="s">
        <v>251</v>
      </c>
      <c r="O1287" s="594">
        <v>45322</v>
      </c>
      <c r="P1287" s="593">
        <f t="shared" si="81"/>
        <v>-213</v>
      </c>
      <c r="Q1287" s="594">
        <v>45535</v>
      </c>
      <c r="R1287" s="593">
        <f t="shared" ca="1" si="82"/>
        <v>-94</v>
      </c>
      <c r="S1287" s="589" t="str">
        <f>VLOOKUP(Q1287,Mapping!L:M,2,0)</f>
        <v>W36_2024</v>
      </c>
      <c r="T1287" s="589" t="str">
        <f t="shared" ca="1" si="83"/>
        <v>Not Due</v>
      </c>
      <c r="W1287" s="591"/>
    </row>
    <row r="1288" spans="1:23" s="589" customFormat="1" x14ac:dyDescent="0.2">
      <c r="A1288" s="589" t="s">
        <v>56</v>
      </c>
      <c r="B1288" s="589" t="s">
        <v>278</v>
      </c>
      <c r="C1288" s="590" t="s">
        <v>1504</v>
      </c>
      <c r="D1288" s="589" t="s">
        <v>100</v>
      </c>
      <c r="E1288" s="589" t="s">
        <v>104</v>
      </c>
      <c r="F1288" s="589" t="s">
        <v>112</v>
      </c>
      <c r="G1288" s="589" t="s">
        <v>51</v>
      </c>
      <c r="H1288" s="589" t="s">
        <v>242</v>
      </c>
      <c r="I1288" s="589" t="s">
        <v>1919</v>
      </c>
      <c r="J1288" s="589" t="s">
        <v>35</v>
      </c>
      <c r="K1288" s="591">
        <v>3496.748</v>
      </c>
      <c r="L1288" s="592">
        <f>IF(J1288="TND",1,IF(J1288="EUR",Vertical_Cash_flow!$C$16,IF(J1288="USD",Vertical_Cash_flow!$F$16,0)))</f>
        <v>1</v>
      </c>
      <c r="M1288" s="593">
        <f t="shared" si="80"/>
        <v>3496.748</v>
      </c>
      <c r="N1288" s="589" t="s">
        <v>251</v>
      </c>
      <c r="O1288" s="594">
        <v>45373</v>
      </c>
      <c r="P1288" s="593">
        <f t="shared" si="81"/>
        <v>-162</v>
      </c>
      <c r="Q1288" s="594">
        <v>45535</v>
      </c>
      <c r="R1288" s="593">
        <f t="shared" ca="1" si="82"/>
        <v>-94</v>
      </c>
      <c r="S1288" s="589" t="str">
        <f>VLOOKUP(Q1288,Mapping!L:M,2,0)</f>
        <v>W36_2024</v>
      </c>
      <c r="T1288" s="589" t="str">
        <f t="shared" ca="1" si="83"/>
        <v>Not Due</v>
      </c>
      <c r="W1288" s="591"/>
    </row>
    <row r="1289" spans="1:23" s="589" customFormat="1" x14ac:dyDescent="0.2">
      <c r="A1289" s="589" t="s">
        <v>56</v>
      </c>
      <c r="B1289" s="589" t="s">
        <v>1244</v>
      </c>
      <c r="C1289" s="590" t="s">
        <v>3434</v>
      </c>
      <c r="D1289" s="589" t="s">
        <v>100</v>
      </c>
      <c r="E1289" s="589" t="s">
        <v>104</v>
      </c>
      <c r="F1289" s="589" t="s">
        <v>112</v>
      </c>
      <c r="G1289" s="589" t="s">
        <v>51</v>
      </c>
      <c r="H1289" s="589" t="s">
        <v>242</v>
      </c>
      <c r="I1289" s="589" t="s">
        <v>3598</v>
      </c>
      <c r="J1289" s="589" t="s">
        <v>35</v>
      </c>
      <c r="K1289" s="591">
        <v>761.73</v>
      </c>
      <c r="L1289" s="592">
        <f>IF(J1289="TND",1,IF(J1289="EUR",Vertical_Cash_flow!$C$16,IF(J1289="USD",Vertical_Cash_flow!$F$16,0)))</f>
        <v>1</v>
      </c>
      <c r="M1289" s="593">
        <f t="shared" si="80"/>
        <v>761.73</v>
      </c>
      <c r="N1289" s="589" t="s">
        <v>251</v>
      </c>
      <c r="O1289" s="594">
        <v>45423</v>
      </c>
      <c r="P1289" s="593">
        <f t="shared" si="81"/>
        <v>-112</v>
      </c>
      <c r="Q1289" s="594">
        <v>45535</v>
      </c>
      <c r="R1289" s="593">
        <f t="shared" ca="1" si="82"/>
        <v>-94</v>
      </c>
      <c r="S1289" s="589" t="str">
        <f>VLOOKUP(Q1289,Mapping!L:M,2,0)</f>
        <v>W36_2024</v>
      </c>
      <c r="T1289" s="589" t="str">
        <f t="shared" ca="1" si="83"/>
        <v>Not Due</v>
      </c>
      <c r="W1289" s="591"/>
    </row>
    <row r="1290" spans="1:23" s="589" customFormat="1" x14ac:dyDescent="0.2">
      <c r="A1290" s="589" t="s">
        <v>56</v>
      </c>
      <c r="B1290" s="589" t="s">
        <v>387</v>
      </c>
      <c r="C1290" s="590" t="s">
        <v>1503</v>
      </c>
      <c r="D1290" s="589" t="s">
        <v>100</v>
      </c>
      <c r="E1290" s="589" t="s">
        <v>104</v>
      </c>
      <c r="F1290" s="589" t="s">
        <v>112</v>
      </c>
      <c r="G1290" s="589" t="s">
        <v>51</v>
      </c>
      <c r="H1290" s="589" t="s">
        <v>242</v>
      </c>
      <c r="I1290" s="589" t="s">
        <v>999</v>
      </c>
      <c r="J1290" s="589" t="s">
        <v>35</v>
      </c>
      <c r="K1290" s="591">
        <v>1301.9749999999999</v>
      </c>
      <c r="L1290" s="592">
        <f>IF(J1290="TND",1,IF(J1290="EUR",Vertical_Cash_flow!$C$16,IF(J1290="USD",Vertical_Cash_flow!$F$16,0)))</f>
        <v>1</v>
      </c>
      <c r="M1290" s="593">
        <f t="shared" si="80"/>
        <v>1301.9749999999999</v>
      </c>
      <c r="N1290" s="589" t="s">
        <v>251</v>
      </c>
      <c r="O1290" s="594">
        <v>45378</v>
      </c>
      <c r="P1290" s="593">
        <f t="shared" si="81"/>
        <v>-157</v>
      </c>
      <c r="Q1290" s="594">
        <v>45535</v>
      </c>
      <c r="R1290" s="593">
        <f t="shared" ca="1" si="82"/>
        <v>-94</v>
      </c>
      <c r="S1290" s="589" t="str">
        <f>VLOOKUP(Q1290,Mapping!L:M,2,0)</f>
        <v>W36_2024</v>
      </c>
      <c r="T1290" s="589" t="str">
        <f t="shared" ca="1" si="83"/>
        <v>Not Due</v>
      </c>
      <c r="W1290" s="591"/>
    </row>
    <row r="1291" spans="1:23" s="589" customFormat="1" x14ac:dyDescent="0.2">
      <c r="A1291" s="589" t="s">
        <v>56</v>
      </c>
      <c r="B1291" s="589" t="s">
        <v>372</v>
      </c>
      <c r="C1291" s="590" t="s">
        <v>3433</v>
      </c>
      <c r="D1291" s="589" t="s">
        <v>100</v>
      </c>
      <c r="E1291" s="589" t="s">
        <v>104</v>
      </c>
      <c r="F1291" s="589" t="s">
        <v>112</v>
      </c>
      <c r="G1291" s="589" t="s">
        <v>51</v>
      </c>
      <c r="H1291" s="589" t="s">
        <v>242</v>
      </c>
      <c r="I1291" s="589" t="s">
        <v>3597</v>
      </c>
      <c r="J1291" s="589" t="s">
        <v>35</v>
      </c>
      <c r="K1291" s="591">
        <v>1547.105</v>
      </c>
      <c r="L1291" s="592">
        <f>IF(J1291="TND",1,IF(J1291="EUR",Vertical_Cash_flow!$C$16,IF(J1291="USD",Vertical_Cash_flow!$F$16,0)))</f>
        <v>1</v>
      </c>
      <c r="M1291" s="593">
        <f t="shared" si="80"/>
        <v>1547.105</v>
      </c>
      <c r="N1291" s="589" t="s">
        <v>251</v>
      </c>
      <c r="O1291" s="594">
        <v>45426</v>
      </c>
      <c r="P1291" s="593">
        <f t="shared" si="81"/>
        <v>-109</v>
      </c>
      <c r="Q1291" s="594">
        <v>45535</v>
      </c>
      <c r="R1291" s="593">
        <f t="shared" ca="1" si="82"/>
        <v>-94</v>
      </c>
      <c r="S1291" s="589" t="str">
        <f>VLOOKUP(Q1291,Mapping!L:M,2,0)</f>
        <v>W36_2024</v>
      </c>
      <c r="T1291" s="589" t="str">
        <f t="shared" ca="1" si="83"/>
        <v>Not Due</v>
      </c>
      <c r="W1291" s="591"/>
    </row>
    <row r="1292" spans="1:23" s="589" customFormat="1" x14ac:dyDescent="0.2">
      <c r="A1292" s="589" t="s">
        <v>56</v>
      </c>
      <c r="B1292" s="589" t="s">
        <v>371</v>
      </c>
      <c r="C1292" s="590" t="s">
        <v>3432</v>
      </c>
      <c r="D1292" s="589" t="s">
        <v>100</v>
      </c>
      <c r="E1292" s="589" t="s">
        <v>104</v>
      </c>
      <c r="F1292" s="589" t="s">
        <v>112</v>
      </c>
      <c r="G1292" s="589" t="s">
        <v>51</v>
      </c>
      <c r="H1292" s="589" t="s">
        <v>242</v>
      </c>
      <c r="I1292" s="589" t="s">
        <v>3596</v>
      </c>
      <c r="J1292" s="589" t="s">
        <v>35</v>
      </c>
      <c r="K1292" s="591">
        <v>560.04200000000003</v>
      </c>
      <c r="L1292" s="592">
        <f>IF(J1292="TND",1,IF(J1292="EUR",Vertical_Cash_flow!$C$16,IF(J1292="USD",Vertical_Cash_flow!$F$16,0)))</f>
        <v>1</v>
      </c>
      <c r="M1292" s="593">
        <f t="shared" si="80"/>
        <v>560.04200000000003</v>
      </c>
      <c r="N1292" s="589" t="s">
        <v>251</v>
      </c>
      <c r="O1292" s="594">
        <v>45422</v>
      </c>
      <c r="P1292" s="593">
        <f t="shared" si="81"/>
        <v>-113</v>
      </c>
      <c r="Q1292" s="594">
        <v>45535</v>
      </c>
      <c r="R1292" s="593">
        <f t="shared" ca="1" si="82"/>
        <v>-94</v>
      </c>
      <c r="S1292" s="589" t="str">
        <f>VLOOKUP(Q1292,Mapping!L:M,2,0)</f>
        <v>W36_2024</v>
      </c>
      <c r="T1292" s="589" t="str">
        <f t="shared" ca="1" si="83"/>
        <v>Not Due</v>
      </c>
      <c r="W1292" s="591"/>
    </row>
    <row r="1293" spans="1:23" s="589" customFormat="1" x14ac:dyDescent="0.2">
      <c r="A1293" s="589" t="s">
        <v>56</v>
      </c>
      <c r="B1293" s="589" t="s">
        <v>1243</v>
      </c>
      <c r="C1293" s="590" t="s">
        <v>3431</v>
      </c>
      <c r="D1293" s="589" t="s">
        <v>100</v>
      </c>
      <c r="E1293" s="589" t="s">
        <v>104</v>
      </c>
      <c r="F1293" s="589" t="s">
        <v>112</v>
      </c>
      <c r="G1293" s="589" t="s">
        <v>51</v>
      </c>
      <c r="H1293" s="589" t="s">
        <v>242</v>
      </c>
      <c r="I1293" s="589" t="s">
        <v>3595</v>
      </c>
      <c r="J1293" s="589" t="s">
        <v>35</v>
      </c>
      <c r="K1293" s="591">
        <v>3990.3519999999999</v>
      </c>
      <c r="L1293" s="592">
        <f>IF(J1293="TND",1,IF(J1293="EUR",Vertical_Cash_flow!$C$16,IF(J1293="USD",Vertical_Cash_flow!$F$16,0)))</f>
        <v>1</v>
      </c>
      <c r="M1293" s="593">
        <f t="shared" si="80"/>
        <v>3990.3519999999999</v>
      </c>
      <c r="N1293" s="589" t="s">
        <v>251</v>
      </c>
      <c r="O1293" s="594">
        <v>45422</v>
      </c>
      <c r="P1293" s="593">
        <f t="shared" si="81"/>
        <v>-113</v>
      </c>
      <c r="Q1293" s="594">
        <v>45535</v>
      </c>
      <c r="R1293" s="593">
        <f t="shared" ca="1" si="82"/>
        <v>-94</v>
      </c>
      <c r="S1293" s="589" t="str">
        <f>VLOOKUP(Q1293,Mapping!L:M,2,0)</f>
        <v>W36_2024</v>
      </c>
      <c r="T1293" s="589" t="str">
        <f t="shared" ca="1" si="83"/>
        <v>Not Due</v>
      </c>
      <c r="W1293" s="591"/>
    </row>
    <row r="1294" spans="1:23" s="589" customFormat="1" x14ac:dyDescent="0.2">
      <c r="A1294" s="589" t="s">
        <v>56</v>
      </c>
      <c r="B1294" s="589" t="s">
        <v>336</v>
      </c>
      <c r="C1294" s="590" t="s">
        <v>3430</v>
      </c>
      <c r="D1294" s="589" t="s">
        <v>100</v>
      </c>
      <c r="E1294" s="589" t="s">
        <v>104</v>
      </c>
      <c r="F1294" s="589" t="s">
        <v>112</v>
      </c>
      <c r="G1294" s="589" t="s">
        <v>51</v>
      </c>
      <c r="H1294" s="589" t="s">
        <v>242</v>
      </c>
      <c r="I1294" s="589" t="s">
        <v>3594</v>
      </c>
      <c r="J1294" s="589" t="s">
        <v>35</v>
      </c>
      <c r="K1294" s="591">
        <v>5006.5010000000002</v>
      </c>
      <c r="L1294" s="592">
        <f>IF(J1294="TND",1,IF(J1294="EUR",Vertical_Cash_flow!$C$16,IF(J1294="USD",Vertical_Cash_flow!$F$16,0)))</f>
        <v>1</v>
      </c>
      <c r="M1294" s="593">
        <f t="shared" si="80"/>
        <v>5006.5010000000002</v>
      </c>
      <c r="N1294" s="589" t="s">
        <v>251</v>
      </c>
      <c r="O1294" s="594">
        <v>45423</v>
      </c>
      <c r="P1294" s="593">
        <f t="shared" si="81"/>
        <v>-112</v>
      </c>
      <c r="Q1294" s="594">
        <v>45535</v>
      </c>
      <c r="R1294" s="593">
        <f t="shared" ca="1" si="82"/>
        <v>-94</v>
      </c>
      <c r="S1294" s="589" t="str">
        <f>VLOOKUP(Q1294,Mapping!L:M,2,0)</f>
        <v>W36_2024</v>
      </c>
      <c r="T1294" s="589" t="str">
        <f t="shared" ca="1" si="83"/>
        <v>Not Due</v>
      </c>
      <c r="W1294" s="591"/>
    </row>
    <row r="1295" spans="1:23" s="589" customFormat="1" x14ac:dyDescent="0.2">
      <c r="A1295" s="589" t="s">
        <v>56</v>
      </c>
      <c r="B1295" s="589" t="s">
        <v>2334</v>
      </c>
      <c r="C1295" s="590" t="s">
        <v>3039</v>
      </c>
      <c r="D1295" s="589" t="s">
        <v>100</v>
      </c>
      <c r="E1295" s="589" t="s">
        <v>104</v>
      </c>
      <c r="F1295" s="589" t="s">
        <v>112</v>
      </c>
      <c r="G1295" s="589" t="s">
        <v>51</v>
      </c>
      <c r="H1295" s="589" t="s">
        <v>242</v>
      </c>
      <c r="I1295" s="589" t="s">
        <v>3237</v>
      </c>
      <c r="J1295" s="589" t="s">
        <v>35</v>
      </c>
      <c r="K1295" s="591">
        <v>5214.0119999999997</v>
      </c>
      <c r="L1295" s="592">
        <f>IF(J1295="TND",1,IF(J1295="EUR",Vertical_Cash_flow!$C$16,IF(J1295="USD",Vertical_Cash_flow!$F$16,0)))</f>
        <v>1</v>
      </c>
      <c r="M1295" s="593">
        <f t="shared" si="80"/>
        <v>5214.0119999999997</v>
      </c>
      <c r="N1295" s="589" t="s">
        <v>251</v>
      </c>
      <c r="O1295" s="594">
        <v>45412</v>
      </c>
      <c r="P1295" s="593">
        <f t="shared" si="81"/>
        <v>-123</v>
      </c>
      <c r="Q1295" s="594">
        <v>45535</v>
      </c>
      <c r="R1295" s="593">
        <f t="shared" ca="1" si="82"/>
        <v>-94</v>
      </c>
      <c r="S1295" s="589" t="str">
        <f>VLOOKUP(Q1295,Mapping!L:M,2,0)</f>
        <v>W36_2024</v>
      </c>
      <c r="T1295" s="589" t="str">
        <f t="shared" ca="1" si="83"/>
        <v>Not Due</v>
      </c>
      <c r="W1295" s="591"/>
    </row>
    <row r="1296" spans="1:23" s="589" customFormat="1" x14ac:dyDescent="0.2">
      <c r="A1296" s="589" t="s">
        <v>56</v>
      </c>
      <c r="B1296" s="589" t="s">
        <v>334</v>
      </c>
      <c r="C1296" s="590" t="s">
        <v>3040</v>
      </c>
      <c r="D1296" s="589" t="s">
        <v>100</v>
      </c>
      <c r="E1296" s="589" t="s">
        <v>104</v>
      </c>
      <c r="F1296" s="589" t="s">
        <v>112</v>
      </c>
      <c r="G1296" s="589" t="s">
        <v>51</v>
      </c>
      <c r="H1296" s="589" t="s">
        <v>242</v>
      </c>
      <c r="I1296" s="589" t="s">
        <v>3238</v>
      </c>
      <c r="J1296" s="589" t="s">
        <v>35</v>
      </c>
      <c r="K1296" s="591">
        <v>821.404</v>
      </c>
      <c r="L1296" s="592">
        <f>IF(J1296="TND",1,IF(J1296="EUR",Vertical_Cash_flow!$C$16,IF(J1296="USD",Vertical_Cash_flow!$F$16,0)))</f>
        <v>1</v>
      </c>
      <c r="M1296" s="593">
        <f t="shared" si="80"/>
        <v>821.404</v>
      </c>
      <c r="N1296" s="589" t="s">
        <v>251</v>
      </c>
      <c r="O1296" s="594">
        <v>45420</v>
      </c>
      <c r="P1296" s="593">
        <f t="shared" si="81"/>
        <v>-115</v>
      </c>
      <c r="Q1296" s="594">
        <v>45535</v>
      </c>
      <c r="R1296" s="593">
        <f t="shared" ca="1" si="82"/>
        <v>-94</v>
      </c>
      <c r="S1296" s="589" t="str">
        <f>VLOOKUP(Q1296,Mapping!L:M,2,0)</f>
        <v>W36_2024</v>
      </c>
      <c r="T1296" s="589" t="str">
        <f t="shared" ca="1" si="83"/>
        <v>Not Due</v>
      </c>
      <c r="W1296" s="591"/>
    </row>
    <row r="1297" spans="1:23" s="589" customFormat="1" x14ac:dyDescent="0.2">
      <c r="A1297" s="589" t="s">
        <v>56</v>
      </c>
      <c r="B1297" s="589" t="s">
        <v>279</v>
      </c>
      <c r="C1297" s="590" t="s">
        <v>2339</v>
      </c>
      <c r="D1297" s="589" t="s">
        <v>100</v>
      </c>
      <c r="E1297" s="589" t="s">
        <v>104</v>
      </c>
      <c r="F1297" s="589" t="s">
        <v>112</v>
      </c>
      <c r="G1297" s="589" t="s">
        <v>51</v>
      </c>
      <c r="H1297" s="589" t="s">
        <v>242</v>
      </c>
      <c r="I1297" s="589" t="s">
        <v>2673</v>
      </c>
      <c r="J1297" s="589" t="s">
        <v>35</v>
      </c>
      <c r="K1297" s="591">
        <v>3300</v>
      </c>
      <c r="L1297" s="592">
        <f>IF(J1297="TND",1,IF(J1297="EUR",Vertical_Cash_flow!$C$16,IF(J1297="USD",Vertical_Cash_flow!$F$16,0)))</f>
        <v>1</v>
      </c>
      <c r="M1297" s="593">
        <f t="shared" si="80"/>
        <v>3300</v>
      </c>
      <c r="N1297" s="589" t="s">
        <v>251</v>
      </c>
      <c r="O1297" s="594">
        <v>45406</v>
      </c>
      <c r="P1297" s="593">
        <f t="shared" si="81"/>
        <v>-130</v>
      </c>
      <c r="Q1297" s="594">
        <v>45536</v>
      </c>
      <c r="R1297" s="593">
        <f t="shared" ca="1" si="82"/>
        <v>-95</v>
      </c>
      <c r="S1297" s="589" t="str">
        <f>VLOOKUP(Q1297,Mapping!L:M,2,0)</f>
        <v>W36_2024</v>
      </c>
      <c r="T1297" s="589" t="str">
        <f t="shared" ca="1" si="83"/>
        <v>Not Due</v>
      </c>
      <c r="W1297" s="591"/>
    </row>
    <row r="1298" spans="1:23" s="589" customFormat="1" x14ac:dyDescent="0.2">
      <c r="A1298" s="589" t="s">
        <v>56</v>
      </c>
      <c r="B1298" s="589" t="s">
        <v>500</v>
      </c>
      <c r="C1298" s="590" t="s">
        <v>3038</v>
      </c>
      <c r="D1298" s="589" t="s">
        <v>100</v>
      </c>
      <c r="E1298" s="589" t="s">
        <v>104</v>
      </c>
      <c r="F1298" s="589" t="s">
        <v>112</v>
      </c>
      <c r="G1298" s="589" t="s">
        <v>51</v>
      </c>
      <c r="H1298" s="589" t="s">
        <v>242</v>
      </c>
      <c r="I1298" s="589" t="s">
        <v>3236</v>
      </c>
      <c r="J1298" s="589" t="s">
        <v>35</v>
      </c>
      <c r="K1298" s="591">
        <v>2000</v>
      </c>
      <c r="L1298" s="592">
        <f>IF(J1298="TND",1,IF(J1298="EUR",Vertical_Cash_flow!$C$16,IF(J1298="USD",Vertical_Cash_flow!$F$16,0)))</f>
        <v>1</v>
      </c>
      <c r="M1298" s="593">
        <f t="shared" si="80"/>
        <v>2000</v>
      </c>
      <c r="N1298" s="589" t="s">
        <v>251</v>
      </c>
      <c r="O1298" s="594">
        <v>45419</v>
      </c>
      <c r="P1298" s="593">
        <f t="shared" si="81"/>
        <v>-118</v>
      </c>
      <c r="Q1298" s="594">
        <v>45537</v>
      </c>
      <c r="R1298" s="593">
        <f t="shared" ca="1" si="82"/>
        <v>-96</v>
      </c>
      <c r="S1298" s="589" t="str">
        <f>VLOOKUP(Q1298,Mapping!L:M,2,0)</f>
        <v>W36_2024</v>
      </c>
      <c r="T1298" s="589" t="str">
        <f t="shared" ca="1" si="83"/>
        <v>Not Due</v>
      </c>
      <c r="W1298" s="591"/>
    </row>
    <row r="1299" spans="1:23" s="589" customFormat="1" x14ac:dyDescent="0.2">
      <c r="A1299" s="589" t="s">
        <v>56</v>
      </c>
      <c r="B1299" s="589" t="s">
        <v>285</v>
      </c>
      <c r="C1299" s="590" t="s">
        <v>3429</v>
      </c>
      <c r="D1299" s="589" t="s">
        <v>100</v>
      </c>
      <c r="E1299" s="589" t="s">
        <v>104</v>
      </c>
      <c r="F1299" s="589" t="s">
        <v>112</v>
      </c>
      <c r="G1299" s="589" t="s">
        <v>51</v>
      </c>
      <c r="H1299" s="589" t="s">
        <v>242</v>
      </c>
      <c r="I1299" s="589" t="s">
        <v>3593</v>
      </c>
      <c r="J1299" s="589" t="s">
        <v>35</v>
      </c>
      <c r="K1299" s="591">
        <v>781.05700000000002</v>
      </c>
      <c r="L1299" s="592">
        <f>IF(J1299="TND",1,IF(J1299="EUR",Vertical_Cash_flow!$C$16,IF(J1299="USD",Vertical_Cash_flow!$F$16,0)))</f>
        <v>1</v>
      </c>
      <c r="M1299" s="593">
        <f t="shared" si="80"/>
        <v>781.05700000000002</v>
      </c>
      <c r="N1299" s="589" t="s">
        <v>251</v>
      </c>
      <c r="O1299" s="594">
        <v>45422</v>
      </c>
      <c r="P1299" s="593">
        <f t="shared" si="81"/>
        <v>-117</v>
      </c>
      <c r="Q1299" s="594">
        <v>45539</v>
      </c>
      <c r="R1299" s="593">
        <f t="shared" ca="1" si="82"/>
        <v>-98</v>
      </c>
      <c r="S1299" s="589" t="str">
        <f>VLOOKUP(Q1299,Mapping!L:M,2,0)</f>
        <v>W36_2024</v>
      </c>
      <c r="T1299" s="589" t="str">
        <f t="shared" ca="1" si="83"/>
        <v>Not Due</v>
      </c>
      <c r="W1299" s="591"/>
    </row>
    <row r="1300" spans="1:23" s="589" customFormat="1" x14ac:dyDescent="0.2">
      <c r="A1300" s="589" t="s">
        <v>56</v>
      </c>
      <c r="B1300" s="589" t="s">
        <v>631</v>
      </c>
      <c r="C1300" s="590" t="s">
        <v>3036</v>
      </c>
      <c r="D1300" s="589" t="s">
        <v>100</v>
      </c>
      <c r="E1300" s="589" t="s">
        <v>104</v>
      </c>
      <c r="F1300" s="589" t="s">
        <v>112</v>
      </c>
      <c r="G1300" s="589" t="s">
        <v>51</v>
      </c>
      <c r="H1300" s="589" t="s">
        <v>242</v>
      </c>
      <c r="I1300" s="589" t="s">
        <v>3234</v>
      </c>
      <c r="J1300" s="589" t="s">
        <v>35</v>
      </c>
      <c r="K1300" s="591">
        <v>2959.9059999999999</v>
      </c>
      <c r="L1300" s="592">
        <f>IF(J1300="TND",1,IF(J1300="EUR",Vertical_Cash_flow!$C$16,IF(J1300="USD",Vertical_Cash_flow!$F$16,0)))</f>
        <v>1</v>
      </c>
      <c r="M1300" s="593">
        <f t="shared" si="80"/>
        <v>2959.9059999999999</v>
      </c>
      <c r="N1300" s="589" t="s">
        <v>251</v>
      </c>
      <c r="O1300" s="594">
        <v>45412</v>
      </c>
      <c r="P1300" s="593">
        <f t="shared" si="81"/>
        <v>-128</v>
      </c>
      <c r="Q1300" s="594">
        <v>45540</v>
      </c>
      <c r="R1300" s="593">
        <f t="shared" ca="1" si="82"/>
        <v>-99</v>
      </c>
      <c r="S1300" s="589" t="str">
        <f>VLOOKUP(Q1300,Mapping!L:M,2,0)</f>
        <v>W36_2024</v>
      </c>
      <c r="T1300" s="589" t="str">
        <f t="shared" ca="1" si="83"/>
        <v>Not Due</v>
      </c>
      <c r="W1300" s="591"/>
    </row>
    <row r="1301" spans="1:23" s="589" customFormat="1" x14ac:dyDescent="0.2">
      <c r="A1301" s="589" t="s">
        <v>56</v>
      </c>
      <c r="B1301" s="589" t="s">
        <v>2335</v>
      </c>
      <c r="C1301" s="590" t="s">
        <v>3037</v>
      </c>
      <c r="D1301" s="589" t="s">
        <v>100</v>
      </c>
      <c r="E1301" s="589" t="s">
        <v>104</v>
      </c>
      <c r="F1301" s="589" t="s">
        <v>112</v>
      </c>
      <c r="G1301" s="589" t="s">
        <v>51</v>
      </c>
      <c r="H1301" s="589" t="s">
        <v>242</v>
      </c>
      <c r="I1301" s="589" t="s">
        <v>3235</v>
      </c>
      <c r="J1301" s="589" t="s">
        <v>35</v>
      </c>
      <c r="K1301" s="591">
        <v>1854.4559999999999</v>
      </c>
      <c r="L1301" s="592">
        <f>IF(J1301="TND",1,IF(J1301="EUR",Vertical_Cash_flow!$C$16,IF(J1301="USD",Vertical_Cash_flow!$F$16,0)))</f>
        <v>1</v>
      </c>
      <c r="M1301" s="593">
        <f t="shared" ref="M1301:M1340" si="84">K1301/L1301</f>
        <v>1854.4559999999999</v>
      </c>
      <c r="N1301" s="589" t="s">
        <v>251</v>
      </c>
      <c r="O1301" s="594">
        <v>45419</v>
      </c>
      <c r="P1301" s="593">
        <f t="shared" ref="P1301:P1332" si="85">O1301-Q1301</f>
        <v>-121</v>
      </c>
      <c r="Q1301" s="594">
        <v>45540</v>
      </c>
      <c r="R1301" s="593">
        <f t="shared" ref="R1301:R1332" ca="1" si="86">$W$1-Q1301</f>
        <v>-99</v>
      </c>
      <c r="S1301" s="589" t="str">
        <f>VLOOKUP(Q1301,Mapping!L:M,2,0)</f>
        <v>W36_2024</v>
      </c>
      <c r="T1301" s="589" t="str">
        <f t="shared" ref="T1301:T1332" ca="1" si="87">IF(R1301="","",IF(R1301&lt;0,"Not Due",IF(AND(R1301&gt;=0,R1301&lt;=30),"up to 30 days",IF(AND(R1301&gt;30,R1301&lt;=60),"30-60 days",IF(AND(R1301&gt;60,R1301&lt;=90),"60-90 days",IF(AND(R1301&gt;90,R1301&lt;=120),"90-120 days",IF(AND(R1301&gt;120,R1301&lt;=180),"120-180 days",IF(AND(R1301&gt;180,R1301&lt;=360),"180-360 days",IF(R1301&gt;360,"more than 360 days","ok")))))))))</f>
        <v>Not Due</v>
      </c>
      <c r="W1301" s="591"/>
    </row>
    <row r="1302" spans="1:23" s="589" customFormat="1" x14ac:dyDescent="0.2">
      <c r="A1302" s="589" t="s">
        <v>56</v>
      </c>
      <c r="B1302" s="589" t="s">
        <v>365</v>
      </c>
      <c r="C1302" s="590" t="s">
        <v>3428</v>
      </c>
      <c r="D1302" s="589" t="s">
        <v>100</v>
      </c>
      <c r="E1302" s="589" t="s">
        <v>104</v>
      </c>
      <c r="F1302" s="589" t="s">
        <v>112</v>
      </c>
      <c r="G1302" s="589" t="s">
        <v>51</v>
      </c>
      <c r="H1302" s="589" t="s">
        <v>242</v>
      </c>
      <c r="I1302" s="589" t="s">
        <v>3592</v>
      </c>
      <c r="J1302" s="589" t="s">
        <v>35</v>
      </c>
      <c r="K1302" s="591">
        <v>2186.5540000000001</v>
      </c>
      <c r="L1302" s="592">
        <f>IF(J1302="TND",1,IF(J1302="EUR",Vertical_Cash_flow!$C$16,IF(J1302="USD",Vertical_Cash_flow!$F$16,0)))</f>
        <v>1</v>
      </c>
      <c r="M1302" s="593">
        <f t="shared" si="84"/>
        <v>2186.5540000000001</v>
      </c>
      <c r="N1302" s="589" t="s">
        <v>251</v>
      </c>
      <c r="O1302" s="594">
        <v>45427</v>
      </c>
      <c r="P1302" s="593">
        <f t="shared" si="85"/>
        <v>-113</v>
      </c>
      <c r="Q1302" s="594">
        <v>45540</v>
      </c>
      <c r="R1302" s="593">
        <f t="shared" ca="1" si="86"/>
        <v>-99</v>
      </c>
      <c r="S1302" s="589" t="str">
        <f>VLOOKUP(Q1302,Mapping!L:M,2,0)</f>
        <v>W36_2024</v>
      </c>
      <c r="T1302" s="589" t="str">
        <f t="shared" ca="1" si="87"/>
        <v>Not Due</v>
      </c>
      <c r="W1302" s="591"/>
    </row>
    <row r="1303" spans="1:23" s="589" customFormat="1" x14ac:dyDescent="0.2">
      <c r="A1303" s="589" t="s">
        <v>56</v>
      </c>
      <c r="B1303" s="589" t="s">
        <v>274</v>
      </c>
      <c r="C1303" s="590" t="s">
        <v>3035</v>
      </c>
      <c r="D1303" s="589" t="s">
        <v>100</v>
      </c>
      <c r="E1303" s="589" t="s">
        <v>104</v>
      </c>
      <c r="F1303" s="589" t="s">
        <v>112</v>
      </c>
      <c r="G1303" s="589" t="s">
        <v>51</v>
      </c>
      <c r="H1303" s="589" t="s">
        <v>242</v>
      </c>
      <c r="I1303" s="589" t="s">
        <v>3233</v>
      </c>
      <c r="J1303" s="589" t="s">
        <v>35</v>
      </c>
      <c r="K1303" s="591">
        <v>895</v>
      </c>
      <c r="L1303" s="592">
        <f>IF(J1303="TND",1,IF(J1303="EUR",Vertical_Cash_flow!$C$16,IF(J1303="USD",Vertical_Cash_flow!$F$16,0)))</f>
        <v>1</v>
      </c>
      <c r="M1303" s="593">
        <f t="shared" si="84"/>
        <v>895</v>
      </c>
      <c r="N1303" s="589" t="s">
        <v>251</v>
      </c>
      <c r="O1303" s="594">
        <v>45411</v>
      </c>
      <c r="P1303" s="593">
        <f t="shared" si="85"/>
        <v>-131</v>
      </c>
      <c r="Q1303" s="594">
        <v>45542</v>
      </c>
      <c r="R1303" s="593">
        <f t="shared" ca="1" si="86"/>
        <v>-101</v>
      </c>
      <c r="S1303" s="589" t="str">
        <f>VLOOKUP(Q1303,Mapping!L:M,2,0)</f>
        <v>W37_2024</v>
      </c>
      <c r="T1303" s="589" t="str">
        <f t="shared" ca="1" si="87"/>
        <v>Not Due</v>
      </c>
      <c r="W1303" s="591"/>
    </row>
    <row r="1304" spans="1:23" s="589" customFormat="1" x14ac:dyDescent="0.2">
      <c r="A1304" s="589" t="s">
        <v>56</v>
      </c>
      <c r="B1304" s="589" t="s">
        <v>274</v>
      </c>
      <c r="C1304" s="590" t="s">
        <v>3033</v>
      </c>
      <c r="D1304" s="589" t="s">
        <v>100</v>
      </c>
      <c r="E1304" s="589" t="s">
        <v>104</v>
      </c>
      <c r="F1304" s="589" t="s">
        <v>112</v>
      </c>
      <c r="G1304" s="589" t="s">
        <v>51</v>
      </c>
      <c r="H1304" s="589" t="s">
        <v>242</v>
      </c>
      <c r="I1304" s="589" t="s">
        <v>3231</v>
      </c>
      <c r="J1304" s="589" t="s">
        <v>35</v>
      </c>
      <c r="K1304" s="591">
        <v>945</v>
      </c>
      <c r="L1304" s="592">
        <f>IF(J1304="TND",1,IF(J1304="EUR",Vertical_Cash_flow!$C$16,IF(J1304="USD",Vertical_Cash_flow!$F$16,0)))</f>
        <v>1</v>
      </c>
      <c r="M1304" s="593">
        <f t="shared" si="84"/>
        <v>945</v>
      </c>
      <c r="N1304" s="589" t="s">
        <v>251</v>
      </c>
      <c r="O1304" s="594">
        <v>45411</v>
      </c>
      <c r="P1304" s="593">
        <f t="shared" si="85"/>
        <v>-132</v>
      </c>
      <c r="Q1304" s="594">
        <v>45543</v>
      </c>
      <c r="R1304" s="593">
        <f t="shared" ca="1" si="86"/>
        <v>-102</v>
      </c>
      <c r="S1304" s="589" t="str">
        <f>VLOOKUP(Q1304,Mapping!L:M,2,0)</f>
        <v>W37_2024</v>
      </c>
      <c r="T1304" s="589" t="str">
        <f t="shared" ca="1" si="87"/>
        <v>Not Due</v>
      </c>
      <c r="W1304" s="591"/>
    </row>
    <row r="1305" spans="1:23" s="589" customFormat="1" x14ac:dyDescent="0.2">
      <c r="A1305" s="589" t="s">
        <v>56</v>
      </c>
      <c r="B1305" s="589" t="s">
        <v>544</v>
      </c>
      <c r="C1305" s="590" t="s">
        <v>3034</v>
      </c>
      <c r="D1305" s="589" t="s">
        <v>100</v>
      </c>
      <c r="E1305" s="589" t="s">
        <v>104</v>
      </c>
      <c r="F1305" s="589" t="s">
        <v>112</v>
      </c>
      <c r="G1305" s="589" t="s">
        <v>51</v>
      </c>
      <c r="H1305" s="589" t="s">
        <v>242</v>
      </c>
      <c r="I1305" s="589" t="s">
        <v>3232</v>
      </c>
      <c r="J1305" s="589" t="s">
        <v>35</v>
      </c>
      <c r="K1305" s="591">
        <v>2103.1909999999998</v>
      </c>
      <c r="L1305" s="592">
        <f>IF(J1305="TND",1,IF(J1305="EUR",Vertical_Cash_flow!$C$16,IF(J1305="USD",Vertical_Cash_flow!$F$16,0)))</f>
        <v>1</v>
      </c>
      <c r="M1305" s="593">
        <f t="shared" si="84"/>
        <v>2103.1909999999998</v>
      </c>
      <c r="N1305" s="589" t="s">
        <v>251</v>
      </c>
      <c r="O1305" s="594">
        <v>45412</v>
      </c>
      <c r="P1305" s="593">
        <f t="shared" si="85"/>
        <v>-131</v>
      </c>
      <c r="Q1305" s="594">
        <v>45543</v>
      </c>
      <c r="R1305" s="593">
        <f t="shared" ca="1" si="86"/>
        <v>-102</v>
      </c>
      <c r="S1305" s="589" t="str">
        <f>VLOOKUP(Q1305,Mapping!L:M,2,0)</f>
        <v>W37_2024</v>
      </c>
      <c r="T1305" s="589" t="str">
        <f t="shared" ca="1" si="87"/>
        <v>Not Due</v>
      </c>
      <c r="W1305" s="591"/>
    </row>
    <row r="1306" spans="1:23" s="589" customFormat="1" x14ac:dyDescent="0.2">
      <c r="A1306" s="589" t="s">
        <v>56</v>
      </c>
      <c r="B1306" s="589" t="s">
        <v>605</v>
      </c>
      <c r="C1306" s="590" t="s">
        <v>3032</v>
      </c>
      <c r="D1306" s="589" t="s">
        <v>100</v>
      </c>
      <c r="E1306" s="589" t="s">
        <v>104</v>
      </c>
      <c r="F1306" s="589" t="s">
        <v>112</v>
      </c>
      <c r="G1306" s="589" t="s">
        <v>51</v>
      </c>
      <c r="H1306" s="589" t="s">
        <v>242</v>
      </c>
      <c r="I1306" s="589" t="s">
        <v>3230</v>
      </c>
      <c r="J1306" s="589" t="s">
        <v>35</v>
      </c>
      <c r="K1306" s="591">
        <v>3650</v>
      </c>
      <c r="L1306" s="592">
        <f>IF(J1306="TND",1,IF(J1306="EUR",Vertical_Cash_flow!$C$16,IF(J1306="USD",Vertical_Cash_flow!$F$16,0)))</f>
        <v>1</v>
      </c>
      <c r="M1306" s="593">
        <f t="shared" si="84"/>
        <v>3650</v>
      </c>
      <c r="N1306" s="589" t="s">
        <v>251</v>
      </c>
      <c r="O1306" s="594">
        <v>45412</v>
      </c>
      <c r="P1306" s="593">
        <f t="shared" si="85"/>
        <v>-131</v>
      </c>
      <c r="Q1306" s="594">
        <v>45543</v>
      </c>
      <c r="R1306" s="593">
        <f t="shared" ca="1" si="86"/>
        <v>-102</v>
      </c>
      <c r="S1306" s="589" t="str">
        <f>VLOOKUP(Q1306,Mapping!L:M,2,0)</f>
        <v>W37_2024</v>
      </c>
      <c r="T1306" s="589" t="str">
        <f t="shared" ca="1" si="87"/>
        <v>Not Due</v>
      </c>
      <c r="W1306" s="591"/>
    </row>
    <row r="1307" spans="1:23" s="589" customFormat="1" x14ac:dyDescent="0.2">
      <c r="A1307" s="589" t="s">
        <v>56</v>
      </c>
      <c r="B1307" s="589" t="s">
        <v>274</v>
      </c>
      <c r="C1307" s="590" t="s">
        <v>3031</v>
      </c>
      <c r="D1307" s="589" t="s">
        <v>100</v>
      </c>
      <c r="E1307" s="589" t="s">
        <v>104</v>
      </c>
      <c r="F1307" s="589" t="s">
        <v>112</v>
      </c>
      <c r="G1307" s="589" t="s">
        <v>51</v>
      </c>
      <c r="H1307" s="589" t="s">
        <v>242</v>
      </c>
      <c r="I1307" s="589" t="s">
        <v>3229</v>
      </c>
      <c r="J1307" s="589" t="s">
        <v>35</v>
      </c>
      <c r="K1307" s="591">
        <v>890</v>
      </c>
      <c r="L1307" s="592">
        <f>IF(J1307="TND",1,IF(J1307="EUR",Vertical_Cash_flow!$C$16,IF(J1307="USD",Vertical_Cash_flow!$F$16,0)))</f>
        <v>1</v>
      </c>
      <c r="M1307" s="593">
        <f t="shared" si="84"/>
        <v>890</v>
      </c>
      <c r="N1307" s="589" t="s">
        <v>251</v>
      </c>
      <c r="O1307" s="594">
        <v>45411</v>
      </c>
      <c r="P1307" s="593">
        <f t="shared" si="85"/>
        <v>-133</v>
      </c>
      <c r="Q1307" s="594">
        <v>45544</v>
      </c>
      <c r="R1307" s="593">
        <f t="shared" ca="1" si="86"/>
        <v>-103</v>
      </c>
      <c r="S1307" s="589" t="str">
        <f>VLOOKUP(Q1307,Mapping!L:M,2,0)</f>
        <v>W37_2024</v>
      </c>
      <c r="T1307" s="589" t="str">
        <f t="shared" ca="1" si="87"/>
        <v>Not Due</v>
      </c>
      <c r="W1307" s="591"/>
    </row>
    <row r="1308" spans="1:23" s="589" customFormat="1" x14ac:dyDescent="0.2">
      <c r="A1308" s="589" t="s">
        <v>56</v>
      </c>
      <c r="B1308" s="589" t="s">
        <v>498</v>
      </c>
      <c r="C1308" s="590" t="s">
        <v>2338</v>
      </c>
      <c r="D1308" s="589" t="s">
        <v>100</v>
      </c>
      <c r="E1308" s="589" t="s">
        <v>104</v>
      </c>
      <c r="F1308" s="589" t="s">
        <v>112</v>
      </c>
      <c r="G1308" s="589" t="s">
        <v>51</v>
      </c>
      <c r="H1308" s="589" t="s">
        <v>242</v>
      </c>
      <c r="I1308" s="589" t="s">
        <v>2672</v>
      </c>
      <c r="J1308" s="589" t="s">
        <v>35</v>
      </c>
      <c r="K1308" s="591">
        <v>6307.1080000000002</v>
      </c>
      <c r="L1308" s="592">
        <f>IF(J1308="TND",1,IF(J1308="EUR",Vertical_Cash_flow!$C$16,IF(J1308="USD",Vertical_Cash_flow!$F$16,0)))</f>
        <v>1</v>
      </c>
      <c r="M1308" s="593">
        <f t="shared" si="84"/>
        <v>6307.1080000000002</v>
      </c>
      <c r="N1308" s="589" t="s">
        <v>251</v>
      </c>
      <c r="O1308" s="594">
        <v>45404</v>
      </c>
      <c r="P1308" s="593">
        <f t="shared" si="85"/>
        <v>-140</v>
      </c>
      <c r="Q1308" s="594">
        <v>45544</v>
      </c>
      <c r="R1308" s="593">
        <f t="shared" ca="1" si="86"/>
        <v>-103</v>
      </c>
      <c r="S1308" s="589" t="str">
        <f>VLOOKUP(Q1308,Mapping!L:M,2,0)</f>
        <v>W37_2024</v>
      </c>
      <c r="T1308" s="589" t="str">
        <f t="shared" ca="1" si="87"/>
        <v>Not Due</v>
      </c>
      <c r="W1308" s="591"/>
    </row>
    <row r="1309" spans="1:23" s="589" customFormat="1" x14ac:dyDescent="0.2">
      <c r="A1309" s="589" t="s">
        <v>56</v>
      </c>
      <c r="B1309" s="589" t="s">
        <v>274</v>
      </c>
      <c r="C1309" s="590" t="s">
        <v>3030</v>
      </c>
      <c r="D1309" s="589" t="s">
        <v>100</v>
      </c>
      <c r="E1309" s="589" t="s">
        <v>104</v>
      </c>
      <c r="F1309" s="589" t="s">
        <v>112</v>
      </c>
      <c r="G1309" s="589" t="s">
        <v>51</v>
      </c>
      <c r="H1309" s="589" t="s">
        <v>242</v>
      </c>
      <c r="I1309" s="589" t="s">
        <v>3228</v>
      </c>
      <c r="J1309" s="589" t="s">
        <v>35</v>
      </c>
      <c r="K1309" s="591">
        <v>955</v>
      </c>
      <c r="L1309" s="592">
        <f>IF(J1309="TND",1,IF(J1309="EUR",Vertical_Cash_flow!$C$16,IF(J1309="USD",Vertical_Cash_flow!$F$16,0)))</f>
        <v>1</v>
      </c>
      <c r="M1309" s="593">
        <f t="shared" si="84"/>
        <v>955</v>
      </c>
      <c r="N1309" s="589" t="s">
        <v>251</v>
      </c>
      <c r="O1309" s="594">
        <v>45411</v>
      </c>
      <c r="P1309" s="593">
        <f t="shared" si="85"/>
        <v>-134</v>
      </c>
      <c r="Q1309" s="594">
        <v>45545</v>
      </c>
      <c r="R1309" s="593">
        <f t="shared" ca="1" si="86"/>
        <v>-104</v>
      </c>
      <c r="S1309" s="589" t="str">
        <f>VLOOKUP(Q1309,Mapping!L:M,2,0)</f>
        <v>W37_2024</v>
      </c>
      <c r="T1309" s="589" t="str">
        <f t="shared" ca="1" si="87"/>
        <v>Not Due</v>
      </c>
      <c r="W1309" s="591"/>
    </row>
    <row r="1310" spans="1:23" s="589" customFormat="1" x14ac:dyDescent="0.2">
      <c r="A1310" s="589" t="s">
        <v>56</v>
      </c>
      <c r="B1310" s="589" t="s">
        <v>760</v>
      </c>
      <c r="C1310" s="590" t="s">
        <v>2337</v>
      </c>
      <c r="D1310" s="589" t="s">
        <v>100</v>
      </c>
      <c r="E1310" s="589" t="s">
        <v>104</v>
      </c>
      <c r="F1310" s="589" t="s">
        <v>112</v>
      </c>
      <c r="G1310" s="589" t="s">
        <v>51</v>
      </c>
      <c r="H1310" s="589" t="s">
        <v>242</v>
      </c>
      <c r="I1310" s="589" t="s">
        <v>2671</v>
      </c>
      <c r="J1310" s="589" t="s">
        <v>35</v>
      </c>
      <c r="K1310" s="591">
        <v>4500</v>
      </c>
      <c r="L1310" s="592">
        <f>IF(J1310="TND",1,IF(J1310="EUR",Vertical_Cash_flow!$C$16,IF(J1310="USD",Vertical_Cash_flow!$F$16,0)))</f>
        <v>1</v>
      </c>
      <c r="M1310" s="593">
        <f t="shared" si="84"/>
        <v>4500</v>
      </c>
      <c r="N1310" s="589" t="s">
        <v>251</v>
      </c>
      <c r="O1310" s="594">
        <v>45400</v>
      </c>
      <c r="P1310" s="593">
        <f t="shared" si="85"/>
        <v>-145</v>
      </c>
      <c r="Q1310" s="594">
        <v>45545</v>
      </c>
      <c r="R1310" s="593">
        <f t="shared" ca="1" si="86"/>
        <v>-104</v>
      </c>
      <c r="S1310" s="589" t="str">
        <f>VLOOKUP(Q1310,Mapping!L:M,2,0)</f>
        <v>W37_2024</v>
      </c>
      <c r="T1310" s="589" t="str">
        <f t="shared" ca="1" si="87"/>
        <v>Not Due</v>
      </c>
      <c r="W1310" s="591"/>
    </row>
    <row r="1311" spans="1:23" s="589" customFormat="1" x14ac:dyDescent="0.2">
      <c r="A1311" s="589" t="s">
        <v>56</v>
      </c>
      <c r="B1311" s="589" t="s">
        <v>274</v>
      </c>
      <c r="C1311" s="590" t="s">
        <v>3029</v>
      </c>
      <c r="D1311" s="589" t="s">
        <v>100</v>
      </c>
      <c r="E1311" s="589" t="s">
        <v>104</v>
      </c>
      <c r="F1311" s="589" t="s">
        <v>112</v>
      </c>
      <c r="G1311" s="589" t="s">
        <v>51</v>
      </c>
      <c r="H1311" s="589" t="s">
        <v>242</v>
      </c>
      <c r="I1311" s="589" t="s">
        <v>3227</v>
      </c>
      <c r="J1311" s="589" t="s">
        <v>35</v>
      </c>
      <c r="K1311" s="591">
        <v>902.98900000000003</v>
      </c>
      <c r="L1311" s="592">
        <f>IF(J1311="TND",1,IF(J1311="EUR",Vertical_Cash_flow!$C$16,IF(J1311="USD",Vertical_Cash_flow!$F$16,0)))</f>
        <v>1</v>
      </c>
      <c r="M1311" s="593">
        <f t="shared" si="84"/>
        <v>902.98900000000003</v>
      </c>
      <c r="N1311" s="589" t="s">
        <v>251</v>
      </c>
      <c r="O1311" s="594">
        <v>45411</v>
      </c>
      <c r="P1311" s="593">
        <f t="shared" si="85"/>
        <v>-135</v>
      </c>
      <c r="Q1311" s="594">
        <v>45546</v>
      </c>
      <c r="R1311" s="593">
        <f t="shared" ca="1" si="86"/>
        <v>-105</v>
      </c>
      <c r="S1311" s="589" t="str">
        <f>VLOOKUP(Q1311,Mapping!L:M,2,0)</f>
        <v>W37_2024</v>
      </c>
      <c r="T1311" s="589" t="str">
        <f t="shared" ca="1" si="87"/>
        <v>Not Due</v>
      </c>
      <c r="W1311" s="591"/>
    </row>
    <row r="1312" spans="1:23" s="589" customFormat="1" x14ac:dyDescent="0.2">
      <c r="A1312" s="589" t="s">
        <v>56</v>
      </c>
      <c r="B1312" s="589" t="s">
        <v>285</v>
      </c>
      <c r="C1312" s="590" t="s">
        <v>3427</v>
      </c>
      <c r="D1312" s="589" t="s">
        <v>100</v>
      </c>
      <c r="E1312" s="589" t="s">
        <v>104</v>
      </c>
      <c r="F1312" s="589" t="s">
        <v>112</v>
      </c>
      <c r="G1312" s="589" t="s">
        <v>51</v>
      </c>
      <c r="H1312" s="589" t="s">
        <v>242</v>
      </c>
      <c r="I1312" s="589" t="s">
        <v>3591</v>
      </c>
      <c r="J1312" s="589" t="s">
        <v>35</v>
      </c>
      <c r="K1312" s="591">
        <v>781.05700000000002</v>
      </c>
      <c r="L1312" s="592">
        <f>IF(J1312="TND",1,IF(J1312="EUR",Vertical_Cash_flow!$C$16,IF(J1312="USD",Vertical_Cash_flow!$F$16,0)))</f>
        <v>1</v>
      </c>
      <c r="M1312" s="593">
        <f t="shared" si="84"/>
        <v>781.05700000000002</v>
      </c>
      <c r="N1312" s="589" t="s">
        <v>251</v>
      </c>
      <c r="O1312" s="594">
        <v>45422</v>
      </c>
      <c r="P1312" s="593">
        <f t="shared" si="85"/>
        <v>-126</v>
      </c>
      <c r="Q1312" s="594">
        <v>45548</v>
      </c>
      <c r="R1312" s="593">
        <f t="shared" ca="1" si="86"/>
        <v>-107</v>
      </c>
      <c r="S1312" s="589" t="str">
        <f>VLOOKUP(Q1312,Mapping!L:M,2,0)</f>
        <v>W37_2024</v>
      </c>
      <c r="T1312" s="589" t="str">
        <f t="shared" ca="1" si="87"/>
        <v>Not Due</v>
      </c>
      <c r="W1312" s="591"/>
    </row>
    <row r="1313" spans="1:23" s="589" customFormat="1" x14ac:dyDescent="0.2">
      <c r="A1313" s="589" t="s">
        <v>56</v>
      </c>
      <c r="B1313" s="589" t="s">
        <v>760</v>
      </c>
      <c r="C1313" s="590" t="s">
        <v>3426</v>
      </c>
      <c r="D1313" s="589" t="s">
        <v>100</v>
      </c>
      <c r="E1313" s="589" t="s">
        <v>104</v>
      </c>
      <c r="F1313" s="589" t="s">
        <v>112</v>
      </c>
      <c r="G1313" s="589" t="s">
        <v>51</v>
      </c>
      <c r="H1313" s="589" t="s">
        <v>242</v>
      </c>
      <c r="I1313" s="589" t="s">
        <v>3588</v>
      </c>
      <c r="J1313" s="589" t="s">
        <v>35</v>
      </c>
      <c r="K1313" s="591">
        <v>6000</v>
      </c>
      <c r="L1313" s="592">
        <f>IF(J1313="TND",1,IF(J1313="EUR",Vertical_Cash_flow!$C$16,IF(J1313="USD",Vertical_Cash_flow!$F$16,0)))</f>
        <v>1</v>
      </c>
      <c r="M1313" s="593">
        <f t="shared" si="84"/>
        <v>6000</v>
      </c>
      <c r="N1313" s="589" t="s">
        <v>251</v>
      </c>
      <c r="O1313" s="594">
        <v>45430</v>
      </c>
      <c r="P1313" s="593">
        <f t="shared" si="85"/>
        <v>-120</v>
      </c>
      <c r="Q1313" s="594">
        <v>45550</v>
      </c>
      <c r="R1313" s="593">
        <f t="shared" ca="1" si="86"/>
        <v>-109</v>
      </c>
      <c r="S1313" s="589" t="str">
        <f>VLOOKUP(Q1313,Mapping!L:M,2,0)</f>
        <v>W38_2024</v>
      </c>
      <c r="T1313" s="589" t="str">
        <f t="shared" ca="1" si="87"/>
        <v>Not Due</v>
      </c>
      <c r="W1313" s="591"/>
    </row>
    <row r="1314" spans="1:23" s="589" customFormat="1" x14ac:dyDescent="0.2">
      <c r="A1314" s="589" t="s">
        <v>56</v>
      </c>
      <c r="B1314" s="589" t="s">
        <v>279</v>
      </c>
      <c r="C1314" s="590" t="s">
        <v>2336</v>
      </c>
      <c r="D1314" s="589" t="s">
        <v>100</v>
      </c>
      <c r="E1314" s="589" t="s">
        <v>104</v>
      </c>
      <c r="F1314" s="589" t="s">
        <v>112</v>
      </c>
      <c r="G1314" s="589" t="s">
        <v>51</v>
      </c>
      <c r="H1314" s="589" t="s">
        <v>242</v>
      </c>
      <c r="I1314" s="589" t="s">
        <v>2670</v>
      </c>
      <c r="J1314" s="589" t="s">
        <v>35</v>
      </c>
      <c r="K1314" s="591">
        <v>3217.4369999999999</v>
      </c>
      <c r="L1314" s="592">
        <f>IF(J1314="TND",1,IF(J1314="EUR",Vertical_Cash_flow!$C$16,IF(J1314="USD",Vertical_Cash_flow!$F$16,0)))</f>
        <v>1</v>
      </c>
      <c r="M1314" s="593">
        <f t="shared" si="84"/>
        <v>3217.4369999999999</v>
      </c>
      <c r="N1314" s="589" t="s">
        <v>251</v>
      </c>
      <c r="O1314" s="594">
        <v>45406</v>
      </c>
      <c r="P1314" s="593">
        <f t="shared" si="85"/>
        <v>-144</v>
      </c>
      <c r="Q1314" s="594">
        <v>45550</v>
      </c>
      <c r="R1314" s="593">
        <f t="shared" ca="1" si="86"/>
        <v>-109</v>
      </c>
      <c r="S1314" s="589" t="str">
        <f>VLOOKUP(Q1314,Mapping!L:M,2,0)</f>
        <v>W38_2024</v>
      </c>
      <c r="T1314" s="589" t="str">
        <f t="shared" ca="1" si="87"/>
        <v>Not Due</v>
      </c>
      <c r="W1314" s="591"/>
    </row>
    <row r="1315" spans="1:23" s="589" customFormat="1" x14ac:dyDescent="0.2">
      <c r="A1315" s="589" t="s">
        <v>56</v>
      </c>
      <c r="B1315" s="589" t="s">
        <v>808</v>
      </c>
      <c r="C1315" s="590" t="s">
        <v>3028</v>
      </c>
      <c r="D1315" s="589" t="s">
        <v>100</v>
      </c>
      <c r="E1315" s="589" t="s">
        <v>104</v>
      </c>
      <c r="F1315" s="589" t="s">
        <v>112</v>
      </c>
      <c r="G1315" s="589" t="s">
        <v>51</v>
      </c>
      <c r="H1315" s="589" t="s">
        <v>242</v>
      </c>
      <c r="I1315" s="589" t="s">
        <v>3226</v>
      </c>
      <c r="J1315" s="589" t="s">
        <v>35</v>
      </c>
      <c r="K1315" s="591">
        <v>3700</v>
      </c>
      <c r="L1315" s="592">
        <f>IF(J1315="TND",1,IF(J1315="EUR",Vertical_Cash_flow!$C$16,IF(J1315="USD",Vertical_Cash_flow!$F$16,0)))</f>
        <v>1</v>
      </c>
      <c r="M1315" s="593">
        <f t="shared" si="84"/>
        <v>3700</v>
      </c>
      <c r="N1315" s="589" t="s">
        <v>251</v>
      </c>
      <c r="O1315" s="594">
        <v>45415</v>
      </c>
      <c r="P1315" s="593">
        <f t="shared" si="85"/>
        <v>-140</v>
      </c>
      <c r="Q1315" s="594">
        <v>45555</v>
      </c>
      <c r="R1315" s="593">
        <f t="shared" ca="1" si="86"/>
        <v>-114</v>
      </c>
      <c r="S1315" s="589" t="str">
        <f>VLOOKUP(Q1315,Mapping!L:M,2,0)</f>
        <v>W38_2024</v>
      </c>
      <c r="T1315" s="589" t="str">
        <f t="shared" ca="1" si="87"/>
        <v>Not Due</v>
      </c>
      <c r="W1315" s="591"/>
    </row>
    <row r="1316" spans="1:23" s="589" customFormat="1" x14ac:dyDescent="0.2">
      <c r="A1316" s="589" t="s">
        <v>56</v>
      </c>
      <c r="B1316" s="589" t="s">
        <v>808</v>
      </c>
      <c r="C1316" s="590" t="s">
        <v>3027</v>
      </c>
      <c r="D1316" s="589" t="s">
        <v>100</v>
      </c>
      <c r="E1316" s="589" t="s">
        <v>104</v>
      </c>
      <c r="F1316" s="589" t="s">
        <v>112</v>
      </c>
      <c r="G1316" s="589" t="s">
        <v>51</v>
      </c>
      <c r="H1316" s="589" t="s">
        <v>242</v>
      </c>
      <c r="I1316" s="589" t="s">
        <v>3225</v>
      </c>
      <c r="J1316" s="589" t="s">
        <v>35</v>
      </c>
      <c r="K1316" s="591">
        <v>3787.9630000000002</v>
      </c>
      <c r="L1316" s="592">
        <f>IF(J1316="TND",1,IF(J1316="EUR",Vertical_Cash_flow!$C$16,IF(J1316="USD",Vertical_Cash_flow!$F$16,0)))</f>
        <v>1</v>
      </c>
      <c r="M1316" s="593">
        <f t="shared" si="84"/>
        <v>3787.9630000000002</v>
      </c>
      <c r="N1316" s="589" t="s">
        <v>251</v>
      </c>
      <c r="O1316" s="594">
        <v>45415</v>
      </c>
      <c r="P1316" s="593">
        <f t="shared" si="85"/>
        <v>-145</v>
      </c>
      <c r="Q1316" s="594">
        <v>45560</v>
      </c>
      <c r="R1316" s="593">
        <f t="shared" ca="1" si="86"/>
        <v>-119</v>
      </c>
      <c r="S1316" s="589" t="str">
        <f>VLOOKUP(Q1316,Mapping!L:M,2,0)</f>
        <v>W39_2024</v>
      </c>
      <c r="T1316" s="589" t="str">
        <f t="shared" ca="1" si="87"/>
        <v>Not Due</v>
      </c>
      <c r="W1316" s="591"/>
    </row>
    <row r="1317" spans="1:23" s="589" customFormat="1" x14ac:dyDescent="0.2">
      <c r="A1317" s="589" t="s">
        <v>56</v>
      </c>
      <c r="B1317" s="589" t="s">
        <v>386</v>
      </c>
      <c r="C1317" s="590" t="s">
        <v>3425</v>
      </c>
      <c r="D1317" s="589" t="s">
        <v>100</v>
      </c>
      <c r="E1317" s="589" t="s">
        <v>104</v>
      </c>
      <c r="F1317" s="589" t="s">
        <v>112</v>
      </c>
      <c r="G1317" s="589" t="s">
        <v>51</v>
      </c>
      <c r="H1317" s="589" t="s">
        <v>242</v>
      </c>
      <c r="I1317" s="589" t="s">
        <v>3590</v>
      </c>
      <c r="J1317" s="589" t="s">
        <v>35</v>
      </c>
      <c r="K1317" s="591">
        <v>5124.8429999999998</v>
      </c>
      <c r="L1317" s="592">
        <f>IF(J1317="TND",1,IF(J1317="EUR",Vertical_Cash_flow!$C$16,IF(J1317="USD",Vertical_Cash_flow!$F$16,0)))</f>
        <v>1</v>
      </c>
      <c r="M1317" s="593">
        <f t="shared" si="84"/>
        <v>5124.8429999999998</v>
      </c>
      <c r="N1317" s="589" t="s">
        <v>251</v>
      </c>
      <c r="O1317" s="594">
        <v>45427</v>
      </c>
      <c r="P1317" s="593">
        <f t="shared" si="85"/>
        <v>-133</v>
      </c>
      <c r="Q1317" s="594">
        <v>45560</v>
      </c>
      <c r="R1317" s="593">
        <f t="shared" ca="1" si="86"/>
        <v>-119</v>
      </c>
      <c r="S1317" s="589" t="str">
        <f>VLOOKUP(Q1317,Mapping!L:M,2,0)</f>
        <v>W39_2024</v>
      </c>
      <c r="T1317" s="589" t="str">
        <f t="shared" ca="1" si="87"/>
        <v>Not Due</v>
      </c>
      <c r="W1317" s="591"/>
    </row>
    <row r="1318" spans="1:23" s="589" customFormat="1" x14ac:dyDescent="0.2">
      <c r="A1318" s="589" t="s">
        <v>56</v>
      </c>
      <c r="B1318" s="589" t="s">
        <v>277</v>
      </c>
      <c r="C1318" s="590" t="s">
        <v>3026</v>
      </c>
      <c r="D1318" s="589" t="s">
        <v>100</v>
      </c>
      <c r="E1318" s="589" t="s">
        <v>104</v>
      </c>
      <c r="F1318" s="589" t="s">
        <v>112</v>
      </c>
      <c r="G1318" s="589" t="s">
        <v>51</v>
      </c>
      <c r="H1318" s="589" t="s">
        <v>242</v>
      </c>
      <c r="I1318" s="589" t="s">
        <v>3224</v>
      </c>
      <c r="J1318" s="589" t="s">
        <v>35</v>
      </c>
      <c r="K1318" s="591">
        <v>16472.738000000001</v>
      </c>
      <c r="L1318" s="592">
        <f>IF(J1318="TND",1,IF(J1318="EUR",Vertical_Cash_flow!$C$16,IF(J1318="USD",Vertical_Cash_flow!$F$16,0)))</f>
        <v>1</v>
      </c>
      <c r="M1318" s="593">
        <f t="shared" si="84"/>
        <v>16472.738000000001</v>
      </c>
      <c r="N1318" s="589" t="s">
        <v>251</v>
      </c>
      <c r="O1318" s="594">
        <v>45408</v>
      </c>
      <c r="P1318" s="593">
        <f t="shared" si="85"/>
        <v>-154</v>
      </c>
      <c r="Q1318" s="594">
        <v>45562</v>
      </c>
      <c r="R1318" s="593">
        <f t="shared" ca="1" si="86"/>
        <v>-121</v>
      </c>
      <c r="S1318" s="589" t="str">
        <f>VLOOKUP(Q1318,Mapping!L:M,2,0)</f>
        <v>W39_2024</v>
      </c>
      <c r="T1318" s="589" t="str">
        <f t="shared" ca="1" si="87"/>
        <v>Not Due</v>
      </c>
      <c r="W1318" s="591"/>
    </row>
    <row r="1319" spans="1:23" s="589" customFormat="1" x14ac:dyDescent="0.2">
      <c r="A1319" s="589" t="s">
        <v>56</v>
      </c>
      <c r="B1319" s="589" t="s">
        <v>760</v>
      </c>
      <c r="C1319" s="590" t="s">
        <v>3424</v>
      </c>
      <c r="D1319" s="589" t="s">
        <v>100</v>
      </c>
      <c r="E1319" s="589" t="s">
        <v>104</v>
      </c>
      <c r="F1319" s="589" t="s">
        <v>112</v>
      </c>
      <c r="G1319" s="589" t="s">
        <v>51</v>
      </c>
      <c r="H1319" s="589" t="s">
        <v>242</v>
      </c>
      <c r="I1319" s="589" t="s">
        <v>3588</v>
      </c>
      <c r="J1319" s="589" t="s">
        <v>35</v>
      </c>
      <c r="K1319" s="591">
        <v>6000</v>
      </c>
      <c r="L1319" s="592">
        <f>IF(J1319="TND",1,IF(J1319="EUR",Vertical_Cash_flow!$C$16,IF(J1319="USD",Vertical_Cash_flow!$F$16,0)))</f>
        <v>1</v>
      </c>
      <c r="M1319" s="593">
        <f t="shared" si="84"/>
        <v>6000</v>
      </c>
      <c r="N1319" s="589" t="s">
        <v>251</v>
      </c>
      <c r="O1319" s="594">
        <v>45430</v>
      </c>
      <c r="P1319" s="593">
        <f t="shared" si="85"/>
        <v>-135</v>
      </c>
      <c r="Q1319" s="594">
        <v>45565</v>
      </c>
      <c r="R1319" s="593">
        <f t="shared" ca="1" si="86"/>
        <v>-124</v>
      </c>
      <c r="S1319" s="589" t="str">
        <f>VLOOKUP(Q1319,Mapping!L:M,2,0)</f>
        <v>W40_2024</v>
      </c>
      <c r="T1319" s="589" t="str">
        <f t="shared" ca="1" si="87"/>
        <v>Not Due</v>
      </c>
      <c r="W1319" s="591"/>
    </row>
    <row r="1320" spans="1:23" s="589" customFormat="1" x14ac:dyDescent="0.2">
      <c r="A1320" s="589" t="s">
        <v>56</v>
      </c>
      <c r="B1320" s="589" t="s">
        <v>394</v>
      </c>
      <c r="C1320" s="590" t="s">
        <v>3423</v>
      </c>
      <c r="D1320" s="589" t="s">
        <v>100</v>
      </c>
      <c r="E1320" s="589" t="s">
        <v>104</v>
      </c>
      <c r="F1320" s="589" t="s">
        <v>112</v>
      </c>
      <c r="G1320" s="589" t="s">
        <v>51</v>
      </c>
      <c r="H1320" s="589" t="s">
        <v>242</v>
      </c>
      <c r="I1320" s="589" t="s">
        <v>3589</v>
      </c>
      <c r="J1320" s="589" t="s">
        <v>35</v>
      </c>
      <c r="K1320" s="591">
        <v>645.38499999999999</v>
      </c>
      <c r="L1320" s="592">
        <f>IF(J1320="TND",1,IF(J1320="EUR",Vertical_Cash_flow!$C$16,IF(J1320="USD",Vertical_Cash_flow!$F$16,0)))</f>
        <v>1</v>
      </c>
      <c r="M1320" s="593">
        <f t="shared" si="84"/>
        <v>645.38499999999999</v>
      </c>
      <c r="N1320" s="589" t="s">
        <v>251</v>
      </c>
      <c r="O1320" s="594">
        <v>45422</v>
      </c>
      <c r="P1320" s="593">
        <f t="shared" si="85"/>
        <v>-143</v>
      </c>
      <c r="Q1320" s="594">
        <v>45565</v>
      </c>
      <c r="R1320" s="593">
        <f t="shared" ca="1" si="86"/>
        <v>-124</v>
      </c>
      <c r="S1320" s="589" t="str">
        <f>VLOOKUP(Q1320,Mapping!L:M,2,0)</f>
        <v>W40_2024</v>
      </c>
      <c r="T1320" s="589" t="str">
        <f t="shared" ca="1" si="87"/>
        <v>Not Due</v>
      </c>
      <c r="W1320" s="591"/>
    </row>
    <row r="1321" spans="1:23" s="589" customFormat="1" x14ac:dyDescent="0.2">
      <c r="A1321" s="589" t="s">
        <v>56</v>
      </c>
      <c r="B1321" s="589" t="s">
        <v>534</v>
      </c>
      <c r="C1321" s="590" t="s">
        <v>1225</v>
      </c>
      <c r="D1321" s="589" t="s">
        <v>100</v>
      </c>
      <c r="E1321" s="589" t="s">
        <v>104</v>
      </c>
      <c r="F1321" s="589" t="s">
        <v>112</v>
      </c>
      <c r="G1321" s="589" t="s">
        <v>51</v>
      </c>
      <c r="H1321" s="589" t="s">
        <v>242</v>
      </c>
      <c r="I1321" s="589" t="s">
        <v>1129</v>
      </c>
      <c r="J1321" s="589" t="s">
        <v>35</v>
      </c>
      <c r="K1321" s="591">
        <v>38000</v>
      </c>
      <c r="L1321" s="592">
        <f>IF(J1321="TND",1,IF(J1321="EUR",Vertical_Cash_flow!$C$16,IF(J1321="USD",Vertical_Cash_flow!$F$16,0)))</f>
        <v>1</v>
      </c>
      <c r="M1321" s="593">
        <f t="shared" si="84"/>
        <v>38000</v>
      </c>
      <c r="N1321" s="589" t="s">
        <v>251</v>
      </c>
      <c r="O1321" s="594">
        <v>45322</v>
      </c>
      <c r="P1321" s="593">
        <f t="shared" si="85"/>
        <v>-243</v>
      </c>
      <c r="Q1321" s="594">
        <v>45565</v>
      </c>
      <c r="R1321" s="593">
        <f t="shared" ca="1" si="86"/>
        <v>-124</v>
      </c>
      <c r="S1321" s="589" t="str">
        <f>VLOOKUP(Q1321,Mapping!L:M,2,0)</f>
        <v>W40_2024</v>
      </c>
      <c r="T1321" s="589" t="str">
        <f t="shared" ca="1" si="87"/>
        <v>Not Due</v>
      </c>
      <c r="W1321" s="591"/>
    </row>
    <row r="1322" spans="1:23" s="589" customFormat="1" x14ac:dyDescent="0.2">
      <c r="A1322" s="589" t="s">
        <v>56</v>
      </c>
      <c r="B1322" s="589" t="s">
        <v>605</v>
      </c>
      <c r="C1322" s="590" t="s">
        <v>3025</v>
      </c>
      <c r="D1322" s="589" t="s">
        <v>100</v>
      </c>
      <c r="E1322" s="589" t="s">
        <v>104</v>
      </c>
      <c r="F1322" s="589" t="s">
        <v>112</v>
      </c>
      <c r="G1322" s="589" t="s">
        <v>51</v>
      </c>
      <c r="H1322" s="589" t="s">
        <v>242</v>
      </c>
      <c r="I1322" s="589" t="s">
        <v>3223</v>
      </c>
      <c r="J1322" s="589" t="s">
        <v>35</v>
      </c>
      <c r="K1322" s="591">
        <v>3500</v>
      </c>
      <c r="L1322" s="592">
        <f>IF(J1322="TND",1,IF(J1322="EUR",Vertical_Cash_flow!$C$16,IF(J1322="USD",Vertical_Cash_flow!$F$16,0)))</f>
        <v>1</v>
      </c>
      <c r="M1322" s="593">
        <f t="shared" si="84"/>
        <v>3500</v>
      </c>
      <c r="N1322" s="589" t="s">
        <v>251</v>
      </c>
      <c r="O1322" s="594">
        <v>45412</v>
      </c>
      <c r="P1322" s="593">
        <f t="shared" si="85"/>
        <v>-153</v>
      </c>
      <c r="Q1322" s="594">
        <v>45565</v>
      </c>
      <c r="R1322" s="593">
        <f t="shared" ca="1" si="86"/>
        <v>-124</v>
      </c>
      <c r="S1322" s="589" t="str">
        <f>VLOOKUP(Q1322,Mapping!L:M,2,0)</f>
        <v>W40_2024</v>
      </c>
      <c r="T1322" s="589" t="str">
        <f t="shared" ca="1" si="87"/>
        <v>Not Due</v>
      </c>
      <c r="W1322" s="591"/>
    </row>
    <row r="1323" spans="1:23" s="589" customFormat="1" x14ac:dyDescent="0.2">
      <c r="A1323" s="589" t="s">
        <v>56</v>
      </c>
      <c r="B1323" s="589" t="s">
        <v>2334</v>
      </c>
      <c r="C1323" s="590" t="s">
        <v>3024</v>
      </c>
      <c r="D1323" s="589" t="s">
        <v>100</v>
      </c>
      <c r="E1323" s="589" t="s">
        <v>104</v>
      </c>
      <c r="F1323" s="589" t="s">
        <v>112</v>
      </c>
      <c r="G1323" s="589" t="s">
        <v>51</v>
      </c>
      <c r="H1323" s="589" t="s">
        <v>242</v>
      </c>
      <c r="I1323" s="589" t="s">
        <v>3222</v>
      </c>
      <c r="J1323" s="589" t="s">
        <v>35</v>
      </c>
      <c r="K1323" s="591">
        <v>4204.8999999999996</v>
      </c>
      <c r="L1323" s="592">
        <f>IF(J1323="TND",1,IF(J1323="EUR",Vertical_Cash_flow!$C$16,IF(J1323="USD",Vertical_Cash_flow!$F$16,0)))</f>
        <v>1</v>
      </c>
      <c r="M1323" s="593">
        <f t="shared" si="84"/>
        <v>4204.8999999999996</v>
      </c>
      <c r="N1323" s="589" t="s">
        <v>251</v>
      </c>
      <c r="O1323" s="594">
        <v>45412</v>
      </c>
      <c r="P1323" s="593">
        <f t="shared" si="85"/>
        <v>-153</v>
      </c>
      <c r="Q1323" s="594">
        <v>45565</v>
      </c>
      <c r="R1323" s="593">
        <f t="shared" ca="1" si="86"/>
        <v>-124</v>
      </c>
      <c r="S1323" s="589" t="str">
        <f>VLOOKUP(Q1323,Mapping!L:M,2,0)</f>
        <v>W40_2024</v>
      </c>
      <c r="T1323" s="589" t="str">
        <f t="shared" ca="1" si="87"/>
        <v>Not Due</v>
      </c>
      <c r="W1323" s="591"/>
    </row>
    <row r="1324" spans="1:23" s="589" customFormat="1" x14ac:dyDescent="0.2">
      <c r="A1324" s="589" t="s">
        <v>56</v>
      </c>
      <c r="B1324" s="589" t="s">
        <v>589</v>
      </c>
      <c r="C1324" s="590" t="s">
        <v>3023</v>
      </c>
      <c r="D1324" s="589" t="s">
        <v>100</v>
      </c>
      <c r="E1324" s="589" t="s">
        <v>104</v>
      </c>
      <c r="F1324" s="589" t="s">
        <v>112</v>
      </c>
      <c r="G1324" s="589" t="s">
        <v>51</v>
      </c>
      <c r="H1324" s="589" t="s">
        <v>242</v>
      </c>
      <c r="I1324" s="589" t="s">
        <v>3221</v>
      </c>
      <c r="J1324" s="589" t="s">
        <v>35</v>
      </c>
      <c r="K1324" s="591">
        <v>2918.74</v>
      </c>
      <c r="L1324" s="592">
        <f>IF(J1324="TND",1,IF(J1324="EUR",Vertical_Cash_flow!$C$16,IF(J1324="USD",Vertical_Cash_flow!$F$16,0)))</f>
        <v>1</v>
      </c>
      <c r="M1324" s="593">
        <f t="shared" si="84"/>
        <v>2918.74</v>
      </c>
      <c r="N1324" s="589" t="s">
        <v>251</v>
      </c>
      <c r="O1324" s="594">
        <v>45412</v>
      </c>
      <c r="P1324" s="593">
        <f t="shared" si="85"/>
        <v>-156</v>
      </c>
      <c r="Q1324" s="594">
        <v>45568</v>
      </c>
      <c r="R1324" s="593">
        <f t="shared" ca="1" si="86"/>
        <v>-127</v>
      </c>
      <c r="S1324" s="589" t="str">
        <f>VLOOKUP(Q1324,Mapping!L:M,2,0)</f>
        <v>W40_2024</v>
      </c>
      <c r="T1324" s="589" t="str">
        <f t="shared" ca="1" si="87"/>
        <v>Not Due</v>
      </c>
      <c r="W1324" s="591"/>
    </row>
    <row r="1325" spans="1:23" s="589" customFormat="1" x14ac:dyDescent="0.2">
      <c r="A1325" s="589" t="s">
        <v>56</v>
      </c>
      <c r="B1325" s="589" t="s">
        <v>760</v>
      </c>
      <c r="C1325" s="590" t="s">
        <v>3422</v>
      </c>
      <c r="D1325" s="589" t="s">
        <v>100</v>
      </c>
      <c r="E1325" s="589" t="s">
        <v>104</v>
      </c>
      <c r="F1325" s="589" t="s">
        <v>112</v>
      </c>
      <c r="G1325" s="589" t="s">
        <v>51</v>
      </c>
      <c r="H1325" s="589" t="s">
        <v>242</v>
      </c>
      <c r="I1325" s="589" t="s">
        <v>3588</v>
      </c>
      <c r="J1325" s="589" t="s">
        <v>35</v>
      </c>
      <c r="K1325" s="591">
        <v>5768.7780000000002</v>
      </c>
      <c r="L1325" s="592">
        <f>IF(J1325="TND",1,IF(J1325="EUR",Vertical_Cash_flow!$C$16,IF(J1325="USD",Vertical_Cash_flow!$F$16,0)))</f>
        <v>1</v>
      </c>
      <c r="M1325" s="593">
        <f t="shared" si="84"/>
        <v>5768.7780000000002</v>
      </c>
      <c r="N1325" s="589" t="s">
        <v>251</v>
      </c>
      <c r="O1325" s="594">
        <v>45430</v>
      </c>
      <c r="P1325" s="593">
        <f t="shared" si="85"/>
        <v>-145</v>
      </c>
      <c r="Q1325" s="594">
        <v>45575</v>
      </c>
      <c r="R1325" s="593">
        <f t="shared" ca="1" si="86"/>
        <v>-134</v>
      </c>
      <c r="S1325" s="589" t="str">
        <f>VLOOKUP(Q1325,Mapping!L:M,2,0)</f>
        <v>W41_2024</v>
      </c>
      <c r="T1325" s="589" t="str">
        <f t="shared" ca="1" si="87"/>
        <v>Not Due</v>
      </c>
      <c r="W1325" s="591"/>
    </row>
    <row r="1326" spans="1:23" s="589" customFormat="1" x14ac:dyDescent="0.2">
      <c r="A1326" s="589" t="s">
        <v>56</v>
      </c>
      <c r="B1326" s="589" t="s">
        <v>808</v>
      </c>
      <c r="C1326" s="590" t="s">
        <v>3022</v>
      </c>
      <c r="D1326" s="589" t="s">
        <v>100</v>
      </c>
      <c r="E1326" s="589" t="s">
        <v>104</v>
      </c>
      <c r="F1326" s="589" t="s">
        <v>112</v>
      </c>
      <c r="G1326" s="589" t="s">
        <v>51</v>
      </c>
      <c r="H1326" s="589" t="s">
        <v>242</v>
      </c>
      <c r="I1326" s="589" t="s">
        <v>3220</v>
      </c>
      <c r="J1326" s="589" t="s">
        <v>35</v>
      </c>
      <c r="K1326" s="591">
        <v>3700</v>
      </c>
      <c r="L1326" s="592">
        <f>IF(J1326="TND",1,IF(J1326="EUR",Vertical_Cash_flow!$C$16,IF(J1326="USD",Vertical_Cash_flow!$F$16,0)))</f>
        <v>1</v>
      </c>
      <c r="M1326" s="593">
        <f t="shared" si="84"/>
        <v>3700</v>
      </c>
      <c r="N1326" s="589" t="s">
        <v>251</v>
      </c>
      <c r="O1326" s="594">
        <v>45415</v>
      </c>
      <c r="P1326" s="593">
        <f t="shared" si="85"/>
        <v>-160</v>
      </c>
      <c r="Q1326" s="594">
        <v>45575</v>
      </c>
      <c r="R1326" s="593">
        <f t="shared" ca="1" si="86"/>
        <v>-134</v>
      </c>
      <c r="S1326" s="589" t="str">
        <f>VLOOKUP(Q1326,Mapping!L:M,2,0)</f>
        <v>W41_2024</v>
      </c>
      <c r="T1326" s="589" t="str">
        <f t="shared" ca="1" si="87"/>
        <v>Not Due</v>
      </c>
      <c r="W1326" s="591"/>
    </row>
    <row r="1327" spans="1:23" s="589" customFormat="1" x14ac:dyDescent="0.2">
      <c r="A1327" s="589" t="s">
        <v>56</v>
      </c>
      <c r="B1327" s="589" t="s">
        <v>589</v>
      </c>
      <c r="C1327" s="590" t="s">
        <v>3021</v>
      </c>
      <c r="D1327" s="589" t="s">
        <v>100</v>
      </c>
      <c r="E1327" s="589" t="s">
        <v>104</v>
      </c>
      <c r="F1327" s="589" t="s">
        <v>112</v>
      </c>
      <c r="G1327" s="589" t="s">
        <v>51</v>
      </c>
      <c r="H1327" s="589" t="s">
        <v>242</v>
      </c>
      <c r="I1327" s="589" t="s">
        <v>3219</v>
      </c>
      <c r="J1327" s="589" t="s">
        <v>35</v>
      </c>
      <c r="K1327" s="591">
        <v>2918.74</v>
      </c>
      <c r="L1327" s="592">
        <f>IF(J1327="TND",1,IF(J1327="EUR",Vertical_Cash_flow!$C$16,IF(J1327="USD",Vertical_Cash_flow!$F$16,0)))</f>
        <v>1</v>
      </c>
      <c r="M1327" s="593">
        <f t="shared" si="84"/>
        <v>2918.74</v>
      </c>
      <c r="N1327" s="589" t="s">
        <v>251</v>
      </c>
      <c r="O1327" s="594">
        <v>45412</v>
      </c>
      <c r="P1327" s="593">
        <f t="shared" si="85"/>
        <v>-163</v>
      </c>
      <c r="Q1327" s="594">
        <v>45575</v>
      </c>
      <c r="R1327" s="593">
        <f t="shared" ca="1" si="86"/>
        <v>-134</v>
      </c>
      <c r="S1327" s="589" t="str">
        <f>VLOOKUP(Q1327,Mapping!L:M,2,0)</f>
        <v>W41_2024</v>
      </c>
      <c r="T1327" s="589" t="str">
        <f t="shared" ca="1" si="87"/>
        <v>Not Due</v>
      </c>
      <c r="W1327" s="591"/>
    </row>
    <row r="1328" spans="1:23" s="589" customFormat="1" x14ac:dyDescent="0.2">
      <c r="A1328" s="589" t="s">
        <v>56</v>
      </c>
      <c r="B1328" s="589" t="s">
        <v>589</v>
      </c>
      <c r="C1328" s="590" t="s">
        <v>3020</v>
      </c>
      <c r="D1328" s="589" t="s">
        <v>100</v>
      </c>
      <c r="E1328" s="589" t="s">
        <v>104</v>
      </c>
      <c r="F1328" s="589" t="s">
        <v>112</v>
      </c>
      <c r="G1328" s="589" t="s">
        <v>51</v>
      </c>
      <c r="H1328" s="589" t="s">
        <v>242</v>
      </c>
      <c r="I1328" s="589" t="s">
        <v>3218</v>
      </c>
      <c r="J1328" s="589" t="s">
        <v>35</v>
      </c>
      <c r="K1328" s="591">
        <v>2918.74</v>
      </c>
      <c r="L1328" s="592">
        <f>IF(J1328="TND",1,IF(J1328="EUR",Vertical_Cash_flow!$C$16,IF(J1328="USD",Vertical_Cash_flow!$F$16,0)))</f>
        <v>1</v>
      </c>
      <c r="M1328" s="593">
        <f t="shared" si="84"/>
        <v>2918.74</v>
      </c>
      <c r="N1328" s="589" t="s">
        <v>251</v>
      </c>
      <c r="O1328" s="594">
        <v>45412</v>
      </c>
      <c r="P1328" s="593">
        <f t="shared" si="85"/>
        <v>-170</v>
      </c>
      <c r="Q1328" s="594">
        <v>45582</v>
      </c>
      <c r="R1328" s="593">
        <f t="shared" ca="1" si="86"/>
        <v>-141</v>
      </c>
      <c r="S1328" s="589" t="str">
        <f>VLOOKUP(Q1328,Mapping!L:M,2,0)</f>
        <v>W42_2024</v>
      </c>
      <c r="T1328" s="589" t="str">
        <f t="shared" ca="1" si="87"/>
        <v>Not Due</v>
      </c>
      <c r="W1328" s="591"/>
    </row>
    <row r="1329" spans="1:23" s="589" customFormat="1" x14ac:dyDescent="0.2">
      <c r="A1329" s="589" t="s">
        <v>56</v>
      </c>
      <c r="B1329" s="589" t="s">
        <v>589</v>
      </c>
      <c r="C1329" s="590" t="s">
        <v>3019</v>
      </c>
      <c r="D1329" s="589" t="s">
        <v>100</v>
      </c>
      <c r="E1329" s="589" t="s">
        <v>104</v>
      </c>
      <c r="F1329" s="589" t="s">
        <v>112</v>
      </c>
      <c r="G1329" s="589" t="s">
        <v>51</v>
      </c>
      <c r="H1329" s="589" t="s">
        <v>242</v>
      </c>
      <c r="I1329" s="589" t="s">
        <v>3217</v>
      </c>
      <c r="J1329" s="589" t="s">
        <v>35</v>
      </c>
      <c r="K1329" s="591">
        <v>2918.74</v>
      </c>
      <c r="L1329" s="592">
        <f>IF(J1329="TND",1,IF(J1329="EUR",Vertical_Cash_flow!$C$16,IF(J1329="USD",Vertical_Cash_flow!$F$16,0)))</f>
        <v>1</v>
      </c>
      <c r="M1329" s="593">
        <f t="shared" si="84"/>
        <v>2918.74</v>
      </c>
      <c r="N1329" s="589" t="s">
        <v>251</v>
      </c>
      <c r="O1329" s="594">
        <v>45412</v>
      </c>
      <c r="P1329" s="593">
        <f t="shared" si="85"/>
        <v>-184</v>
      </c>
      <c r="Q1329" s="594">
        <v>45596</v>
      </c>
      <c r="R1329" s="593">
        <f t="shared" ca="1" si="86"/>
        <v>-155</v>
      </c>
      <c r="S1329" s="589" t="str">
        <f>VLOOKUP(Q1329,Mapping!L:M,2,0)</f>
        <v>W44_2024</v>
      </c>
      <c r="T1329" s="589" t="str">
        <f t="shared" ca="1" si="87"/>
        <v>Not Due</v>
      </c>
      <c r="W1329" s="591"/>
    </row>
    <row r="1330" spans="1:23" s="589" customFormat="1" x14ac:dyDescent="0.2">
      <c r="A1330" s="589" t="s">
        <v>56</v>
      </c>
      <c r="B1330" s="589" t="s">
        <v>534</v>
      </c>
      <c r="C1330" s="590" t="s">
        <v>1502</v>
      </c>
      <c r="D1330" s="589" t="s">
        <v>100</v>
      </c>
      <c r="E1330" s="589" t="s">
        <v>104</v>
      </c>
      <c r="F1330" s="589" t="s">
        <v>112</v>
      </c>
      <c r="G1330" s="589" t="s">
        <v>51</v>
      </c>
      <c r="H1330" s="589" t="s">
        <v>242</v>
      </c>
      <c r="I1330" s="589" t="s">
        <v>851</v>
      </c>
      <c r="J1330" s="589" t="s">
        <v>35</v>
      </c>
      <c r="K1330" s="591">
        <v>33939.347999999998</v>
      </c>
      <c r="L1330" s="592">
        <f>IF(J1330="TND",1,IF(J1330="EUR",Vertical_Cash_flow!$C$16,IF(J1330="USD",Vertical_Cash_flow!$F$16,0)))</f>
        <v>1</v>
      </c>
      <c r="M1330" s="593">
        <f t="shared" si="84"/>
        <v>33939.347999999998</v>
      </c>
      <c r="N1330" s="589" t="s">
        <v>251</v>
      </c>
      <c r="O1330" s="594">
        <v>45378</v>
      </c>
      <c r="P1330" s="593">
        <f t="shared" si="85"/>
        <v>-218</v>
      </c>
      <c r="Q1330" s="594">
        <v>45596</v>
      </c>
      <c r="R1330" s="593">
        <f t="shared" ca="1" si="86"/>
        <v>-155</v>
      </c>
      <c r="S1330" s="589" t="str">
        <f>VLOOKUP(Q1330,Mapping!L:M,2,0)</f>
        <v>W44_2024</v>
      </c>
      <c r="T1330" s="589" t="str">
        <f t="shared" ca="1" si="87"/>
        <v>Not Due</v>
      </c>
      <c r="W1330" s="591"/>
    </row>
    <row r="1331" spans="1:23" s="589" customFormat="1" x14ac:dyDescent="0.2">
      <c r="A1331" s="589" t="s">
        <v>56</v>
      </c>
      <c r="B1331" s="589" t="s">
        <v>534</v>
      </c>
      <c r="C1331" s="590" t="s">
        <v>3018</v>
      </c>
      <c r="D1331" s="589" t="s">
        <v>100</v>
      </c>
      <c r="E1331" s="589" t="s">
        <v>104</v>
      </c>
      <c r="F1331" s="589" t="s">
        <v>112</v>
      </c>
      <c r="G1331" s="589" t="s">
        <v>51</v>
      </c>
      <c r="H1331" s="589" t="s">
        <v>242</v>
      </c>
      <c r="I1331" s="589" t="s">
        <v>3216</v>
      </c>
      <c r="J1331" s="589" t="s">
        <v>35</v>
      </c>
      <c r="K1331" s="591">
        <v>24521.899000000001</v>
      </c>
      <c r="L1331" s="592">
        <f>IF(J1331="TND",1,IF(J1331="EUR",Vertical_Cash_flow!$C$16,IF(J1331="USD",Vertical_Cash_flow!$F$16,0)))</f>
        <v>1</v>
      </c>
      <c r="M1331" s="593">
        <f t="shared" si="84"/>
        <v>24521.899000000001</v>
      </c>
      <c r="N1331" s="589" t="s">
        <v>251</v>
      </c>
      <c r="O1331" s="594">
        <v>45412</v>
      </c>
      <c r="P1331" s="593">
        <f t="shared" si="85"/>
        <v>-207</v>
      </c>
      <c r="Q1331" s="594">
        <v>45619</v>
      </c>
      <c r="R1331" s="593">
        <f t="shared" ca="1" si="86"/>
        <v>-178</v>
      </c>
      <c r="S1331" s="589" t="str">
        <f>VLOOKUP(Q1331,Mapping!L:M,2,0)</f>
        <v>W48_2024</v>
      </c>
      <c r="T1331" s="589" t="str">
        <f t="shared" ca="1" si="87"/>
        <v>Not Due</v>
      </c>
      <c r="W1331" s="591"/>
    </row>
    <row r="1332" spans="1:23" s="589" customFormat="1" x14ac:dyDescent="0.2">
      <c r="A1332" s="589" t="s">
        <v>56</v>
      </c>
      <c r="B1332" s="589" t="s">
        <v>534</v>
      </c>
      <c r="C1332" s="590" t="s">
        <v>3017</v>
      </c>
      <c r="D1332" s="589" t="s">
        <v>100</v>
      </c>
      <c r="E1332" s="589" t="s">
        <v>104</v>
      </c>
      <c r="F1332" s="589" t="s">
        <v>112</v>
      </c>
      <c r="G1332" s="589" t="s">
        <v>51</v>
      </c>
      <c r="H1332" s="589" t="s">
        <v>242</v>
      </c>
      <c r="I1332" s="589" t="s">
        <v>3215</v>
      </c>
      <c r="J1332" s="589" t="s">
        <v>35</v>
      </c>
      <c r="K1332" s="591">
        <v>25000</v>
      </c>
      <c r="L1332" s="592">
        <f>IF(J1332="TND",1,IF(J1332="EUR",Vertical_Cash_flow!$C$16,IF(J1332="USD",Vertical_Cash_flow!$F$16,0)))</f>
        <v>1</v>
      </c>
      <c r="M1332" s="593">
        <f t="shared" si="84"/>
        <v>25000</v>
      </c>
      <c r="N1332" s="589" t="s">
        <v>251</v>
      </c>
      <c r="O1332" s="594">
        <v>45412</v>
      </c>
      <c r="P1332" s="593">
        <f t="shared" si="85"/>
        <v>-214</v>
      </c>
      <c r="Q1332" s="594">
        <v>45626</v>
      </c>
      <c r="R1332" s="593">
        <f t="shared" ca="1" si="86"/>
        <v>-185</v>
      </c>
      <c r="S1332" s="589" t="str">
        <f>VLOOKUP(Q1332,Mapping!L:M,2,0)</f>
        <v>W49_2024</v>
      </c>
      <c r="T1332" s="589" t="str">
        <f t="shared" ca="1" si="87"/>
        <v>Not Due</v>
      </c>
      <c r="W1332" s="591"/>
    </row>
    <row r="1333" spans="1:23" s="600" customFormat="1" x14ac:dyDescent="0.2">
      <c r="A1333" s="600" t="s">
        <v>56</v>
      </c>
      <c r="B1333" s="600" t="s">
        <v>646</v>
      </c>
      <c r="C1333" s="601" t="s">
        <v>773</v>
      </c>
      <c r="D1333" s="600" t="s">
        <v>100</v>
      </c>
      <c r="E1333" s="600" t="s">
        <v>104</v>
      </c>
      <c r="F1333" s="600" t="s">
        <v>112</v>
      </c>
      <c r="G1333" s="600" t="s">
        <v>52</v>
      </c>
      <c r="H1333" s="600" t="s">
        <v>242</v>
      </c>
      <c r="I1333" s="600" t="s">
        <v>648</v>
      </c>
      <c r="J1333" s="600" t="s">
        <v>35</v>
      </c>
      <c r="K1333" s="602">
        <v>59000</v>
      </c>
      <c r="L1333" s="603">
        <f>IF(J1333="TND",1,IF(J1333="EUR",Vertical_Cash_flow!$C$16,IF(J1333="USD",Vertical_Cash_flow!$F$16,0)))</f>
        <v>1</v>
      </c>
      <c r="M1333" s="604">
        <f t="shared" si="84"/>
        <v>59000</v>
      </c>
      <c r="N1333" s="600" t="s">
        <v>252</v>
      </c>
      <c r="O1333" s="601">
        <v>45439</v>
      </c>
      <c r="P1333" s="604">
        <f t="shared" ref="P1333:P1340" si="88">Q1333-O1333</f>
        <v>4</v>
      </c>
      <c r="Q1333" s="601">
        <v>45443</v>
      </c>
      <c r="R1333" s="604">
        <f t="shared" ref="R1333:R1342" ca="1" si="89">$W$1-Q1333</f>
        <v>-2</v>
      </c>
      <c r="S1333" s="600" t="str">
        <f>VLOOKUP(Q1333,Mapping!L:M,2,0)</f>
        <v>W22_2024</v>
      </c>
      <c r="T1333" s="600" t="str">
        <f ca="1">IF(R1333="","",IF(R1333&lt;0,"Not Due",IF(AND(R1333&gt;=0,R1333&lt;=30),"up to 30 days",IF(AND(R1333&gt;30,R1333&lt;=60),"30-60 days",IF(AND(R1333&gt;60,R1333&lt;=90),"60-90 days",IF(AND(R1333&gt;90,R1333&lt;=120),"90-120 days",IF(AND(R1333&gt;120,R1333&lt;=180),"120-180 days",IF(AND(R1333&gt;180,R1333&lt;=360),"180-360 days",IF(R1333&gt;360,"more than 360 days","ok")))))))))</f>
        <v>Not Due</v>
      </c>
      <c r="W1333" s="599"/>
    </row>
    <row r="1334" spans="1:23" s="600" customFormat="1" x14ac:dyDescent="0.2">
      <c r="A1334" s="600" t="s">
        <v>56</v>
      </c>
      <c r="B1334" s="600" t="s">
        <v>646</v>
      </c>
      <c r="C1334" s="601" t="s">
        <v>773</v>
      </c>
      <c r="D1334" s="600" t="s">
        <v>100</v>
      </c>
      <c r="E1334" s="600" t="s">
        <v>104</v>
      </c>
      <c r="F1334" s="600" t="s">
        <v>112</v>
      </c>
      <c r="G1334" s="600" t="s">
        <v>52</v>
      </c>
      <c r="H1334" s="600" t="s">
        <v>242</v>
      </c>
      <c r="I1334" s="600" t="s">
        <v>649</v>
      </c>
      <c r="J1334" s="600" t="s">
        <v>35</v>
      </c>
      <c r="K1334" s="602">
        <v>10000</v>
      </c>
      <c r="L1334" s="603">
        <f>IF(J1334="TND",1,IF(J1334="EUR",Vertical_Cash_flow!$C$16,IF(J1334="USD",Vertical_Cash_flow!$F$16,0)))</f>
        <v>1</v>
      </c>
      <c r="M1334" s="604">
        <f t="shared" si="84"/>
        <v>10000</v>
      </c>
      <c r="N1334" s="600" t="s">
        <v>252</v>
      </c>
      <c r="O1334" s="601">
        <v>45439</v>
      </c>
      <c r="P1334" s="604">
        <f t="shared" si="88"/>
        <v>4</v>
      </c>
      <c r="Q1334" s="601">
        <v>45443</v>
      </c>
      <c r="R1334" s="604">
        <f t="shared" ca="1" si="89"/>
        <v>-2</v>
      </c>
      <c r="S1334" s="600" t="str">
        <f>VLOOKUP(Q1334,Mapping!L:M,2,0)</f>
        <v>W22_2024</v>
      </c>
      <c r="T1334" s="600" t="s">
        <v>408</v>
      </c>
      <c r="W1334" s="599"/>
    </row>
    <row r="1335" spans="1:23" s="600" customFormat="1" x14ac:dyDescent="0.2">
      <c r="A1335" s="600" t="s">
        <v>56</v>
      </c>
      <c r="B1335" s="600" t="s">
        <v>646</v>
      </c>
      <c r="C1335" s="601" t="s">
        <v>773</v>
      </c>
      <c r="D1335" s="600" t="s">
        <v>100</v>
      </c>
      <c r="E1335" s="600" t="s">
        <v>104</v>
      </c>
      <c r="F1335" s="600" t="s">
        <v>112</v>
      </c>
      <c r="G1335" s="600" t="s">
        <v>52</v>
      </c>
      <c r="H1335" s="600" t="s">
        <v>242</v>
      </c>
      <c r="I1335" s="600" t="s">
        <v>648</v>
      </c>
      <c r="J1335" s="600" t="s">
        <v>35</v>
      </c>
      <c r="K1335" s="602">
        <v>22000</v>
      </c>
      <c r="L1335" s="603">
        <f>IF(J1335="TND",1,IF(J1335="EUR",Vertical_Cash_flow!$C$16,IF(J1335="USD",Vertical_Cash_flow!$F$16,0)))</f>
        <v>1</v>
      </c>
      <c r="M1335" s="604">
        <f t="shared" si="84"/>
        <v>22000</v>
      </c>
      <c r="N1335" s="600" t="s">
        <v>252</v>
      </c>
      <c r="O1335" s="601">
        <v>45446</v>
      </c>
      <c r="P1335" s="604">
        <f t="shared" si="88"/>
        <v>4</v>
      </c>
      <c r="Q1335" s="601">
        <v>45450</v>
      </c>
      <c r="R1335" s="604">
        <f t="shared" ca="1" si="89"/>
        <v>-9</v>
      </c>
      <c r="S1335" s="600" t="str">
        <f>VLOOKUP(Q1335,Mapping!L:M,2,0)</f>
        <v>W23_2024</v>
      </c>
      <c r="T1335" s="600" t="s">
        <v>408</v>
      </c>
      <c r="W1335" s="599"/>
    </row>
    <row r="1336" spans="1:23" s="600" customFormat="1" x14ac:dyDescent="0.2">
      <c r="A1336" s="600" t="s">
        <v>56</v>
      </c>
      <c r="B1336" s="600" t="s">
        <v>646</v>
      </c>
      <c r="C1336" s="601" t="s">
        <v>773</v>
      </c>
      <c r="D1336" s="600" t="s">
        <v>100</v>
      </c>
      <c r="E1336" s="600" t="s">
        <v>104</v>
      </c>
      <c r="F1336" s="600" t="s">
        <v>112</v>
      </c>
      <c r="G1336" s="600" t="s">
        <v>52</v>
      </c>
      <c r="H1336" s="600" t="s">
        <v>242</v>
      </c>
      <c r="I1336" s="600" t="s">
        <v>649</v>
      </c>
      <c r="J1336" s="600" t="s">
        <v>35</v>
      </c>
      <c r="K1336" s="602">
        <v>4000</v>
      </c>
      <c r="L1336" s="603">
        <f>IF(J1336="TND",1,IF(J1336="EUR",Vertical_Cash_flow!$C$16,IF(J1336="USD",Vertical_Cash_flow!$F$16,0)))</f>
        <v>1</v>
      </c>
      <c r="M1336" s="604">
        <f t="shared" si="84"/>
        <v>4000</v>
      </c>
      <c r="N1336" s="600" t="s">
        <v>252</v>
      </c>
      <c r="O1336" s="601">
        <v>45446</v>
      </c>
      <c r="P1336" s="604">
        <f t="shared" si="88"/>
        <v>4</v>
      </c>
      <c r="Q1336" s="601">
        <v>45450</v>
      </c>
      <c r="R1336" s="604">
        <f t="shared" ca="1" si="89"/>
        <v>-9</v>
      </c>
      <c r="S1336" s="600" t="str">
        <f>VLOOKUP(Q1336,Mapping!L:M,2,0)</f>
        <v>W23_2024</v>
      </c>
      <c r="T1336" s="600" t="str">
        <f t="shared" ref="T1336:T1342" ca="1" si="90">IF(R1336="","",IF(R1336&lt;0,"Not Due",IF(AND(R1336&gt;=0,R1336&lt;=30),"up to 30 days",IF(AND(R1336&gt;30,R1336&lt;=60),"30-60 days",IF(AND(R1336&gt;60,R1336&lt;=90),"60-90 days",IF(AND(R1336&gt;90,R1336&lt;=120),"90-120 days",IF(AND(R1336&gt;120,R1336&lt;=180),"120-180 days",IF(AND(R1336&gt;180,R1336&lt;=360),"180-360 days",IF(R1336&gt;360,"more than 360 days","ok")))))))))</f>
        <v>Not Due</v>
      </c>
      <c r="W1336" s="599"/>
    </row>
    <row r="1337" spans="1:23" s="600" customFormat="1" x14ac:dyDescent="0.2">
      <c r="A1337" s="600" t="s">
        <v>56</v>
      </c>
      <c r="B1337" s="600" t="s">
        <v>646</v>
      </c>
      <c r="C1337" s="601" t="s">
        <v>773</v>
      </c>
      <c r="D1337" s="600" t="s">
        <v>100</v>
      </c>
      <c r="E1337" s="600" t="s">
        <v>104</v>
      </c>
      <c r="F1337" s="600" t="s">
        <v>112</v>
      </c>
      <c r="G1337" s="600" t="s">
        <v>52</v>
      </c>
      <c r="H1337" s="600" t="s">
        <v>242</v>
      </c>
      <c r="I1337" s="600" t="s">
        <v>648</v>
      </c>
      <c r="J1337" s="600" t="s">
        <v>35</v>
      </c>
      <c r="K1337" s="602">
        <v>54000</v>
      </c>
      <c r="L1337" s="603">
        <f>IF(J1337="TND",1,IF(J1337="EUR",Vertical_Cash_flow!$C$16,IF(J1337="USD",Vertical_Cash_flow!$F$16,0)))</f>
        <v>1</v>
      </c>
      <c r="M1337" s="604">
        <f t="shared" si="84"/>
        <v>54000</v>
      </c>
      <c r="N1337" s="600" t="s">
        <v>252</v>
      </c>
      <c r="O1337" s="601">
        <v>45453</v>
      </c>
      <c r="P1337" s="604">
        <f t="shared" si="88"/>
        <v>4</v>
      </c>
      <c r="Q1337" s="601">
        <v>45457</v>
      </c>
      <c r="R1337" s="604">
        <f t="shared" ca="1" si="89"/>
        <v>-16</v>
      </c>
      <c r="S1337" s="600" t="str">
        <f>VLOOKUP(Q1337,Mapping!L:M,2,0)</f>
        <v>W24_2024</v>
      </c>
      <c r="T1337" s="600" t="str">
        <f t="shared" ca="1" si="90"/>
        <v>Not Due</v>
      </c>
      <c r="W1337" s="599"/>
    </row>
    <row r="1338" spans="1:23" s="600" customFormat="1" x14ac:dyDescent="0.2">
      <c r="A1338" s="600" t="s">
        <v>56</v>
      </c>
      <c r="B1338" s="600" t="s">
        <v>646</v>
      </c>
      <c r="C1338" s="601" t="s">
        <v>773</v>
      </c>
      <c r="D1338" s="600" t="s">
        <v>100</v>
      </c>
      <c r="E1338" s="600" t="s">
        <v>104</v>
      </c>
      <c r="F1338" s="600" t="s">
        <v>112</v>
      </c>
      <c r="G1338" s="600" t="s">
        <v>52</v>
      </c>
      <c r="H1338" s="600" t="s">
        <v>242</v>
      </c>
      <c r="I1338" s="600" t="s">
        <v>649</v>
      </c>
      <c r="J1338" s="600" t="s">
        <v>35</v>
      </c>
      <c r="K1338" s="602">
        <v>36000</v>
      </c>
      <c r="L1338" s="603">
        <f>IF(J1338="TND",1,IF(J1338="EUR",Vertical_Cash_flow!$C$16,IF(J1338="USD",Vertical_Cash_flow!$F$16,0)))</f>
        <v>1</v>
      </c>
      <c r="M1338" s="604">
        <f t="shared" si="84"/>
        <v>36000</v>
      </c>
      <c r="N1338" s="600" t="s">
        <v>252</v>
      </c>
      <c r="O1338" s="601">
        <v>45453</v>
      </c>
      <c r="P1338" s="604">
        <f t="shared" si="88"/>
        <v>4</v>
      </c>
      <c r="Q1338" s="601">
        <v>45457</v>
      </c>
      <c r="R1338" s="604">
        <f t="shared" ca="1" si="89"/>
        <v>-16</v>
      </c>
      <c r="S1338" s="600" t="str">
        <f>VLOOKUP(Q1338,Mapping!L:M,2,0)</f>
        <v>W24_2024</v>
      </c>
      <c r="T1338" s="600" t="str">
        <f t="shared" ca="1" si="90"/>
        <v>Not Due</v>
      </c>
      <c r="W1338" s="599"/>
    </row>
    <row r="1339" spans="1:23" s="600" customFormat="1" x14ac:dyDescent="0.2">
      <c r="A1339" s="600" t="s">
        <v>56</v>
      </c>
      <c r="B1339" s="600" t="s">
        <v>646</v>
      </c>
      <c r="C1339" s="601" t="s">
        <v>773</v>
      </c>
      <c r="D1339" s="600" t="s">
        <v>100</v>
      </c>
      <c r="E1339" s="600" t="s">
        <v>104</v>
      </c>
      <c r="F1339" s="600" t="s">
        <v>112</v>
      </c>
      <c r="G1339" s="600" t="s">
        <v>52</v>
      </c>
      <c r="H1339" s="600" t="s">
        <v>242</v>
      </c>
      <c r="I1339" s="600" t="s">
        <v>648</v>
      </c>
      <c r="J1339" s="600" t="s">
        <v>35</v>
      </c>
      <c r="K1339" s="602">
        <v>50000</v>
      </c>
      <c r="L1339" s="603">
        <f>IF(J1339="TND",1,IF(J1339="EUR",Vertical_Cash_flow!$C$16,IF(J1339="USD",Vertical_Cash_flow!$F$16,0)))</f>
        <v>1</v>
      </c>
      <c r="M1339" s="604">
        <f t="shared" si="84"/>
        <v>50000</v>
      </c>
      <c r="N1339" s="600" t="s">
        <v>252</v>
      </c>
      <c r="O1339" s="601">
        <v>45460</v>
      </c>
      <c r="P1339" s="604">
        <f t="shared" si="88"/>
        <v>4</v>
      </c>
      <c r="Q1339" s="601">
        <v>45464</v>
      </c>
      <c r="R1339" s="604">
        <f t="shared" ca="1" si="89"/>
        <v>-23</v>
      </c>
      <c r="S1339" s="600" t="str">
        <f>VLOOKUP(Q1339,Mapping!L:M,2,0)</f>
        <v>W25_2024</v>
      </c>
      <c r="T1339" s="600" t="str">
        <f t="shared" ca="1" si="90"/>
        <v>Not Due</v>
      </c>
      <c r="W1339" s="599"/>
    </row>
    <row r="1340" spans="1:23" s="600" customFormat="1" x14ac:dyDescent="0.2">
      <c r="A1340" s="600" t="s">
        <v>56</v>
      </c>
      <c r="B1340" s="600" t="s">
        <v>646</v>
      </c>
      <c r="C1340" s="601" t="s">
        <v>773</v>
      </c>
      <c r="D1340" s="600" t="s">
        <v>100</v>
      </c>
      <c r="E1340" s="600" t="s">
        <v>104</v>
      </c>
      <c r="F1340" s="600" t="s">
        <v>112</v>
      </c>
      <c r="G1340" s="600" t="s">
        <v>52</v>
      </c>
      <c r="H1340" s="600" t="s">
        <v>242</v>
      </c>
      <c r="I1340" s="600" t="s">
        <v>649</v>
      </c>
      <c r="J1340" s="600" t="s">
        <v>35</v>
      </c>
      <c r="K1340" s="602">
        <v>30000</v>
      </c>
      <c r="L1340" s="603">
        <f>IF(J1340="TND",1,IF(J1340="EUR",Vertical_Cash_flow!$C$16,IF(J1340="USD",Vertical_Cash_flow!$F$16,0)))</f>
        <v>1</v>
      </c>
      <c r="M1340" s="604">
        <f t="shared" si="84"/>
        <v>30000</v>
      </c>
      <c r="N1340" s="600" t="s">
        <v>252</v>
      </c>
      <c r="O1340" s="601">
        <v>45460</v>
      </c>
      <c r="P1340" s="604">
        <f t="shared" si="88"/>
        <v>4</v>
      </c>
      <c r="Q1340" s="601">
        <v>45464</v>
      </c>
      <c r="R1340" s="604">
        <f t="shared" ca="1" si="89"/>
        <v>-23</v>
      </c>
      <c r="S1340" s="600" t="str">
        <f>VLOOKUP(Q1340,Mapping!L:M,2,0)</f>
        <v>W25_2024</v>
      </c>
      <c r="T1340" s="600" t="str">
        <f t="shared" ca="1" si="90"/>
        <v>Not Due</v>
      </c>
      <c r="W1340" s="599"/>
    </row>
    <row r="1341" spans="1:23" s="600" customFormat="1" x14ac:dyDescent="0.2">
      <c r="A1341" s="600" t="s">
        <v>56</v>
      </c>
      <c r="B1341" s="600" t="s">
        <v>646</v>
      </c>
      <c r="C1341" s="601" t="s">
        <v>773</v>
      </c>
      <c r="D1341" s="600" t="s">
        <v>100</v>
      </c>
      <c r="E1341" s="600" t="s">
        <v>104</v>
      </c>
      <c r="F1341" s="600" t="s">
        <v>112</v>
      </c>
      <c r="G1341" s="600" t="s">
        <v>52</v>
      </c>
      <c r="H1341" s="600" t="s">
        <v>242</v>
      </c>
      <c r="I1341" s="600" t="s">
        <v>648</v>
      </c>
      <c r="J1341" s="600" t="s">
        <v>35</v>
      </c>
      <c r="K1341" s="602">
        <v>35000</v>
      </c>
      <c r="L1341" s="603">
        <f>IF(J1341="TND",1,IF(J1341="EUR",Vertical_Cash_flow!$C$16,IF(J1341="USD",Vertical_Cash_flow!$F$16,0)))</f>
        <v>1</v>
      </c>
      <c r="M1341" s="604">
        <f>K1341/L1341</f>
        <v>35000</v>
      </c>
      <c r="N1341" s="600" t="s">
        <v>252</v>
      </c>
      <c r="O1341" s="601">
        <v>45467</v>
      </c>
      <c r="P1341" s="604">
        <f>Q1341-O1341</f>
        <v>4</v>
      </c>
      <c r="Q1341" s="601">
        <v>45471</v>
      </c>
      <c r="R1341" s="604">
        <f t="shared" ca="1" si="89"/>
        <v>-30</v>
      </c>
      <c r="S1341" s="600" t="str">
        <f>VLOOKUP(Q1341,Mapping!L:M,2,0)</f>
        <v>W26_2024</v>
      </c>
      <c r="T1341" s="600" t="str">
        <f t="shared" ca="1" si="90"/>
        <v>Not Due</v>
      </c>
      <c r="W1341" s="599"/>
    </row>
    <row r="1342" spans="1:23" s="600" customFormat="1" x14ac:dyDescent="0.2">
      <c r="A1342" s="600" t="s">
        <v>56</v>
      </c>
      <c r="B1342" s="600" t="s">
        <v>646</v>
      </c>
      <c r="C1342" s="601" t="s">
        <v>773</v>
      </c>
      <c r="D1342" s="600" t="s">
        <v>100</v>
      </c>
      <c r="E1342" s="600" t="s">
        <v>104</v>
      </c>
      <c r="F1342" s="600" t="s">
        <v>112</v>
      </c>
      <c r="G1342" s="600" t="s">
        <v>52</v>
      </c>
      <c r="H1342" s="600" t="s">
        <v>242</v>
      </c>
      <c r="I1342" s="600" t="s">
        <v>649</v>
      </c>
      <c r="J1342" s="600" t="s">
        <v>35</v>
      </c>
      <c r="K1342" s="602">
        <v>75000</v>
      </c>
      <c r="L1342" s="603">
        <f>IF(J1342="TND",1,IF(J1342="EUR",Vertical_Cash_flow!$C$16,IF(J1342="USD",Vertical_Cash_flow!$F$16,0)))</f>
        <v>1</v>
      </c>
      <c r="M1342" s="604">
        <f>K1342/L1342</f>
        <v>75000</v>
      </c>
      <c r="N1342" s="600" t="s">
        <v>252</v>
      </c>
      <c r="O1342" s="601">
        <v>45467</v>
      </c>
      <c r="P1342" s="604">
        <f>Q1342-O1342</f>
        <v>4</v>
      </c>
      <c r="Q1342" s="601">
        <v>45471</v>
      </c>
      <c r="R1342" s="604">
        <f t="shared" ca="1" si="89"/>
        <v>-30</v>
      </c>
      <c r="S1342" s="600" t="str">
        <f>VLOOKUP(Q1342,Mapping!L:M,2,0)</f>
        <v>W26_2024</v>
      </c>
      <c r="T1342" s="600" t="str">
        <f t="shared" ca="1" si="90"/>
        <v>Not Due</v>
      </c>
      <c r="W1342" s="599"/>
    </row>
    <row r="1343" spans="1:23" s="600" customFormat="1" x14ac:dyDescent="0.2">
      <c r="A1343" s="600" t="s">
        <v>56</v>
      </c>
      <c r="B1343" s="600" t="s">
        <v>646</v>
      </c>
      <c r="C1343" s="601" t="s">
        <v>773</v>
      </c>
      <c r="D1343" s="600" t="s">
        <v>100</v>
      </c>
      <c r="E1343" s="600" t="s">
        <v>104</v>
      </c>
      <c r="F1343" s="600" t="s">
        <v>112</v>
      </c>
      <c r="G1343" s="600" t="s">
        <v>52</v>
      </c>
      <c r="H1343" s="600" t="s">
        <v>242</v>
      </c>
      <c r="I1343" s="600" t="s">
        <v>648</v>
      </c>
      <c r="J1343" s="600" t="s">
        <v>35</v>
      </c>
      <c r="K1343" s="602">
        <v>35000</v>
      </c>
      <c r="L1343" s="603">
        <f>IF(J1343="TND",1,IF(J1343="EUR",Vertical_Cash_flow!$C$16,IF(J1343="USD",Vertical_Cash_flow!$F$16,0)))</f>
        <v>1</v>
      </c>
      <c r="M1343" s="604">
        <f t="shared" ref="M1343:M1344" si="91">K1343/L1343</f>
        <v>35000</v>
      </c>
      <c r="N1343" s="600" t="s">
        <v>252</v>
      </c>
      <c r="O1343" s="601">
        <v>45474</v>
      </c>
      <c r="P1343" s="604">
        <f t="shared" ref="P1343:P1344" si="92">Q1343-O1343</f>
        <v>4</v>
      </c>
      <c r="Q1343" s="601">
        <v>45478</v>
      </c>
      <c r="R1343" s="604">
        <f t="shared" ref="R1343:R1347" ca="1" si="93">$W$1-Q1343</f>
        <v>-37</v>
      </c>
      <c r="S1343" s="600" t="str">
        <f>VLOOKUP(Q1343,Mapping!L:M,2,0)</f>
        <v>W27_2024</v>
      </c>
      <c r="T1343" s="600" t="str">
        <f t="shared" ref="T1343:T1347" ca="1" si="94">IF(R1343="","",IF(R1343&lt;0,"Not Due",IF(AND(R1343&gt;=0,R1343&lt;=30),"up to 30 days",IF(AND(R1343&gt;30,R1343&lt;=60),"30-60 days",IF(AND(R1343&gt;60,R1343&lt;=90),"60-90 days",IF(AND(R1343&gt;90,R1343&lt;=120),"90-120 days",IF(AND(R1343&gt;120,R1343&lt;=180),"120-180 days",IF(AND(R1343&gt;180,R1343&lt;=360),"180-360 days",IF(R1343&gt;360,"more than 360 days","ok")))))))))</f>
        <v>Not Due</v>
      </c>
      <c r="W1343" s="599"/>
    </row>
    <row r="1344" spans="1:23" s="600" customFormat="1" x14ac:dyDescent="0.2">
      <c r="A1344" s="600" t="s">
        <v>56</v>
      </c>
      <c r="B1344" s="600" t="s">
        <v>646</v>
      </c>
      <c r="C1344" s="601" t="s">
        <v>773</v>
      </c>
      <c r="D1344" s="600" t="s">
        <v>100</v>
      </c>
      <c r="E1344" s="600" t="s">
        <v>104</v>
      </c>
      <c r="F1344" s="600" t="s">
        <v>112</v>
      </c>
      <c r="G1344" s="600" t="s">
        <v>52</v>
      </c>
      <c r="H1344" s="600" t="s">
        <v>242</v>
      </c>
      <c r="I1344" s="600" t="s">
        <v>649</v>
      </c>
      <c r="J1344" s="600" t="s">
        <v>35</v>
      </c>
      <c r="K1344" s="602">
        <v>5000</v>
      </c>
      <c r="L1344" s="603">
        <f>IF(J1344="TND",1,IF(J1344="EUR",Vertical_Cash_flow!$C$16,IF(J1344="USD",Vertical_Cash_flow!$F$16,0)))</f>
        <v>1</v>
      </c>
      <c r="M1344" s="604">
        <f t="shared" si="91"/>
        <v>5000</v>
      </c>
      <c r="N1344" s="600" t="s">
        <v>252</v>
      </c>
      <c r="O1344" s="601">
        <v>45474</v>
      </c>
      <c r="P1344" s="604">
        <f t="shared" si="92"/>
        <v>4</v>
      </c>
      <c r="Q1344" s="601">
        <v>45478</v>
      </c>
      <c r="R1344" s="604">
        <f t="shared" ca="1" si="93"/>
        <v>-37</v>
      </c>
      <c r="S1344" s="600" t="str">
        <f>VLOOKUP(Q1344,Mapping!L:M,2,0)</f>
        <v>W27_2024</v>
      </c>
      <c r="T1344" s="600" t="str">
        <f t="shared" ca="1" si="94"/>
        <v>Not Due</v>
      </c>
      <c r="W1344" s="599"/>
    </row>
    <row r="1345" spans="1:23" s="600" customFormat="1" x14ac:dyDescent="0.2">
      <c r="A1345" s="600" t="s">
        <v>56</v>
      </c>
      <c r="B1345" s="600" t="s">
        <v>646</v>
      </c>
      <c r="C1345" s="601" t="s">
        <v>773</v>
      </c>
      <c r="D1345" s="600" t="s">
        <v>100</v>
      </c>
      <c r="E1345" s="600" t="s">
        <v>104</v>
      </c>
      <c r="F1345" s="600" t="s">
        <v>112</v>
      </c>
      <c r="G1345" s="600" t="s">
        <v>52</v>
      </c>
      <c r="H1345" s="600" t="s">
        <v>242</v>
      </c>
      <c r="I1345" s="600" t="s">
        <v>648</v>
      </c>
      <c r="J1345" s="600" t="s">
        <v>35</v>
      </c>
      <c r="K1345" s="602">
        <v>45000</v>
      </c>
      <c r="L1345" s="603">
        <f>IF(J1345="TND",1,IF(J1345="EUR",Vertical_Cash_flow!$C$16,IF(J1345="USD",Vertical_Cash_flow!$F$16,0)))</f>
        <v>1</v>
      </c>
      <c r="M1345" s="604">
        <f>K1345/L1345</f>
        <v>45000</v>
      </c>
      <c r="N1345" s="600" t="s">
        <v>252</v>
      </c>
      <c r="O1345" s="601">
        <v>45481</v>
      </c>
      <c r="P1345" s="604">
        <f>Q1345-O1345</f>
        <v>4</v>
      </c>
      <c r="Q1345" s="601">
        <v>45485</v>
      </c>
      <c r="R1345" s="604">
        <f ca="1">$W$1-Q1345</f>
        <v>-44</v>
      </c>
      <c r="S1345" s="600" t="str">
        <f>VLOOKUP(Q1345,Mapping!L:M,2,0)</f>
        <v>W28_2024</v>
      </c>
      <c r="T1345" s="600" t="str">
        <f t="shared" ref="T1345:T1346" ca="1" si="95">IF(R1345="","",IF(R1345&lt;0,"Not Due",IF(AND(R1345&gt;=0,R1345&lt;=30),"up to 30 days",IF(AND(R1345&gt;30,R1345&lt;=60),"30-60 days",IF(AND(R1345&gt;60,R1345&lt;=90),"60-90 days",IF(AND(R1345&gt;90,R1345&lt;=120),"90-120 days",IF(AND(R1345&gt;120,R1345&lt;=180),"120-180 days",IF(AND(R1345&gt;180,R1345&lt;=360),"180-360 days",IF(R1345&gt;360,"more than 360 days","ok")))))))))</f>
        <v>Not Due</v>
      </c>
      <c r="W1345" s="599"/>
    </row>
    <row r="1346" spans="1:23" s="600" customFormat="1" x14ac:dyDescent="0.2">
      <c r="A1346" s="600" t="s">
        <v>56</v>
      </c>
      <c r="B1346" s="600" t="s">
        <v>646</v>
      </c>
      <c r="C1346" s="601" t="s">
        <v>773</v>
      </c>
      <c r="D1346" s="600" t="s">
        <v>100</v>
      </c>
      <c r="E1346" s="600" t="s">
        <v>104</v>
      </c>
      <c r="F1346" s="600" t="s">
        <v>112</v>
      </c>
      <c r="G1346" s="600" t="s">
        <v>52</v>
      </c>
      <c r="H1346" s="600" t="s">
        <v>242</v>
      </c>
      <c r="I1346" s="600" t="s">
        <v>649</v>
      </c>
      <c r="J1346" s="600" t="s">
        <v>35</v>
      </c>
      <c r="K1346" s="602">
        <v>15000</v>
      </c>
      <c r="L1346" s="603">
        <f>IF(J1346="TND",1,IF(J1346="EUR",Vertical_Cash_flow!$C$16,IF(J1346="USD",Vertical_Cash_flow!$F$16,0)))</f>
        <v>1</v>
      </c>
      <c r="M1346" s="604">
        <f>K1346/L1346</f>
        <v>15000</v>
      </c>
      <c r="N1346" s="600" t="s">
        <v>252</v>
      </c>
      <c r="O1346" s="601">
        <v>45481</v>
      </c>
      <c r="P1346" s="604">
        <f>Q1346-O1346</f>
        <v>4</v>
      </c>
      <c r="Q1346" s="601">
        <v>45485</v>
      </c>
      <c r="R1346" s="604">
        <f ca="1">$W$1-Q1346</f>
        <v>-44</v>
      </c>
      <c r="S1346" s="600" t="str">
        <f>VLOOKUP(Q1346,Mapping!L:M,2,0)</f>
        <v>W28_2024</v>
      </c>
      <c r="T1346" s="600" t="str">
        <f t="shared" ca="1" si="95"/>
        <v>Not Due</v>
      </c>
      <c r="W1346" s="599"/>
    </row>
    <row r="1347" spans="1:23" s="589" customFormat="1" x14ac:dyDescent="0.2">
      <c r="A1347" s="589" t="s">
        <v>56</v>
      </c>
      <c r="B1347" s="595" t="s">
        <v>3736</v>
      </c>
      <c r="C1347" s="596" t="s">
        <v>3751</v>
      </c>
      <c r="D1347" s="589" t="s">
        <v>100</v>
      </c>
      <c r="E1347" s="589" t="s">
        <v>105</v>
      </c>
      <c r="F1347" s="589" t="s">
        <v>112</v>
      </c>
      <c r="G1347" s="589" t="s">
        <v>48</v>
      </c>
      <c r="H1347" s="589" t="s">
        <v>242</v>
      </c>
      <c r="I1347" s="598">
        <v>45488</v>
      </c>
      <c r="J1347" s="589" t="s">
        <v>35</v>
      </c>
      <c r="K1347" s="597">
        <v>2745.8159999999998</v>
      </c>
      <c r="L1347" s="592">
        <f>IF(J1347="TND",1,IF(J1347="EUR",Vertical_Cash_flow!$C$16,IF(J1347="USD",Vertical_Cash_flow!$F$16,0)))</f>
        <v>1</v>
      </c>
      <c r="M1347" s="593">
        <f>K1347/L1347</f>
        <v>2745.8159999999998</v>
      </c>
      <c r="N1347" s="589" t="s">
        <v>251</v>
      </c>
      <c r="O1347" s="594">
        <v>45432</v>
      </c>
      <c r="P1347" s="593">
        <f t="shared" ref="P1347" si="96">Q1347-O1347</f>
        <v>4</v>
      </c>
      <c r="Q1347" s="594">
        <v>45436</v>
      </c>
      <c r="R1347" s="593">
        <f t="shared" ca="1" si="93"/>
        <v>5</v>
      </c>
      <c r="S1347" s="589" t="str">
        <f>VLOOKUP(Q1347,Mapping!L:M,2,0)</f>
        <v>W21_2024</v>
      </c>
      <c r="T1347" s="589" t="str">
        <f t="shared" ca="1" si="94"/>
        <v>up to 30 days</v>
      </c>
      <c r="W1347" s="591"/>
    </row>
    <row r="1348" spans="1:23" s="589" customFormat="1" x14ac:dyDescent="0.2">
      <c r="A1348" s="589" t="s">
        <v>56</v>
      </c>
      <c r="B1348" s="595" t="s">
        <v>3735</v>
      </c>
      <c r="C1348" s="596" t="s">
        <v>3750</v>
      </c>
      <c r="D1348" s="589" t="s">
        <v>100</v>
      </c>
      <c r="E1348" s="589" t="s">
        <v>105</v>
      </c>
      <c r="F1348" s="589" t="s">
        <v>112</v>
      </c>
      <c r="G1348" s="589" t="s">
        <v>48</v>
      </c>
      <c r="H1348" s="589" t="s">
        <v>242</v>
      </c>
      <c r="I1348" s="598">
        <v>45503</v>
      </c>
      <c r="J1348" s="589" t="s">
        <v>35</v>
      </c>
      <c r="K1348" s="597">
        <v>4733.5060000000003</v>
      </c>
      <c r="L1348" s="592">
        <f>IF(J1348="TND",1,IF(J1348="EUR",Vertical_Cash_flow!$C$16,IF(J1348="USD",Vertical_Cash_flow!$F$16,0)))</f>
        <v>1</v>
      </c>
      <c r="M1348" s="593">
        <f t="shared" ref="M1348:M1361" si="97">K1348/L1348</f>
        <v>4733.5060000000003</v>
      </c>
      <c r="N1348" s="589" t="s">
        <v>251</v>
      </c>
      <c r="O1348" s="594">
        <v>45432</v>
      </c>
      <c r="P1348" s="593">
        <f t="shared" ref="P1348:P1366" si="98">Q1348-O1348</f>
        <v>4</v>
      </c>
      <c r="Q1348" s="594">
        <v>45436</v>
      </c>
      <c r="R1348" s="593">
        <f t="shared" ref="R1348:R1361" ca="1" si="99">$W$1-Q1348</f>
        <v>5</v>
      </c>
      <c r="S1348" s="589" t="str">
        <f>VLOOKUP(Q1348,Mapping!L:M,2,0)</f>
        <v>W21_2024</v>
      </c>
      <c r="T1348" s="589" t="str">
        <f t="shared" ref="T1348:T1361" ca="1" si="100">IF(R1348="","",IF(R1348&lt;0,"Not Due",IF(AND(R1348&gt;=0,R1348&lt;=30),"up to 30 days",IF(AND(R1348&gt;30,R1348&lt;=60),"30-60 days",IF(AND(R1348&gt;60,R1348&lt;=90),"60-90 days",IF(AND(R1348&gt;90,R1348&lt;=120),"90-120 days",IF(AND(R1348&gt;120,R1348&lt;=180),"120-180 days",IF(AND(R1348&gt;180,R1348&lt;=360),"180-360 days",IF(R1348&gt;360,"more than 360 days","ok")))))))))</f>
        <v>up to 30 days</v>
      </c>
      <c r="W1348" s="591"/>
    </row>
    <row r="1349" spans="1:23" s="589" customFormat="1" x14ac:dyDescent="0.2">
      <c r="A1349" s="589" t="s">
        <v>56</v>
      </c>
      <c r="B1349" s="595" t="s">
        <v>3734</v>
      </c>
      <c r="C1349" s="596" t="s">
        <v>3749</v>
      </c>
      <c r="D1349" s="589" t="s">
        <v>100</v>
      </c>
      <c r="E1349" s="589" t="s">
        <v>105</v>
      </c>
      <c r="F1349" s="589" t="s">
        <v>112</v>
      </c>
      <c r="G1349" s="589" t="s">
        <v>48</v>
      </c>
      <c r="H1349" s="589" t="s">
        <v>242</v>
      </c>
      <c r="I1349" s="598">
        <v>45503</v>
      </c>
      <c r="J1349" s="589" t="s">
        <v>35</v>
      </c>
      <c r="K1349" s="597">
        <v>2296.047</v>
      </c>
      <c r="L1349" s="592">
        <f>IF(J1349="TND",1,IF(J1349="EUR",Vertical_Cash_flow!$C$16,IF(J1349="USD",Vertical_Cash_flow!$F$16,0)))</f>
        <v>1</v>
      </c>
      <c r="M1349" s="593">
        <f t="shared" si="97"/>
        <v>2296.047</v>
      </c>
      <c r="N1349" s="589" t="s">
        <v>251</v>
      </c>
      <c r="O1349" s="594">
        <v>45432</v>
      </c>
      <c r="P1349" s="593">
        <f t="shared" si="98"/>
        <v>4</v>
      </c>
      <c r="Q1349" s="594">
        <v>45436</v>
      </c>
      <c r="R1349" s="593">
        <f t="shared" ca="1" si="99"/>
        <v>5</v>
      </c>
      <c r="S1349" s="589" t="str">
        <f>VLOOKUP(Q1349,Mapping!L:M,2,0)</f>
        <v>W21_2024</v>
      </c>
      <c r="T1349" s="589" t="str">
        <f t="shared" ca="1" si="100"/>
        <v>up to 30 days</v>
      </c>
      <c r="W1349" s="591"/>
    </row>
    <row r="1350" spans="1:23" s="589" customFormat="1" x14ac:dyDescent="0.2">
      <c r="A1350" s="589" t="s">
        <v>56</v>
      </c>
      <c r="B1350" s="595" t="s">
        <v>3733</v>
      </c>
      <c r="C1350" s="596" t="s">
        <v>3748</v>
      </c>
      <c r="D1350" s="589" t="s">
        <v>100</v>
      </c>
      <c r="E1350" s="589" t="s">
        <v>105</v>
      </c>
      <c r="F1350" s="589" t="s">
        <v>112</v>
      </c>
      <c r="G1350" s="589" t="s">
        <v>48</v>
      </c>
      <c r="H1350" s="589" t="s">
        <v>242</v>
      </c>
      <c r="I1350" s="598">
        <v>45534</v>
      </c>
      <c r="J1350" s="589" t="s">
        <v>35</v>
      </c>
      <c r="K1350" s="597">
        <v>6051.9269999999997</v>
      </c>
      <c r="L1350" s="592">
        <f>IF(J1350="TND",1,IF(J1350="EUR",Vertical_Cash_flow!$C$16,IF(J1350="USD",Vertical_Cash_flow!$F$16,0)))</f>
        <v>1</v>
      </c>
      <c r="M1350" s="593">
        <f t="shared" si="97"/>
        <v>6051.9269999999997</v>
      </c>
      <c r="N1350" s="589" t="s">
        <v>251</v>
      </c>
      <c r="O1350" s="594">
        <v>45432</v>
      </c>
      <c r="P1350" s="593">
        <f t="shared" si="98"/>
        <v>4</v>
      </c>
      <c r="Q1350" s="594">
        <v>45436</v>
      </c>
      <c r="R1350" s="593">
        <f t="shared" ca="1" si="99"/>
        <v>5</v>
      </c>
      <c r="S1350" s="589" t="str">
        <f>VLOOKUP(Q1350,Mapping!L:M,2,0)</f>
        <v>W21_2024</v>
      </c>
      <c r="T1350" s="589" t="str">
        <f t="shared" ca="1" si="100"/>
        <v>up to 30 days</v>
      </c>
      <c r="W1350" s="591"/>
    </row>
    <row r="1351" spans="1:23" s="589" customFormat="1" x14ac:dyDescent="0.2">
      <c r="A1351" s="589" t="s">
        <v>56</v>
      </c>
      <c r="B1351" s="595" t="s">
        <v>3731</v>
      </c>
      <c r="C1351" s="596" t="s">
        <v>3747</v>
      </c>
      <c r="D1351" s="589" t="s">
        <v>100</v>
      </c>
      <c r="E1351" s="589" t="s">
        <v>105</v>
      </c>
      <c r="F1351" s="589" t="s">
        <v>112</v>
      </c>
      <c r="G1351" s="589" t="s">
        <v>48</v>
      </c>
      <c r="H1351" s="589" t="s">
        <v>242</v>
      </c>
      <c r="I1351" s="598">
        <v>45575</v>
      </c>
      <c r="J1351" s="589" t="s">
        <v>35</v>
      </c>
      <c r="K1351" s="597">
        <v>2500</v>
      </c>
      <c r="L1351" s="592">
        <f>IF(J1351="TND",1,IF(J1351="EUR",Vertical_Cash_flow!$C$16,IF(J1351="USD",Vertical_Cash_flow!$F$16,0)))</f>
        <v>1</v>
      </c>
      <c r="M1351" s="593">
        <f t="shared" si="97"/>
        <v>2500</v>
      </c>
      <c r="N1351" s="589" t="s">
        <v>251</v>
      </c>
      <c r="O1351" s="594">
        <v>45432</v>
      </c>
      <c r="P1351" s="593">
        <f t="shared" si="98"/>
        <v>4</v>
      </c>
      <c r="Q1351" s="594">
        <v>45436</v>
      </c>
      <c r="R1351" s="593">
        <f t="shared" ca="1" si="99"/>
        <v>5</v>
      </c>
      <c r="S1351" s="589" t="str">
        <f>VLOOKUP(Q1351,Mapping!L:M,2,0)</f>
        <v>W21_2024</v>
      </c>
      <c r="T1351" s="589" t="str">
        <f t="shared" ca="1" si="100"/>
        <v>up to 30 days</v>
      </c>
      <c r="W1351" s="591"/>
    </row>
    <row r="1352" spans="1:23" s="589" customFormat="1" x14ac:dyDescent="0.2">
      <c r="A1352" s="589" t="s">
        <v>56</v>
      </c>
      <c r="B1352" s="595" t="s">
        <v>3730</v>
      </c>
      <c r="C1352" s="596" t="s">
        <v>3746</v>
      </c>
      <c r="D1352" s="589" t="s">
        <v>100</v>
      </c>
      <c r="E1352" s="589" t="s">
        <v>105</v>
      </c>
      <c r="F1352" s="589" t="s">
        <v>112</v>
      </c>
      <c r="G1352" s="589" t="s">
        <v>48</v>
      </c>
      <c r="H1352" s="589" t="s">
        <v>242</v>
      </c>
      <c r="I1352" s="598">
        <v>45577</v>
      </c>
      <c r="J1352" s="589" t="s">
        <v>35</v>
      </c>
      <c r="K1352" s="597">
        <v>955</v>
      </c>
      <c r="L1352" s="592">
        <f>IF(J1352="TND",1,IF(J1352="EUR",Vertical_Cash_flow!$C$16,IF(J1352="USD",Vertical_Cash_flow!$F$16,0)))</f>
        <v>1</v>
      </c>
      <c r="M1352" s="593">
        <f t="shared" si="97"/>
        <v>955</v>
      </c>
      <c r="N1352" s="589" t="s">
        <v>251</v>
      </c>
      <c r="O1352" s="594">
        <v>45432</v>
      </c>
      <c r="P1352" s="593">
        <f t="shared" si="98"/>
        <v>4</v>
      </c>
      <c r="Q1352" s="594">
        <v>45436</v>
      </c>
      <c r="R1352" s="593">
        <f t="shared" ca="1" si="99"/>
        <v>5</v>
      </c>
      <c r="S1352" s="589" t="str">
        <f>VLOOKUP(Q1352,Mapping!L:M,2,0)</f>
        <v>W21_2024</v>
      </c>
      <c r="T1352" s="589" t="str">
        <f t="shared" ca="1" si="100"/>
        <v>up to 30 days</v>
      </c>
      <c r="W1352" s="591"/>
    </row>
    <row r="1353" spans="1:23" s="589" customFormat="1" x14ac:dyDescent="0.2">
      <c r="A1353" s="589" t="s">
        <v>56</v>
      </c>
      <c r="B1353" s="595" t="s">
        <v>3731</v>
      </c>
      <c r="C1353" s="596" t="s">
        <v>3745</v>
      </c>
      <c r="D1353" s="589" t="s">
        <v>100</v>
      </c>
      <c r="E1353" s="589" t="s">
        <v>105</v>
      </c>
      <c r="F1353" s="589" t="s">
        <v>112</v>
      </c>
      <c r="G1353" s="589" t="s">
        <v>48</v>
      </c>
      <c r="H1353" s="589" t="s">
        <v>242</v>
      </c>
      <c r="I1353" s="598">
        <v>45580</v>
      </c>
      <c r="J1353" s="589" t="s">
        <v>35</v>
      </c>
      <c r="K1353" s="597">
        <v>2500</v>
      </c>
      <c r="L1353" s="592">
        <f>IF(J1353="TND",1,IF(J1353="EUR",Vertical_Cash_flow!$C$16,IF(J1353="USD",Vertical_Cash_flow!$F$16,0)))</f>
        <v>1</v>
      </c>
      <c r="M1353" s="593">
        <f t="shared" si="97"/>
        <v>2500</v>
      </c>
      <c r="N1353" s="589" t="s">
        <v>251</v>
      </c>
      <c r="O1353" s="594">
        <v>45432</v>
      </c>
      <c r="P1353" s="593">
        <f t="shared" si="98"/>
        <v>4</v>
      </c>
      <c r="Q1353" s="594">
        <v>45436</v>
      </c>
      <c r="R1353" s="593">
        <f t="shared" ca="1" si="99"/>
        <v>5</v>
      </c>
      <c r="S1353" s="589" t="str">
        <f>VLOOKUP(Q1353,Mapping!L:M,2,0)</f>
        <v>W21_2024</v>
      </c>
      <c r="T1353" s="589" t="str">
        <f t="shared" ca="1" si="100"/>
        <v>up to 30 days</v>
      </c>
      <c r="W1353" s="591"/>
    </row>
    <row r="1354" spans="1:23" s="589" customFormat="1" x14ac:dyDescent="0.2">
      <c r="A1354" s="589" t="s">
        <v>56</v>
      </c>
      <c r="B1354" s="595" t="s">
        <v>3730</v>
      </c>
      <c r="C1354" s="596" t="s">
        <v>3744</v>
      </c>
      <c r="D1354" s="589" t="s">
        <v>100</v>
      </c>
      <c r="E1354" s="589" t="s">
        <v>105</v>
      </c>
      <c r="F1354" s="589" t="s">
        <v>112</v>
      </c>
      <c r="G1354" s="589" t="s">
        <v>48</v>
      </c>
      <c r="H1354" s="589" t="s">
        <v>242</v>
      </c>
      <c r="I1354" s="598">
        <v>45582</v>
      </c>
      <c r="J1354" s="589" t="s">
        <v>35</v>
      </c>
      <c r="K1354" s="597">
        <v>956</v>
      </c>
      <c r="L1354" s="592">
        <f>IF(J1354="TND",1,IF(J1354="EUR",Vertical_Cash_flow!$C$16,IF(J1354="USD",Vertical_Cash_flow!$F$16,0)))</f>
        <v>1</v>
      </c>
      <c r="M1354" s="593">
        <f t="shared" si="97"/>
        <v>956</v>
      </c>
      <c r="N1354" s="589" t="s">
        <v>251</v>
      </c>
      <c r="O1354" s="594">
        <v>45432</v>
      </c>
      <c r="P1354" s="593">
        <f t="shared" si="98"/>
        <v>4</v>
      </c>
      <c r="Q1354" s="594">
        <v>45436</v>
      </c>
      <c r="R1354" s="593">
        <f t="shared" ca="1" si="99"/>
        <v>5</v>
      </c>
      <c r="S1354" s="589" t="str">
        <f>VLOOKUP(Q1354,Mapping!L:M,2,0)</f>
        <v>W21_2024</v>
      </c>
      <c r="T1354" s="589" t="str">
        <f t="shared" ca="1" si="100"/>
        <v>up to 30 days</v>
      </c>
      <c r="W1354" s="591"/>
    </row>
    <row r="1355" spans="1:23" s="589" customFormat="1" x14ac:dyDescent="0.2">
      <c r="A1355" s="589" t="s">
        <v>56</v>
      </c>
      <c r="B1355" s="595" t="s">
        <v>3731</v>
      </c>
      <c r="C1355" s="596" t="s">
        <v>3743</v>
      </c>
      <c r="D1355" s="589" t="s">
        <v>100</v>
      </c>
      <c r="E1355" s="589" t="s">
        <v>105</v>
      </c>
      <c r="F1355" s="589" t="s">
        <v>112</v>
      </c>
      <c r="G1355" s="589" t="s">
        <v>48</v>
      </c>
      <c r="H1355" s="589" t="s">
        <v>242</v>
      </c>
      <c r="I1355" s="598">
        <v>45585</v>
      </c>
      <c r="J1355" s="589" t="s">
        <v>35</v>
      </c>
      <c r="K1355" s="597">
        <v>2500</v>
      </c>
      <c r="L1355" s="592">
        <f>IF(J1355="TND",1,IF(J1355="EUR",Vertical_Cash_flow!$C$16,IF(J1355="USD",Vertical_Cash_flow!$F$16,0)))</f>
        <v>1</v>
      </c>
      <c r="M1355" s="593">
        <f t="shared" si="97"/>
        <v>2500</v>
      </c>
      <c r="N1355" s="589" t="s">
        <v>251</v>
      </c>
      <c r="O1355" s="594">
        <v>45432</v>
      </c>
      <c r="P1355" s="593">
        <f t="shared" si="98"/>
        <v>4</v>
      </c>
      <c r="Q1355" s="594">
        <v>45436</v>
      </c>
      <c r="R1355" s="593">
        <f t="shared" ca="1" si="99"/>
        <v>5</v>
      </c>
      <c r="S1355" s="589" t="str">
        <f>VLOOKUP(Q1355,Mapping!L:M,2,0)</f>
        <v>W21_2024</v>
      </c>
      <c r="T1355" s="589" t="str">
        <f t="shared" ca="1" si="100"/>
        <v>up to 30 days</v>
      </c>
      <c r="W1355" s="591"/>
    </row>
    <row r="1356" spans="1:23" s="589" customFormat="1" x14ac:dyDescent="0.2">
      <c r="A1356" s="589" t="s">
        <v>56</v>
      </c>
      <c r="B1356" s="595" t="s">
        <v>3730</v>
      </c>
      <c r="C1356" s="596" t="s">
        <v>3742</v>
      </c>
      <c r="D1356" s="589" t="s">
        <v>100</v>
      </c>
      <c r="E1356" s="589" t="s">
        <v>105</v>
      </c>
      <c r="F1356" s="589" t="s">
        <v>112</v>
      </c>
      <c r="G1356" s="589" t="s">
        <v>48</v>
      </c>
      <c r="H1356" s="589" t="s">
        <v>242</v>
      </c>
      <c r="I1356" s="598">
        <v>45587</v>
      </c>
      <c r="J1356" s="589" t="s">
        <v>35</v>
      </c>
      <c r="K1356" s="597">
        <v>957</v>
      </c>
      <c r="L1356" s="592">
        <f>IF(J1356="TND",1,IF(J1356="EUR",Vertical_Cash_flow!$C$16,IF(J1356="USD",Vertical_Cash_flow!$F$16,0)))</f>
        <v>1</v>
      </c>
      <c r="M1356" s="593">
        <f t="shared" si="97"/>
        <v>957</v>
      </c>
      <c r="N1356" s="589" t="s">
        <v>251</v>
      </c>
      <c r="O1356" s="594">
        <v>45432</v>
      </c>
      <c r="P1356" s="593">
        <f t="shared" si="98"/>
        <v>4</v>
      </c>
      <c r="Q1356" s="594">
        <v>45436</v>
      </c>
      <c r="R1356" s="593">
        <f t="shared" ca="1" si="99"/>
        <v>5</v>
      </c>
      <c r="S1356" s="589" t="str">
        <f>VLOOKUP(Q1356,Mapping!L:M,2,0)</f>
        <v>W21_2024</v>
      </c>
      <c r="T1356" s="589" t="str">
        <f t="shared" ca="1" si="100"/>
        <v>up to 30 days</v>
      </c>
      <c r="W1356" s="591"/>
    </row>
    <row r="1357" spans="1:23" s="589" customFormat="1" x14ac:dyDescent="0.2">
      <c r="A1357" s="589" t="s">
        <v>56</v>
      </c>
      <c r="B1357" s="595" t="s">
        <v>3731</v>
      </c>
      <c r="C1357" s="596" t="s">
        <v>3741</v>
      </c>
      <c r="D1357" s="589" t="s">
        <v>100</v>
      </c>
      <c r="E1357" s="589" t="s">
        <v>105</v>
      </c>
      <c r="F1357" s="589" t="s">
        <v>112</v>
      </c>
      <c r="G1357" s="589" t="s">
        <v>48</v>
      </c>
      <c r="H1357" s="589" t="s">
        <v>242</v>
      </c>
      <c r="I1357" s="598">
        <v>45590</v>
      </c>
      <c r="J1357" s="589" t="s">
        <v>35</v>
      </c>
      <c r="K1357" s="597">
        <v>2500</v>
      </c>
      <c r="L1357" s="592">
        <f>IF(J1357="TND",1,IF(J1357="EUR",Vertical_Cash_flow!$C$16,IF(J1357="USD",Vertical_Cash_flow!$F$16,0)))</f>
        <v>1</v>
      </c>
      <c r="M1357" s="593">
        <f t="shared" si="97"/>
        <v>2500</v>
      </c>
      <c r="N1357" s="589" t="s">
        <v>251</v>
      </c>
      <c r="O1357" s="594">
        <v>45432</v>
      </c>
      <c r="P1357" s="593">
        <f t="shared" si="98"/>
        <v>4</v>
      </c>
      <c r="Q1357" s="594">
        <v>45436</v>
      </c>
      <c r="R1357" s="593">
        <f t="shared" ca="1" si="99"/>
        <v>5</v>
      </c>
      <c r="S1357" s="589" t="str">
        <f>VLOOKUP(Q1357,Mapping!L:M,2,0)</f>
        <v>W21_2024</v>
      </c>
      <c r="T1357" s="589" t="str">
        <f t="shared" ca="1" si="100"/>
        <v>up to 30 days</v>
      </c>
      <c r="W1357" s="591"/>
    </row>
    <row r="1358" spans="1:23" s="589" customFormat="1" x14ac:dyDescent="0.2">
      <c r="A1358" s="589" t="s">
        <v>56</v>
      </c>
      <c r="B1358" s="595" t="s">
        <v>3730</v>
      </c>
      <c r="C1358" s="596" t="s">
        <v>3740</v>
      </c>
      <c r="D1358" s="589" t="s">
        <v>100</v>
      </c>
      <c r="E1358" s="589" t="s">
        <v>105</v>
      </c>
      <c r="F1358" s="589" t="s">
        <v>112</v>
      </c>
      <c r="G1358" s="589" t="s">
        <v>48</v>
      </c>
      <c r="H1358" s="589" t="s">
        <v>242</v>
      </c>
      <c r="I1358" s="598">
        <v>45592</v>
      </c>
      <c r="J1358" s="589" t="s">
        <v>35</v>
      </c>
      <c r="K1358" s="597">
        <v>958</v>
      </c>
      <c r="L1358" s="592">
        <f>IF(J1358="TND",1,IF(J1358="EUR",Vertical_Cash_flow!$C$16,IF(J1358="USD",Vertical_Cash_flow!$F$16,0)))</f>
        <v>1</v>
      </c>
      <c r="M1358" s="593">
        <f t="shared" si="97"/>
        <v>958</v>
      </c>
      <c r="N1358" s="589" t="s">
        <v>251</v>
      </c>
      <c r="O1358" s="594">
        <v>45432</v>
      </c>
      <c r="P1358" s="593">
        <f t="shared" si="98"/>
        <v>4</v>
      </c>
      <c r="Q1358" s="594">
        <v>45436</v>
      </c>
      <c r="R1358" s="593">
        <f t="shared" ca="1" si="99"/>
        <v>5</v>
      </c>
      <c r="S1358" s="589" t="str">
        <f>VLOOKUP(Q1358,Mapping!L:M,2,0)</f>
        <v>W21_2024</v>
      </c>
      <c r="T1358" s="589" t="str">
        <f t="shared" ca="1" si="100"/>
        <v>up to 30 days</v>
      </c>
      <c r="W1358" s="591"/>
    </row>
    <row r="1359" spans="1:23" s="589" customFormat="1" x14ac:dyDescent="0.2">
      <c r="A1359" s="589" t="s">
        <v>56</v>
      </c>
      <c r="B1359" s="595" t="s">
        <v>3732</v>
      </c>
      <c r="C1359" s="596" t="s">
        <v>3739</v>
      </c>
      <c r="D1359" s="589" t="s">
        <v>100</v>
      </c>
      <c r="E1359" s="589" t="s">
        <v>105</v>
      </c>
      <c r="F1359" s="589" t="s">
        <v>112</v>
      </c>
      <c r="G1359" s="589" t="s">
        <v>48</v>
      </c>
      <c r="H1359" s="589" t="s">
        <v>242</v>
      </c>
      <c r="I1359" s="598">
        <v>45595</v>
      </c>
      <c r="J1359" s="589" t="s">
        <v>35</v>
      </c>
      <c r="K1359" s="597">
        <v>7800.2539999999999</v>
      </c>
      <c r="L1359" s="592">
        <f>IF(J1359="TND",1,IF(J1359="EUR",Vertical_Cash_flow!$C$16,IF(J1359="USD",Vertical_Cash_flow!$F$16,0)))</f>
        <v>1</v>
      </c>
      <c r="M1359" s="593">
        <f t="shared" si="97"/>
        <v>7800.2539999999999</v>
      </c>
      <c r="N1359" s="589" t="s">
        <v>251</v>
      </c>
      <c r="O1359" s="594">
        <v>45432</v>
      </c>
      <c r="P1359" s="593">
        <f t="shared" si="98"/>
        <v>4</v>
      </c>
      <c r="Q1359" s="594">
        <v>45436</v>
      </c>
      <c r="R1359" s="593">
        <f t="shared" ca="1" si="99"/>
        <v>5</v>
      </c>
      <c r="S1359" s="589" t="str">
        <f>VLOOKUP(Q1359,Mapping!L:M,2,0)</f>
        <v>W21_2024</v>
      </c>
      <c r="T1359" s="589" t="str">
        <f t="shared" ca="1" si="100"/>
        <v>up to 30 days</v>
      </c>
      <c r="W1359" s="591"/>
    </row>
    <row r="1360" spans="1:23" s="589" customFormat="1" x14ac:dyDescent="0.2">
      <c r="A1360" s="589" t="s">
        <v>56</v>
      </c>
      <c r="B1360" s="595" t="s">
        <v>3731</v>
      </c>
      <c r="C1360" s="596" t="s">
        <v>3738</v>
      </c>
      <c r="D1360" s="589" t="s">
        <v>100</v>
      </c>
      <c r="E1360" s="589" t="s">
        <v>105</v>
      </c>
      <c r="F1360" s="589" t="s">
        <v>112</v>
      </c>
      <c r="G1360" s="589" t="s">
        <v>48</v>
      </c>
      <c r="H1360" s="589" t="s">
        <v>242</v>
      </c>
      <c r="I1360" s="598">
        <v>45595</v>
      </c>
      <c r="J1360" s="589" t="s">
        <v>35</v>
      </c>
      <c r="K1360" s="597">
        <v>2718.5509999999999</v>
      </c>
      <c r="L1360" s="592">
        <f>IF(J1360="TND",1,IF(J1360="EUR",Vertical_Cash_flow!$C$16,IF(J1360="USD",Vertical_Cash_flow!$F$16,0)))</f>
        <v>1</v>
      </c>
      <c r="M1360" s="593">
        <f t="shared" si="97"/>
        <v>2718.5509999999999</v>
      </c>
      <c r="N1360" s="589" t="s">
        <v>251</v>
      </c>
      <c r="O1360" s="594">
        <v>45432</v>
      </c>
      <c r="P1360" s="593">
        <f t="shared" si="98"/>
        <v>4</v>
      </c>
      <c r="Q1360" s="594">
        <v>45436</v>
      </c>
      <c r="R1360" s="593">
        <f t="shared" ca="1" si="99"/>
        <v>5</v>
      </c>
      <c r="S1360" s="589" t="str">
        <f>VLOOKUP(Q1360,Mapping!L:M,2,0)</f>
        <v>W21_2024</v>
      </c>
      <c r="T1360" s="589" t="str">
        <f t="shared" ca="1" si="100"/>
        <v>up to 30 days</v>
      </c>
      <c r="W1360" s="591"/>
    </row>
    <row r="1361" spans="1:23" s="589" customFormat="1" x14ac:dyDescent="0.2">
      <c r="A1361" s="589" t="s">
        <v>56</v>
      </c>
      <c r="B1361" s="595" t="s">
        <v>3730</v>
      </c>
      <c r="C1361" s="596" t="s">
        <v>3737</v>
      </c>
      <c r="D1361" s="589" t="s">
        <v>100</v>
      </c>
      <c r="E1361" s="589" t="s">
        <v>105</v>
      </c>
      <c r="F1361" s="589" t="s">
        <v>112</v>
      </c>
      <c r="G1361" s="589" t="s">
        <v>48</v>
      </c>
      <c r="H1361" s="589" t="s">
        <v>242</v>
      </c>
      <c r="I1361" s="598">
        <v>45596</v>
      </c>
      <c r="J1361" s="589" t="s">
        <v>35</v>
      </c>
      <c r="K1361" s="597">
        <v>961.452</v>
      </c>
      <c r="L1361" s="592">
        <f>IF(J1361="TND",1,IF(J1361="EUR",Vertical_Cash_flow!$C$16,IF(J1361="USD",Vertical_Cash_flow!$F$16,0)))</f>
        <v>1</v>
      </c>
      <c r="M1361" s="593">
        <f t="shared" si="97"/>
        <v>961.452</v>
      </c>
      <c r="N1361" s="589" t="s">
        <v>251</v>
      </c>
      <c r="O1361" s="594">
        <v>45432</v>
      </c>
      <c r="P1361" s="593">
        <f t="shared" si="98"/>
        <v>4</v>
      </c>
      <c r="Q1361" s="594">
        <v>45436</v>
      </c>
      <c r="R1361" s="593">
        <f t="shared" ca="1" si="99"/>
        <v>5</v>
      </c>
      <c r="S1361" s="589" t="str">
        <f>VLOOKUP(Q1361,Mapping!L:M,2,0)</f>
        <v>W21_2024</v>
      </c>
      <c r="T1361" s="589" t="str">
        <f t="shared" ca="1" si="100"/>
        <v>up to 30 days</v>
      </c>
      <c r="W1361" s="591"/>
    </row>
    <row r="1362" spans="1:23" s="600" customFormat="1" x14ac:dyDescent="0.2">
      <c r="A1362" s="600" t="s">
        <v>56</v>
      </c>
      <c r="B1362" s="600" t="s">
        <v>646</v>
      </c>
      <c r="C1362" s="601" t="s">
        <v>650</v>
      </c>
      <c r="D1362" s="600" t="s">
        <v>100</v>
      </c>
      <c r="E1362" s="600" t="s">
        <v>105</v>
      </c>
      <c r="F1362" s="600" t="s">
        <v>112</v>
      </c>
      <c r="G1362" s="600" t="s">
        <v>48</v>
      </c>
      <c r="H1362" s="600" t="s">
        <v>242</v>
      </c>
      <c r="I1362" s="600" t="s">
        <v>56</v>
      </c>
      <c r="J1362" s="600" t="s">
        <v>35</v>
      </c>
      <c r="K1362" s="602">
        <v>150000</v>
      </c>
      <c r="L1362" s="603">
        <f>IF(J1362="TND",1,IF(J1362="EUR",Vertical_Cash_flow!$C$16,IF(J1362="USD",Vertical_Cash_flow!$F$16,0)))</f>
        <v>1</v>
      </c>
      <c r="M1362" s="604">
        <f t="shared" ref="M1362:M1364" si="101">K1362/L1362</f>
        <v>150000</v>
      </c>
      <c r="N1362" s="600" t="s">
        <v>252</v>
      </c>
      <c r="O1362" s="601">
        <v>45432</v>
      </c>
      <c r="P1362" s="604">
        <f t="shared" si="98"/>
        <v>4</v>
      </c>
      <c r="Q1362" s="601">
        <v>45436</v>
      </c>
      <c r="R1362" s="604">
        <f t="shared" ref="R1362:R1364" ca="1" si="102">$W$1-Q1362</f>
        <v>5</v>
      </c>
      <c r="S1362" s="600" t="str">
        <f>VLOOKUP(Q1362,Mapping!L:M,2,0)</f>
        <v>W21_2024</v>
      </c>
      <c r="T1362" s="600" t="str">
        <f t="shared" ref="T1362:T1364" ca="1" si="103">IF(R1362="","",IF(R1362&lt;0,"Not Due",IF(AND(R1362&gt;=0,R1362&lt;=30),"up to 30 days",IF(AND(R1362&gt;30,R1362&lt;=60),"30-60 days",IF(AND(R1362&gt;60,R1362&lt;=90),"60-90 days",IF(AND(R1362&gt;90,R1362&lt;=120),"90-120 days",IF(AND(R1362&gt;120,R1362&lt;=180),"120-180 days",IF(AND(R1362&gt;180,R1362&lt;=360),"180-360 days",IF(R1362&gt;360,"more than 360 days","ok")))))))))</f>
        <v>up to 30 days</v>
      </c>
      <c r="W1362" s="599"/>
    </row>
    <row r="1363" spans="1:23" s="600" customFormat="1" x14ac:dyDescent="0.2">
      <c r="A1363" s="600" t="s">
        <v>56</v>
      </c>
      <c r="B1363" s="600" t="s">
        <v>646</v>
      </c>
      <c r="C1363" s="601" t="s">
        <v>650</v>
      </c>
      <c r="D1363" s="600" t="s">
        <v>100</v>
      </c>
      <c r="E1363" s="600" t="s">
        <v>105</v>
      </c>
      <c r="F1363" s="600" t="s">
        <v>112</v>
      </c>
      <c r="G1363" s="600" t="s">
        <v>48</v>
      </c>
      <c r="H1363" s="600" t="s">
        <v>242</v>
      </c>
      <c r="I1363" s="600" t="s">
        <v>56</v>
      </c>
      <c r="J1363" s="600" t="s">
        <v>35</v>
      </c>
      <c r="K1363" s="602">
        <v>150000</v>
      </c>
      <c r="L1363" s="603">
        <f>IF(J1363="TND",1,IF(J1363="EUR",Vertical_Cash_flow!$C$16,IF(J1363="USD",Vertical_Cash_flow!$F$16,0)))</f>
        <v>1</v>
      </c>
      <c r="M1363" s="604">
        <f t="shared" si="101"/>
        <v>150000</v>
      </c>
      <c r="N1363" s="600" t="s">
        <v>252</v>
      </c>
      <c r="O1363" s="601">
        <v>45439</v>
      </c>
      <c r="P1363" s="604">
        <f t="shared" si="98"/>
        <v>4</v>
      </c>
      <c r="Q1363" s="601">
        <v>45443</v>
      </c>
      <c r="R1363" s="604">
        <f t="shared" ca="1" si="102"/>
        <v>-2</v>
      </c>
      <c r="S1363" s="600" t="str">
        <f>VLOOKUP(Q1363,Mapping!L:M,2,0)</f>
        <v>W22_2024</v>
      </c>
      <c r="T1363" s="600" t="str">
        <f t="shared" ca="1" si="103"/>
        <v>Not Due</v>
      </c>
      <c r="W1363" s="599"/>
    </row>
    <row r="1364" spans="1:23" s="600" customFormat="1" x14ac:dyDescent="0.2">
      <c r="A1364" s="600" t="s">
        <v>56</v>
      </c>
      <c r="B1364" s="600" t="s">
        <v>646</v>
      </c>
      <c r="C1364" s="601" t="s">
        <v>650</v>
      </c>
      <c r="D1364" s="600" t="s">
        <v>100</v>
      </c>
      <c r="E1364" s="600" t="s">
        <v>105</v>
      </c>
      <c r="F1364" s="600" t="s">
        <v>112</v>
      </c>
      <c r="G1364" s="600" t="s">
        <v>48</v>
      </c>
      <c r="H1364" s="600" t="s">
        <v>242</v>
      </c>
      <c r="I1364" s="600" t="s">
        <v>56</v>
      </c>
      <c r="J1364" s="600" t="s">
        <v>35</v>
      </c>
      <c r="K1364" s="602">
        <v>150000</v>
      </c>
      <c r="L1364" s="603">
        <f>IF(J1364="TND",1,IF(J1364="EUR",Vertical_Cash_flow!$C$16,IF(J1364="USD",Vertical_Cash_flow!$F$16,0)))</f>
        <v>1</v>
      </c>
      <c r="M1364" s="604">
        <f t="shared" si="101"/>
        <v>150000</v>
      </c>
      <c r="N1364" s="600" t="s">
        <v>252</v>
      </c>
      <c r="O1364" s="601">
        <v>45446</v>
      </c>
      <c r="P1364" s="604">
        <f t="shared" si="98"/>
        <v>4</v>
      </c>
      <c r="Q1364" s="601">
        <v>45450</v>
      </c>
      <c r="R1364" s="604">
        <f t="shared" ca="1" si="102"/>
        <v>-9</v>
      </c>
      <c r="S1364" s="600" t="str">
        <f>VLOOKUP(Q1364,Mapping!L:M,2,0)</f>
        <v>W23_2024</v>
      </c>
      <c r="T1364" s="600" t="str">
        <f t="shared" ca="1" si="103"/>
        <v>Not Due</v>
      </c>
      <c r="W1364" s="599"/>
    </row>
    <row r="1365" spans="1:23" s="600" customFormat="1" x14ac:dyDescent="0.2">
      <c r="A1365" s="600" t="s">
        <v>56</v>
      </c>
      <c r="B1365" s="600" t="s">
        <v>646</v>
      </c>
      <c r="C1365" s="601" t="s">
        <v>650</v>
      </c>
      <c r="D1365" s="600" t="s">
        <v>100</v>
      </c>
      <c r="E1365" s="600" t="s">
        <v>105</v>
      </c>
      <c r="F1365" s="600" t="s">
        <v>112</v>
      </c>
      <c r="G1365" s="600" t="s">
        <v>48</v>
      </c>
      <c r="H1365" s="600" t="s">
        <v>242</v>
      </c>
      <c r="I1365" s="600" t="s">
        <v>56</v>
      </c>
      <c r="J1365" s="600" t="s">
        <v>35</v>
      </c>
      <c r="K1365" s="602">
        <v>150000</v>
      </c>
      <c r="L1365" s="603">
        <f>IF(J1365="TND",1,IF(J1365="EUR",Vertical_Cash_flow!$C$16,IF(J1365="USD",Vertical_Cash_flow!$F$16,0)))</f>
        <v>1</v>
      </c>
      <c r="M1365" s="604">
        <f t="shared" ref="M1365" si="104">K1365/L1365</f>
        <v>150000</v>
      </c>
      <c r="N1365" s="600" t="s">
        <v>252</v>
      </c>
      <c r="O1365" s="601">
        <v>45453</v>
      </c>
      <c r="P1365" s="604">
        <f t="shared" si="98"/>
        <v>4</v>
      </c>
      <c r="Q1365" s="601">
        <v>45457</v>
      </c>
      <c r="R1365" s="604">
        <f t="shared" ref="R1365:R1379" ca="1" si="105">$W$1-Q1365</f>
        <v>-16</v>
      </c>
      <c r="S1365" s="600" t="str">
        <f>VLOOKUP(Q1365,Mapping!L:M,2,0)</f>
        <v>W24_2024</v>
      </c>
      <c r="T1365" s="600" t="str">
        <f t="shared" ref="T1365" ca="1" si="106">IF(R1365="","",IF(R1365&lt;0,"Not Due",IF(AND(R1365&gt;=0,R1365&lt;=30),"up to 30 days",IF(AND(R1365&gt;30,R1365&lt;=60),"30-60 days",IF(AND(R1365&gt;60,R1365&lt;=90),"60-90 days",IF(AND(R1365&gt;90,R1365&lt;=120),"90-120 days",IF(AND(R1365&gt;120,R1365&lt;=180),"120-180 days",IF(AND(R1365&gt;180,R1365&lt;=360),"180-360 days",IF(R1365&gt;360,"more than 360 days","ok")))))))))</f>
        <v>Not Due</v>
      </c>
      <c r="W1365" s="599"/>
    </row>
    <row r="1366" spans="1:23" s="600" customFormat="1" x14ac:dyDescent="0.2">
      <c r="A1366" s="600" t="s">
        <v>56</v>
      </c>
      <c r="B1366" s="600" t="s">
        <v>646</v>
      </c>
      <c r="C1366" s="601" t="s">
        <v>650</v>
      </c>
      <c r="D1366" s="600" t="s">
        <v>100</v>
      </c>
      <c r="E1366" s="600" t="s">
        <v>105</v>
      </c>
      <c r="F1366" s="600" t="s">
        <v>112</v>
      </c>
      <c r="G1366" s="600" t="s">
        <v>48</v>
      </c>
      <c r="H1366" s="600" t="s">
        <v>242</v>
      </c>
      <c r="I1366" s="600" t="s">
        <v>56</v>
      </c>
      <c r="J1366" s="600" t="s">
        <v>35</v>
      </c>
      <c r="K1366" s="602">
        <v>150000</v>
      </c>
      <c r="L1366" s="603">
        <f>IF(J1366="TND",1,IF(J1366="EUR",Vertical_Cash_flow!$C$16,IF(J1366="USD",Vertical_Cash_flow!$F$16,0)))</f>
        <v>1</v>
      </c>
      <c r="M1366" s="604">
        <f t="shared" ref="M1366" si="107">K1366/L1366</f>
        <v>150000</v>
      </c>
      <c r="N1366" s="600" t="s">
        <v>252</v>
      </c>
      <c r="O1366" s="601">
        <v>45460</v>
      </c>
      <c r="P1366" s="604">
        <f t="shared" si="98"/>
        <v>4</v>
      </c>
      <c r="Q1366" s="601">
        <v>45464</v>
      </c>
      <c r="R1366" s="604">
        <f t="shared" ref="R1366" ca="1" si="108">$W$1-Q1366</f>
        <v>-23</v>
      </c>
      <c r="S1366" s="600" t="str">
        <f>VLOOKUP(Q1366,Mapping!L:M,2,0)</f>
        <v>W25_2024</v>
      </c>
      <c r="T1366" s="600" t="str">
        <f t="shared" ref="T1366" ca="1" si="109">IF(R1366="","",IF(R1366&lt;0,"Not Due",IF(AND(R1366&gt;=0,R1366&lt;=30),"up to 30 days",IF(AND(R1366&gt;30,R1366&lt;=60),"30-60 days",IF(AND(R1366&gt;60,R1366&lt;=90),"60-90 days",IF(AND(R1366&gt;90,R1366&lt;=120),"90-120 days",IF(AND(R1366&gt;120,R1366&lt;=180),"120-180 days",IF(AND(R1366&gt;180,R1366&lt;=360),"180-360 days",IF(R1366&gt;360,"more than 360 days","ok")))))))))</f>
        <v>Not Due</v>
      </c>
      <c r="W1366" s="599"/>
    </row>
    <row r="1367" spans="1:23" s="600" customFormat="1" x14ac:dyDescent="0.2">
      <c r="A1367" s="600" t="s">
        <v>56</v>
      </c>
      <c r="B1367" s="600" t="s">
        <v>646</v>
      </c>
      <c r="C1367" s="601" t="s">
        <v>650</v>
      </c>
      <c r="D1367" s="600" t="s">
        <v>100</v>
      </c>
      <c r="E1367" s="600" t="s">
        <v>105</v>
      </c>
      <c r="F1367" s="600" t="s">
        <v>112</v>
      </c>
      <c r="G1367" s="600" t="s">
        <v>48</v>
      </c>
      <c r="H1367" s="600" t="s">
        <v>242</v>
      </c>
      <c r="I1367" s="600" t="s">
        <v>56</v>
      </c>
      <c r="J1367" s="600" t="s">
        <v>35</v>
      </c>
      <c r="K1367" s="602">
        <v>150000</v>
      </c>
      <c r="L1367" s="603">
        <f>IF(J1367="TND",1,IF(J1367="EUR",Vertical_Cash_flow!$C$16,IF(J1367="USD",Vertical_Cash_flow!$F$16,0)))</f>
        <v>1</v>
      </c>
      <c r="M1367" s="604">
        <f t="shared" ref="M1367" si="110">K1367/L1367</f>
        <v>150000</v>
      </c>
      <c r="N1367" s="600" t="s">
        <v>252</v>
      </c>
      <c r="O1367" s="601">
        <v>45467</v>
      </c>
      <c r="P1367" s="604">
        <f t="shared" ref="P1367" si="111">Q1367-O1367</f>
        <v>4</v>
      </c>
      <c r="Q1367" s="601">
        <v>45471</v>
      </c>
      <c r="R1367" s="604">
        <f t="shared" ref="R1367" ca="1" si="112">$W$1-Q1367</f>
        <v>-30</v>
      </c>
      <c r="S1367" s="600" t="str">
        <f>VLOOKUP(Q1367,Mapping!L:M,2,0)</f>
        <v>W26_2024</v>
      </c>
      <c r="T1367" s="600" t="str">
        <f t="shared" ref="T1367" ca="1" si="113">IF(R1367="","",IF(R1367&lt;0,"Not Due",IF(AND(R1367&gt;=0,R1367&lt;=30),"up to 30 days",IF(AND(R1367&gt;30,R1367&lt;=60),"30-60 days",IF(AND(R1367&gt;60,R1367&lt;=90),"60-90 days",IF(AND(R1367&gt;90,R1367&lt;=120),"90-120 days",IF(AND(R1367&gt;120,R1367&lt;=180),"120-180 days",IF(AND(R1367&gt;180,R1367&lt;=360),"180-360 days",IF(R1367&gt;360,"more than 360 days","ok")))))))))</f>
        <v>Not Due</v>
      </c>
      <c r="W1367" s="599"/>
    </row>
    <row r="1368" spans="1:23" s="600" customFormat="1" x14ac:dyDescent="0.2">
      <c r="A1368" s="600" t="s">
        <v>56</v>
      </c>
      <c r="B1368" s="600" t="s">
        <v>646</v>
      </c>
      <c r="C1368" s="601" t="s">
        <v>650</v>
      </c>
      <c r="D1368" s="600" t="s">
        <v>100</v>
      </c>
      <c r="E1368" s="600" t="s">
        <v>105</v>
      </c>
      <c r="F1368" s="600" t="s">
        <v>112</v>
      </c>
      <c r="G1368" s="600" t="s">
        <v>48</v>
      </c>
      <c r="H1368" s="600" t="s">
        <v>242</v>
      </c>
      <c r="I1368" s="600" t="s">
        <v>56</v>
      </c>
      <c r="J1368" s="600" t="s">
        <v>35</v>
      </c>
      <c r="K1368" s="602">
        <v>150000</v>
      </c>
      <c r="L1368" s="603">
        <f>IF(J1368="TND",1,IF(J1368="EUR",Vertical_Cash_flow!$C$16,IF(J1368="USD",Vertical_Cash_flow!$F$16,0)))</f>
        <v>1</v>
      </c>
      <c r="M1368" s="604">
        <f t="shared" ref="M1368" si="114">K1368/L1368</f>
        <v>150000</v>
      </c>
      <c r="N1368" s="600" t="s">
        <v>252</v>
      </c>
      <c r="O1368" s="601">
        <v>45474</v>
      </c>
      <c r="P1368" s="604">
        <f t="shared" ref="P1368" si="115">Q1368-O1368</f>
        <v>4</v>
      </c>
      <c r="Q1368" s="601">
        <v>45478</v>
      </c>
      <c r="R1368" s="604">
        <f t="shared" ref="R1368" ca="1" si="116">$W$1-Q1368</f>
        <v>-37</v>
      </c>
      <c r="S1368" s="600" t="str">
        <f>VLOOKUP(Q1368,Mapping!L:M,2,0)</f>
        <v>W27_2024</v>
      </c>
      <c r="T1368" s="600" t="str">
        <f t="shared" ref="T1368" ca="1" si="117">IF(R1368="","",IF(R1368&lt;0,"Not Due",IF(AND(R1368&gt;=0,R1368&lt;=30),"up to 30 days",IF(AND(R1368&gt;30,R1368&lt;=60),"30-60 days",IF(AND(R1368&gt;60,R1368&lt;=90),"60-90 days",IF(AND(R1368&gt;90,R1368&lt;=120),"90-120 days",IF(AND(R1368&gt;120,R1368&lt;=180),"120-180 days",IF(AND(R1368&gt;180,R1368&lt;=360),"180-360 days",IF(R1368&gt;360,"more than 360 days","ok")))))))))</f>
        <v>Not Due</v>
      </c>
      <c r="W1368" s="599"/>
    </row>
    <row r="1369" spans="1:23" s="600" customFormat="1" x14ac:dyDescent="0.2">
      <c r="A1369" s="600" t="s">
        <v>56</v>
      </c>
      <c r="B1369" s="600" t="s">
        <v>646</v>
      </c>
      <c r="C1369" s="601" t="s">
        <v>650</v>
      </c>
      <c r="D1369" s="600" t="s">
        <v>100</v>
      </c>
      <c r="E1369" s="600" t="s">
        <v>105</v>
      </c>
      <c r="F1369" s="600" t="s">
        <v>112</v>
      </c>
      <c r="G1369" s="600" t="s">
        <v>48</v>
      </c>
      <c r="H1369" s="600" t="s">
        <v>242</v>
      </c>
      <c r="I1369" s="600" t="s">
        <v>56</v>
      </c>
      <c r="J1369" s="600" t="s">
        <v>35</v>
      </c>
      <c r="K1369" s="602">
        <v>150000</v>
      </c>
      <c r="L1369" s="603">
        <f>IF(J1369="TND",1,IF(J1369="EUR",Vertical_Cash_flow!$C$16,IF(J1369="USD",Vertical_Cash_flow!$F$16,0)))</f>
        <v>1</v>
      </c>
      <c r="M1369" s="604">
        <f t="shared" ref="M1369:M1379" si="118">K1369/L1369</f>
        <v>150000</v>
      </c>
      <c r="N1369" s="600" t="s">
        <v>252</v>
      </c>
      <c r="O1369" s="601">
        <v>45481</v>
      </c>
      <c r="P1369" s="604">
        <f t="shared" ref="P1369:P1379" si="119">Q1369-O1369</f>
        <v>4</v>
      </c>
      <c r="Q1369" s="601">
        <v>45485</v>
      </c>
      <c r="R1369" s="604">
        <f t="shared" ref="R1369" ca="1" si="120">$W$1-Q1369</f>
        <v>-44</v>
      </c>
      <c r="S1369" s="600" t="str">
        <f>VLOOKUP(Q1369,Mapping!L:M,2,0)</f>
        <v>W28_2024</v>
      </c>
      <c r="T1369" s="600" t="str">
        <f t="shared" ref="T1369" ca="1" si="121">IF(R1369="","",IF(R1369&lt;0,"Not Due",IF(AND(R1369&gt;=0,R1369&lt;=30),"up to 30 days",IF(AND(R1369&gt;30,R1369&lt;=60),"30-60 days",IF(AND(R1369&gt;60,R1369&lt;=90),"60-90 days",IF(AND(R1369&gt;90,R1369&lt;=120),"90-120 days",IF(AND(R1369&gt;120,R1369&lt;=180),"120-180 days",IF(AND(R1369&gt;180,R1369&lt;=360),"180-360 days",IF(R1369&gt;360,"more than 360 days","ok")))))))))</f>
        <v>Not Due</v>
      </c>
      <c r="W1369" s="599"/>
    </row>
    <row r="1370" spans="1:23" s="600" customFormat="1" x14ac:dyDescent="0.2">
      <c r="A1370" s="600" t="s">
        <v>56</v>
      </c>
      <c r="B1370" s="600" t="s">
        <v>646</v>
      </c>
      <c r="C1370" s="601" t="s">
        <v>772</v>
      </c>
      <c r="D1370" s="600" t="s">
        <v>100</v>
      </c>
      <c r="E1370" s="600" t="s">
        <v>647</v>
      </c>
      <c r="F1370" s="600" t="s">
        <v>112</v>
      </c>
      <c r="G1370" s="600" t="s">
        <v>49</v>
      </c>
      <c r="H1370" s="600" t="s">
        <v>242</v>
      </c>
      <c r="I1370" s="600" t="s">
        <v>648</v>
      </c>
      <c r="J1370" s="600" t="s">
        <v>35</v>
      </c>
      <c r="K1370" s="613">
        <v>20000</v>
      </c>
      <c r="L1370" s="603">
        <f>IF(J1370="TND",1,IF(J1370="EUR",Vertical_Cash_flow!$C$16,IF(J1370="USD",Vertical_Cash_flow!$F$16,0)))</f>
        <v>1</v>
      </c>
      <c r="M1370" s="604">
        <f t="shared" si="118"/>
        <v>20000</v>
      </c>
      <c r="N1370" s="600" t="s">
        <v>252</v>
      </c>
      <c r="O1370" s="601">
        <v>45432</v>
      </c>
      <c r="P1370" s="604">
        <f t="shared" si="119"/>
        <v>4</v>
      </c>
      <c r="Q1370" s="601">
        <v>45436</v>
      </c>
      <c r="R1370" s="604">
        <f t="shared" ca="1" si="105"/>
        <v>5</v>
      </c>
      <c r="S1370" s="600" t="str">
        <f>VLOOKUP(Q1370,Mapping!L:M,2,0)</f>
        <v>W21_2024</v>
      </c>
      <c r="T1370" s="600" t="str">
        <f t="shared" ref="T1370:T1379" ca="1" si="122">IF(R1370="","",IF(R1370&lt;0,"Not Due",IF(AND(R1370&gt;=0,R1370&lt;=30),"up to 30 days",IF(AND(R1370&gt;30,R1370&lt;=60),"30-60 days",IF(AND(R1370&gt;60,R1370&lt;=90),"60-90 days",IF(AND(R1370&gt;90,R1370&lt;=120),"90-120 days",IF(AND(R1370&gt;120,R1370&lt;=180),"120-180 days",IF(AND(R1370&gt;180,R1370&lt;=360),"180-360 days",IF(R1370&gt;360,"more than 360 days","ok")))))))))</f>
        <v>up to 30 days</v>
      </c>
      <c r="W1370" s="599"/>
    </row>
    <row r="1371" spans="1:23" s="600" customFormat="1" x14ac:dyDescent="0.2">
      <c r="A1371" s="600" t="s">
        <v>56</v>
      </c>
      <c r="B1371" s="600" t="s">
        <v>646</v>
      </c>
      <c r="C1371" s="601" t="s">
        <v>772</v>
      </c>
      <c r="D1371" s="600" t="s">
        <v>100</v>
      </c>
      <c r="E1371" s="600" t="s">
        <v>647</v>
      </c>
      <c r="F1371" s="600" t="s">
        <v>112</v>
      </c>
      <c r="G1371" s="600" t="s">
        <v>49</v>
      </c>
      <c r="H1371" s="600" t="s">
        <v>242</v>
      </c>
      <c r="I1371" s="600" t="s">
        <v>649</v>
      </c>
      <c r="J1371" s="600" t="s">
        <v>35</v>
      </c>
      <c r="K1371" s="602">
        <v>104000</v>
      </c>
      <c r="L1371" s="603">
        <f>IF(J1371="TND",1,IF(J1371="EUR",Vertical_Cash_flow!$C$16,IF(J1371="USD",Vertical_Cash_flow!$F$16,0)))</f>
        <v>1</v>
      </c>
      <c r="M1371" s="604">
        <f t="shared" si="118"/>
        <v>104000</v>
      </c>
      <c r="N1371" s="600" t="s">
        <v>252</v>
      </c>
      <c r="O1371" s="601">
        <v>45432</v>
      </c>
      <c r="P1371" s="604">
        <f t="shared" si="119"/>
        <v>4</v>
      </c>
      <c r="Q1371" s="601">
        <v>45436</v>
      </c>
      <c r="R1371" s="604">
        <f t="shared" ca="1" si="105"/>
        <v>5</v>
      </c>
      <c r="S1371" s="600" t="str">
        <f>VLOOKUP(Q1371,Mapping!L:M,2,0)</f>
        <v>W21_2024</v>
      </c>
      <c r="T1371" s="600" t="str">
        <f t="shared" ca="1" si="122"/>
        <v>up to 30 days</v>
      </c>
      <c r="W1371" s="599"/>
    </row>
    <row r="1372" spans="1:23" s="600" customFormat="1" x14ac:dyDescent="0.2">
      <c r="A1372" s="600" t="s">
        <v>56</v>
      </c>
      <c r="B1372" s="600" t="s">
        <v>646</v>
      </c>
      <c r="C1372" s="601" t="s">
        <v>772</v>
      </c>
      <c r="D1372" s="600" t="s">
        <v>100</v>
      </c>
      <c r="E1372" s="600" t="s">
        <v>647</v>
      </c>
      <c r="F1372" s="600" t="s">
        <v>112</v>
      </c>
      <c r="G1372" s="600" t="s">
        <v>49</v>
      </c>
      <c r="H1372" s="600" t="s">
        <v>242</v>
      </c>
      <c r="I1372" s="600" t="s">
        <v>648</v>
      </c>
      <c r="J1372" s="600" t="s">
        <v>35</v>
      </c>
      <c r="K1372" s="613">
        <v>33000</v>
      </c>
      <c r="L1372" s="603">
        <f>IF(J1372="TND",1,IF(J1372="EUR",Vertical_Cash_flow!$C$16,IF(J1372="USD",Vertical_Cash_flow!$F$16,0)))</f>
        <v>1</v>
      </c>
      <c r="M1372" s="604">
        <f t="shared" si="118"/>
        <v>33000</v>
      </c>
      <c r="N1372" s="600" t="s">
        <v>252</v>
      </c>
      <c r="O1372" s="601">
        <v>45439</v>
      </c>
      <c r="P1372" s="604">
        <f t="shared" si="119"/>
        <v>4</v>
      </c>
      <c r="Q1372" s="601">
        <v>45443</v>
      </c>
      <c r="R1372" s="604">
        <f t="shared" ca="1" si="105"/>
        <v>-2</v>
      </c>
      <c r="S1372" s="600" t="str">
        <f>VLOOKUP(Q1372,Mapping!L:M,2,0)</f>
        <v>W22_2024</v>
      </c>
      <c r="T1372" s="600" t="str">
        <f t="shared" ca="1" si="122"/>
        <v>Not Due</v>
      </c>
      <c r="W1372" s="599"/>
    </row>
    <row r="1373" spans="1:23" s="600" customFormat="1" x14ac:dyDescent="0.2">
      <c r="A1373" s="600" t="s">
        <v>56</v>
      </c>
      <c r="B1373" s="600" t="s">
        <v>646</v>
      </c>
      <c r="C1373" s="601" t="s">
        <v>772</v>
      </c>
      <c r="D1373" s="600" t="s">
        <v>100</v>
      </c>
      <c r="E1373" s="600" t="s">
        <v>647</v>
      </c>
      <c r="F1373" s="600" t="s">
        <v>112</v>
      </c>
      <c r="G1373" s="600" t="s">
        <v>49</v>
      </c>
      <c r="H1373" s="600" t="s">
        <v>242</v>
      </c>
      <c r="I1373" s="600" t="s">
        <v>649</v>
      </c>
      <c r="J1373" s="600" t="s">
        <v>35</v>
      </c>
      <c r="K1373" s="602">
        <v>104000</v>
      </c>
      <c r="L1373" s="603">
        <f>IF(J1373="TND",1,IF(J1373="EUR",Vertical_Cash_flow!$C$16,IF(J1373="USD",Vertical_Cash_flow!$F$16,0)))</f>
        <v>1</v>
      </c>
      <c r="M1373" s="604">
        <f t="shared" si="118"/>
        <v>104000</v>
      </c>
      <c r="N1373" s="600" t="s">
        <v>252</v>
      </c>
      <c r="O1373" s="601">
        <v>45439</v>
      </c>
      <c r="P1373" s="604">
        <f t="shared" si="119"/>
        <v>4</v>
      </c>
      <c r="Q1373" s="601">
        <v>45443</v>
      </c>
      <c r="R1373" s="604">
        <f t="shared" ca="1" si="105"/>
        <v>-2</v>
      </c>
      <c r="S1373" s="600" t="str">
        <f>VLOOKUP(Q1373,Mapping!L:M,2,0)</f>
        <v>W22_2024</v>
      </c>
      <c r="T1373" s="600" t="str">
        <f t="shared" ca="1" si="122"/>
        <v>Not Due</v>
      </c>
      <c r="W1373" s="599"/>
    </row>
    <row r="1374" spans="1:23" s="600" customFormat="1" x14ac:dyDescent="0.2">
      <c r="A1374" s="600" t="s">
        <v>56</v>
      </c>
      <c r="B1374" s="600" t="s">
        <v>646</v>
      </c>
      <c r="C1374" s="601" t="s">
        <v>772</v>
      </c>
      <c r="D1374" s="600" t="s">
        <v>100</v>
      </c>
      <c r="E1374" s="600" t="s">
        <v>647</v>
      </c>
      <c r="F1374" s="600" t="s">
        <v>112</v>
      </c>
      <c r="G1374" s="600" t="s">
        <v>49</v>
      </c>
      <c r="H1374" s="600" t="s">
        <v>242</v>
      </c>
      <c r="I1374" s="600" t="s">
        <v>648</v>
      </c>
      <c r="J1374" s="600" t="s">
        <v>35</v>
      </c>
      <c r="K1374" s="613">
        <v>12000</v>
      </c>
      <c r="L1374" s="603">
        <f>IF(J1374="TND",1,IF(J1374="EUR",Vertical_Cash_flow!$C$16,IF(J1374="USD",Vertical_Cash_flow!$F$16,0)))</f>
        <v>1</v>
      </c>
      <c r="M1374" s="604">
        <f t="shared" si="118"/>
        <v>12000</v>
      </c>
      <c r="N1374" s="600" t="s">
        <v>252</v>
      </c>
      <c r="O1374" s="601">
        <v>45446</v>
      </c>
      <c r="P1374" s="604">
        <f t="shared" si="119"/>
        <v>4</v>
      </c>
      <c r="Q1374" s="601">
        <v>45450</v>
      </c>
      <c r="R1374" s="604">
        <f t="shared" ca="1" si="105"/>
        <v>-9</v>
      </c>
      <c r="S1374" s="600" t="str">
        <f>VLOOKUP(Q1374,Mapping!L:M,2,0)</f>
        <v>W23_2024</v>
      </c>
      <c r="T1374" s="600" t="str">
        <f t="shared" ca="1" si="122"/>
        <v>Not Due</v>
      </c>
      <c r="W1374" s="599"/>
    </row>
    <row r="1375" spans="1:23" s="600" customFormat="1" x14ac:dyDescent="0.2">
      <c r="A1375" s="600" t="s">
        <v>56</v>
      </c>
      <c r="B1375" s="600" t="s">
        <v>646</v>
      </c>
      <c r="C1375" s="601" t="s">
        <v>772</v>
      </c>
      <c r="D1375" s="600" t="s">
        <v>100</v>
      </c>
      <c r="E1375" s="600" t="s">
        <v>647</v>
      </c>
      <c r="F1375" s="600" t="s">
        <v>112</v>
      </c>
      <c r="G1375" s="600" t="s">
        <v>49</v>
      </c>
      <c r="H1375" s="600" t="s">
        <v>242</v>
      </c>
      <c r="I1375" s="600" t="s">
        <v>649</v>
      </c>
      <c r="J1375" s="600" t="s">
        <v>35</v>
      </c>
      <c r="K1375" s="602">
        <v>44000</v>
      </c>
      <c r="L1375" s="603">
        <f>IF(J1375="TND",1,IF(J1375="EUR",Vertical_Cash_flow!$C$16,IF(J1375="USD",Vertical_Cash_flow!$F$16,0)))</f>
        <v>1</v>
      </c>
      <c r="M1375" s="604">
        <f t="shared" si="118"/>
        <v>44000</v>
      </c>
      <c r="N1375" s="600" t="s">
        <v>252</v>
      </c>
      <c r="O1375" s="601">
        <v>45446</v>
      </c>
      <c r="P1375" s="604">
        <f t="shared" si="119"/>
        <v>4</v>
      </c>
      <c r="Q1375" s="601">
        <v>45450</v>
      </c>
      <c r="R1375" s="604">
        <f t="shared" ca="1" si="105"/>
        <v>-9</v>
      </c>
      <c r="S1375" s="600" t="str">
        <f>VLOOKUP(Q1375,Mapping!L:M,2,0)</f>
        <v>W23_2024</v>
      </c>
      <c r="T1375" s="600" t="str">
        <f t="shared" ca="1" si="122"/>
        <v>Not Due</v>
      </c>
      <c r="W1375" s="599"/>
    </row>
    <row r="1376" spans="1:23" s="600" customFormat="1" x14ac:dyDescent="0.2">
      <c r="A1376" s="600" t="s">
        <v>56</v>
      </c>
      <c r="B1376" s="600" t="s">
        <v>646</v>
      </c>
      <c r="C1376" s="601" t="s">
        <v>772</v>
      </c>
      <c r="D1376" s="600" t="s">
        <v>100</v>
      </c>
      <c r="E1376" s="600" t="s">
        <v>647</v>
      </c>
      <c r="F1376" s="600" t="s">
        <v>112</v>
      </c>
      <c r="G1376" s="600" t="s">
        <v>49</v>
      </c>
      <c r="H1376" s="600" t="s">
        <v>242</v>
      </c>
      <c r="I1376" s="600" t="s">
        <v>648</v>
      </c>
      <c r="J1376" s="600" t="s">
        <v>35</v>
      </c>
      <c r="K1376" s="613">
        <v>31000</v>
      </c>
      <c r="L1376" s="603">
        <f>IF(J1376="TND",1,IF(J1376="EUR",Vertical_Cash_flow!$C$16,IF(J1376="USD",Vertical_Cash_flow!$F$16,0)))</f>
        <v>1</v>
      </c>
      <c r="M1376" s="604">
        <f t="shared" si="118"/>
        <v>31000</v>
      </c>
      <c r="N1376" s="600" t="s">
        <v>252</v>
      </c>
      <c r="O1376" s="601">
        <v>45453</v>
      </c>
      <c r="P1376" s="604">
        <f t="shared" si="119"/>
        <v>4</v>
      </c>
      <c r="Q1376" s="601">
        <v>45457</v>
      </c>
      <c r="R1376" s="604">
        <f t="shared" ca="1" si="105"/>
        <v>-16</v>
      </c>
      <c r="S1376" s="600" t="str">
        <f>VLOOKUP(Q1376,Mapping!L:M,2,0)</f>
        <v>W24_2024</v>
      </c>
      <c r="T1376" s="600" t="str">
        <f t="shared" ca="1" si="122"/>
        <v>Not Due</v>
      </c>
      <c r="W1376" s="599"/>
    </row>
    <row r="1377" spans="1:23" s="600" customFormat="1" x14ac:dyDescent="0.2">
      <c r="A1377" s="600" t="s">
        <v>56</v>
      </c>
      <c r="B1377" s="600" t="s">
        <v>646</v>
      </c>
      <c r="C1377" s="601" t="s">
        <v>772</v>
      </c>
      <c r="D1377" s="600" t="s">
        <v>100</v>
      </c>
      <c r="E1377" s="600" t="s">
        <v>647</v>
      </c>
      <c r="F1377" s="600" t="s">
        <v>112</v>
      </c>
      <c r="G1377" s="600" t="s">
        <v>49</v>
      </c>
      <c r="H1377" s="600" t="s">
        <v>242</v>
      </c>
      <c r="I1377" s="600" t="s">
        <v>649</v>
      </c>
      <c r="J1377" s="600" t="s">
        <v>35</v>
      </c>
      <c r="K1377" s="602">
        <v>136000</v>
      </c>
      <c r="L1377" s="603">
        <f>IF(J1377="TND",1,IF(J1377="EUR",Vertical_Cash_flow!$C$16,IF(J1377="USD",Vertical_Cash_flow!$F$16,0)))</f>
        <v>1</v>
      </c>
      <c r="M1377" s="604">
        <f t="shared" si="118"/>
        <v>136000</v>
      </c>
      <c r="N1377" s="600" t="s">
        <v>252</v>
      </c>
      <c r="O1377" s="601">
        <v>45453</v>
      </c>
      <c r="P1377" s="604">
        <f t="shared" si="119"/>
        <v>4</v>
      </c>
      <c r="Q1377" s="601">
        <v>45457</v>
      </c>
      <c r="R1377" s="604">
        <f t="shared" ca="1" si="105"/>
        <v>-16</v>
      </c>
      <c r="S1377" s="600" t="str">
        <f>VLOOKUP(Q1377,Mapping!L:M,2,0)</f>
        <v>W24_2024</v>
      </c>
      <c r="T1377" s="600" t="str">
        <f t="shared" ca="1" si="122"/>
        <v>Not Due</v>
      </c>
      <c r="W1377" s="599"/>
    </row>
    <row r="1378" spans="1:23" s="600" customFormat="1" x14ac:dyDescent="0.2">
      <c r="A1378" s="600" t="s">
        <v>56</v>
      </c>
      <c r="B1378" s="600" t="s">
        <v>646</v>
      </c>
      <c r="C1378" s="601" t="s">
        <v>772</v>
      </c>
      <c r="D1378" s="600" t="s">
        <v>100</v>
      </c>
      <c r="E1378" s="600" t="s">
        <v>647</v>
      </c>
      <c r="F1378" s="600" t="s">
        <v>112</v>
      </c>
      <c r="G1378" s="600" t="s">
        <v>49</v>
      </c>
      <c r="H1378" s="600" t="s">
        <v>242</v>
      </c>
      <c r="I1378" s="600" t="s">
        <v>648</v>
      </c>
      <c r="J1378" s="600" t="s">
        <v>35</v>
      </c>
      <c r="K1378" s="613">
        <v>48000</v>
      </c>
      <c r="L1378" s="603">
        <f>IF(J1378="TND",1,IF(J1378="EUR",Vertical_Cash_flow!$C$16,IF(J1378="USD",Vertical_Cash_flow!$F$16,0)))</f>
        <v>1</v>
      </c>
      <c r="M1378" s="604">
        <f t="shared" si="118"/>
        <v>48000</v>
      </c>
      <c r="N1378" s="600" t="s">
        <v>252</v>
      </c>
      <c r="O1378" s="601">
        <v>45460</v>
      </c>
      <c r="P1378" s="604">
        <f t="shared" si="119"/>
        <v>4</v>
      </c>
      <c r="Q1378" s="601">
        <v>45464</v>
      </c>
      <c r="R1378" s="604">
        <f t="shared" ca="1" si="105"/>
        <v>-23</v>
      </c>
      <c r="S1378" s="600" t="str">
        <f>VLOOKUP(Q1378,Mapping!L:M,2,0)</f>
        <v>W25_2024</v>
      </c>
      <c r="T1378" s="600" t="str">
        <f t="shared" ca="1" si="122"/>
        <v>Not Due</v>
      </c>
      <c r="W1378" s="599"/>
    </row>
    <row r="1379" spans="1:23" s="600" customFormat="1" x14ac:dyDescent="0.2">
      <c r="A1379" s="600" t="s">
        <v>56</v>
      </c>
      <c r="B1379" s="600" t="s">
        <v>646</v>
      </c>
      <c r="C1379" s="601" t="s">
        <v>772</v>
      </c>
      <c r="D1379" s="600" t="s">
        <v>100</v>
      </c>
      <c r="E1379" s="600" t="s">
        <v>647</v>
      </c>
      <c r="F1379" s="600" t="s">
        <v>112</v>
      </c>
      <c r="G1379" s="600" t="s">
        <v>49</v>
      </c>
      <c r="H1379" s="600" t="s">
        <v>242</v>
      </c>
      <c r="I1379" s="600" t="s">
        <v>649</v>
      </c>
      <c r="J1379" s="600" t="s">
        <v>35</v>
      </c>
      <c r="K1379" s="602">
        <v>56000</v>
      </c>
      <c r="L1379" s="603">
        <f>IF(J1379="TND",1,IF(J1379="EUR",Vertical_Cash_flow!$C$16,IF(J1379="USD",Vertical_Cash_flow!$F$16,0)))</f>
        <v>1</v>
      </c>
      <c r="M1379" s="604">
        <f t="shared" si="118"/>
        <v>56000</v>
      </c>
      <c r="N1379" s="600" t="s">
        <v>252</v>
      </c>
      <c r="O1379" s="601">
        <v>45460</v>
      </c>
      <c r="P1379" s="604">
        <f t="shared" si="119"/>
        <v>4</v>
      </c>
      <c r="Q1379" s="601">
        <v>45464</v>
      </c>
      <c r="R1379" s="604">
        <f t="shared" ca="1" si="105"/>
        <v>-23</v>
      </c>
      <c r="S1379" s="600" t="str">
        <f>VLOOKUP(Q1379,Mapping!L:M,2,0)</f>
        <v>W25_2024</v>
      </c>
      <c r="T1379" s="600" t="str">
        <f t="shared" ca="1" si="122"/>
        <v>Not Due</v>
      </c>
      <c r="W1379" s="599"/>
    </row>
    <row r="1380" spans="1:23" s="600" customFormat="1" x14ac:dyDescent="0.2">
      <c r="A1380" s="600" t="s">
        <v>56</v>
      </c>
      <c r="B1380" s="600" t="s">
        <v>646</v>
      </c>
      <c r="C1380" s="601" t="s">
        <v>772</v>
      </c>
      <c r="D1380" s="600" t="s">
        <v>100</v>
      </c>
      <c r="E1380" s="600" t="s">
        <v>647</v>
      </c>
      <c r="F1380" s="600" t="s">
        <v>112</v>
      </c>
      <c r="G1380" s="600" t="s">
        <v>49</v>
      </c>
      <c r="H1380" s="600" t="s">
        <v>242</v>
      </c>
      <c r="I1380" s="600" t="s">
        <v>648</v>
      </c>
      <c r="J1380" s="600" t="s">
        <v>35</v>
      </c>
      <c r="K1380" s="613">
        <v>15000</v>
      </c>
      <c r="L1380" s="603">
        <f>IF(J1380="TND",1,IF(J1380="EUR",Vertical_Cash_flow!$C$16,IF(J1380="USD",Vertical_Cash_flow!$F$16,0)))</f>
        <v>1</v>
      </c>
      <c r="M1380" s="604">
        <f t="shared" ref="M1380:M1385" si="123">K1380/L1380</f>
        <v>15000</v>
      </c>
      <c r="N1380" s="600" t="s">
        <v>252</v>
      </c>
      <c r="O1380" s="601">
        <v>45467</v>
      </c>
      <c r="P1380" s="604">
        <f t="shared" ref="P1380:P1385" si="124">Q1380-O1380</f>
        <v>4</v>
      </c>
      <c r="Q1380" s="601">
        <v>45471</v>
      </c>
      <c r="R1380" s="604">
        <f t="shared" ref="R1380:R1381" ca="1" si="125">$W$1-Q1380</f>
        <v>-30</v>
      </c>
      <c r="S1380" s="600" t="str">
        <f>VLOOKUP(Q1380,Mapping!L:M,2,0)</f>
        <v>W26_2024</v>
      </c>
      <c r="T1380" s="600" t="str">
        <f t="shared" ref="T1380:T1381" ca="1" si="126">IF(R1380="","",IF(R1380&lt;0,"Not Due",IF(AND(R1380&gt;=0,R1380&lt;=30),"up to 30 days",IF(AND(R1380&gt;30,R1380&lt;=60),"30-60 days",IF(AND(R1380&gt;60,R1380&lt;=90),"60-90 days",IF(AND(R1380&gt;90,R1380&lt;=120),"90-120 days",IF(AND(R1380&gt;120,R1380&lt;=180),"120-180 days",IF(AND(R1380&gt;180,R1380&lt;=360),"180-360 days",IF(R1380&gt;360,"more than 360 days","ok")))))))))</f>
        <v>Not Due</v>
      </c>
      <c r="W1380" s="599"/>
    </row>
    <row r="1381" spans="1:23" s="600" customFormat="1" x14ac:dyDescent="0.2">
      <c r="A1381" s="600" t="s">
        <v>56</v>
      </c>
      <c r="B1381" s="600" t="s">
        <v>646</v>
      </c>
      <c r="C1381" s="601" t="s">
        <v>772</v>
      </c>
      <c r="D1381" s="600" t="s">
        <v>100</v>
      </c>
      <c r="E1381" s="600" t="s">
        <v>647</v>
      </c>
      <c r="F1381" s="600" t="s">
        <v>112</v>
      </c>
      <c r="G1381" s="600" t="s">
        <v>49</v>
      </c>
      <c r="H1381" s="600" t="s">
        <v>242</v>
      </c>
      <c r="I1381" s="600" t="s">
        <v>649</v>
      </c>
      <c r="J1381" s="600" t="s">
        <v>35</v>
      </c>
      <c r="K1381" s="602">
        <v>70000</v>
      </c>
      <c r="L1381" s="603">
        <f>IF(J1381="TND",1,IF(J1381="EUR",Vertical_Cash_flow!$C$16,IF(J1381="USD",Vertical_Cash_flow!$F$16,0)))</f>
        <v>1</v>
      </c>
      <c r="M1381" s="604">
        <f t="shared" si="123"/>
        <v>70000</v>
      </c>
      <c r="N1381" s="600" t="s">
        <v>252</v>
      </c>
      <c r="O1381" s="601">
        <v>45467</v>
      </c>
      <c r="P1381" s="604">
        <f t="shared" si="124"/>
        <v>4</v>
      </c>
      <c r="Q1381" s="601">
        <v>45471</v>
      </c>
      <c r="R1381" s="604">
        <f t="shared" ca="1" si="125"/>
        <v>-30</v>
      </c>
      <c r="S1381" s="600" t="str">
        <f>VLOOKUP(Q1381,Mapping!L:M,2,0)</f>
        <v>W26_2024</v>
      </c>
      <c r="T1381" s="600" t="str">
        <f t="shared" ca="1" si="126"/>
        <v>Not Due</v>
      </c>
      <c r="W1381" s="599"/>
    </row>
    <row r="1382" spans="1:23" s="600" customFormat="1" x14ac:dyDescent="0.2">
      <c r="A1382" s="600" t="s">
        <v>56</v>
      </c>
      <c r="B1382" s="600" t="s">
        <v>646</v>
      </c>
      <c r="C1382" s="601" t="s">
        <v>772</v>
      </c>
      <c r="D1382" s="600" t="s">
        <v>100</v>
      </c>
      <c r="E1382" s="600" t="s">
        <v>647</v>
      </c>
      <c r="F1382" s="600" t="s">
        <v>112</v>
      </c>
      <c r="G1382" s="600" t="s">
        <v>49</v>
      </c>
      <c r="H1382" s="600" t="s">
        <v>242</v>
      </c>
      <c r="I1382" s="600" t="s">
        <v>648</v>
      </c>
      <c r="J1382" s="600" t="s">
        <v>35</v>
      </c>
      <c r="K1382" s="613">
        <v>32000</v>
      </c>
      <c r="L1382" s="603">
        <f>IF(J1382="TND",1,IF(J1382="EUR",Vertical_Cash_flow!$C$16,IF(J1382="USD",Vertical_Cash_flow!$F$16,0)))</f>
        <v>1</v>
      </c>
      <c r="M1382" s="604">
        <f t="shared" si="123"/>
        <v>32000</v>
      </c>
      <c r="N1382" s="600" t="s">
        <v>252</v>
      </c>
      <c r="O1382" s="601">
        <v>45474</v>
      </c>
      <c r="P1382" s="604">
        <f t="shared" si="124"/>
        <v>4</v>
      </c>
      <c r="Q1382" s="601">
        <v>45478</v>
      </c>
      <c r="R1382" s="604">
        <f ca="1">$W$1-Q1382</f>
        <v>-37</v>
      </c>
      <c r="S1382" s="600" t="str">
        <f>VLOOKUP(Q1382,Mapping!L:M,2,0)</f>
        <v>W27_2024</v>
      </c>
      <c r="T1382" s="600" t="str">
        <f ca="1">IF(R1382="","",IF(R1382&lt;0,"Not Due",IF(AND(R1382&gt;=0,R1382&lt;=30),"up to 30 days",IF(AND(R1382&gt;30,R1382&lt;=60),"30-60 days",IF(AND(R1382&gt;60,R1382&lt;=90),"60-90 days",IF(AND(R1382&gt;90,R1382&lt;=120),"90-120 days",IF(AND(R1382&gt;120,R1382&lt;=180),"120-180 days",IF(AND(R1382&gt;180,R1382&lt;=360),"180-360 days",IF(R1382&gt;360,"more than 360 days","ok")))))))))</f>
        <v>Not Due</v>
      </c>
      <c r="W1382" s="599"/>
    </row>
    <row r="1383" spans="1:23" s="600" customFormat="1" x14ac:dyDescent="0.2">
      <c r="A1383" s="600" t="s">
        <v>56</v>
      </c>
      <c r="B1383" s="600" t="s">
        <v>646</v>
      </c>
      <c r="C1383" s="601" t="s">
        <v>772</v>
      </c>
      <c r="D1383" s="600" t="s">
        <v>100</v>
      </c>
      <c r="E1383" s="600" t="s">
        <v>647</v>
      </c>
      <c r="F1383" s="600" t="s">
        <v>112</v>
      </c>
      <c r="G1383" s="600" t="s">
        <v>49</v>
      </c>
      <c r="H1383" s="600" t="s">
        <v>242</v>
      </c>
      <c r="I1383" s="600" t="s">
        <v>649</v>
      </c>
      <c r="J1383" s="600" t="s">
        <v>35</v>
      </c>
      <c r="K1383" s="602">
        <v>120000</v>
      </c>
      <c r="L1383" s="603">
        <f>IF(J1383="TND",1,IF(J1383="EUR",Vertical_Cash_flow!$C$16,IF(J1383="USD",Vertical_Cash_flow!$F$16,0)))</f>
        <v>1</v>
      </c>
      <c r="M1383" s="604">
        <f t="shared" si="123"/>
        <v>120000</v>
      </c>
      <c r="N1383" s="600" t="s">
        <v>252</v>
      </c>
      <c r="O1383" s="601">
        <v>45474</v>
      </c>
      <c r="P1383" s="604">
        <f t="shared" si="124"/>
        <v>4</v>
      </c>
      <c r="Q1383" s="601">
        <v>45478</v>
      </c>
      <c r="R1383" s="604">
        <f ca="1">$W$1-Q1383</f>
        <v>-37</v>
      </c>
      <c r="S1383" s="600" t="str">
        <f>VLOOKUP(Q1383,Mapping!L:M,2,0)</f>
        <v>W27_2024</v>
      </c>
      <c r="T1383" s="600" t="str">
        <f ca="1">IF(R1383="","",IF(R1383&lt;0,"Not Due",IF(AND(R1383&gt;=0,R1383&lt;=30),"up to 30 days",IF(AND(R1383&gt;30,R1383&lt;=60),"30-60 days",IF(AND(R1383&gt;60,R1383&lt;=90),"60-90 days",IF(AND(R1383&gt;90,R1383&lt;=120),"90-120 days",IF(AND(R1383&gt;120,R1383&lt;=180),"120-180 days",IF(AND(R1383&gt;180,R1383&lt;=360),"180-360 days",IF(R1383&gt;360,"more than 360 days","ok")))))))))</f>
        <v>Not Due</v>
      </c>
      <c r="W1383" s="599"/>
    </row>
    <row r="1384" spans="1:23" s="600" customFormat="1" x14ac:dyDescent="0.2">
      <c r="A1384" s="600" t="s">
        <v>56</v>
      </c>
      <c r="B1384" s="600" t="s">
        <v>646</v>
      </c>
      <c r="C1384" s="601" t="s">
        <v>772</v>
      </c>
      <c r="D1384" s="600" t="s">
        <v>100</v>
      </c>
      <c r="E1384" s="600" t="s">
        <v>647</v>
      </c>
      <c r="F1384" s="600" t="s">
        <v>112</v>
      </c>
      <c r="G1384" s="600" t="s">
        <v>49</v>
      </c>
      <c r="H1384" s="600" t="s">
        <v>242</v>
      </c>
      <c r="I1384" s="600" t="s">
        <v>648</v>
      </c>
      <c r="J1384" s="600" t="s">
        <v>35</v>
      </c>
      <c r="K1384" s="613">
        <v>45000</v>
      </c>
      <c r="L1384" s="603">
        <f>IF(J1384="TND",1,IF(J1384="EUR",Vertical_Cash_flow!$C$16,IF(J1384="USD",Vertical_Cash_flow!$F$16,0)))</f>
        <v>1</v>
      </c>
      <c r="M1384" s="604">
        <f t="shared" si="123"/>
        <v>45000</v>
      </c>
      <c r="N1384" s="600" t="s">
        <v>252</v>
      </c>
      <c r="O1384" s="601">
        <v>45481</v>
      </c>
      <c r="P1384" s="604">
        <f t="shared" si="124"/>
        <v>4</v>
      </c>
      <c r="Q1384" s="601">
        <v>45485</v>
      </c>
      <c r="R1384" s="604">
        <f ca="1">$W$1-Q1384</f>
        <v>-44</v>
      </c>
      <c r="S1384" s="600" t="str">
        <f>VLOOKUP(Q1384,Mapping!L:M,2,0)</f>
        <v>W28_2024</v>
      </c>
      <c r="T1384" s="600" t="str">
        <f ca="1">IF(R1384="","",IF(R1384&lt;0,"Not Due",IF(AND(R1384&gt;=0,R1384&lt;=30),"up to 30 days",IF(AND(R1384&gt;30,R1384&lt;=60),"30-60 days",IF(AND(R1384&gt;60,R1384&lt;=90),"60-90 days",IF(AND(R1384&gt;90,R1384&lt;=120),"90-120 days",IF(AND(R1384&gt;120,R1384&lt;=180),"120-180 days",IF(AND(R1384&gt;180,R1384&lt;=360),"180-360 days",IF(R1384&gt;360,"more than 360 days","ok")))))))))</f>
        <v>Not Due</v>
      </c>
      <c r="W1384" s="599"/>
    </row>
    <row r="1385" spans="1:23" s="600" customFormat="1" x14ac:dyDescent="0.2">
      <c r="A1385" s="600" t="s">
        <v>56</v>
      </c>
      <c r="B1385" s="600" t="s">
        <v>646</v>
      </c>
      <c r="C1385" s="601" t="s">
        <v>772</v>
      </c>
      <c r="D1385" s="600" t="s">
        <v>100</v>
      </c>
      <c r="E1385" s="600" t="s">
        <v>647</v>
      </c>
      <c r="F1385" s="600" t="s">
        <v>112</v>
      </c>
      <c r="G1385" s="600" t="s">
        <v>49</v>
      </c>
      <c r="H1385" s="600" t="s">
        <v>242</v>
      </c>
      <c r="I1385" s="600" t="s">
        <v>649</v>
      </c>
      <c r="J1385" s="600" t="s">
        <v>35</v>
      </c>
      <c r="K1385" s="602">
        <v>125000</v>
      </c>
      <c r="L1385" s="603">
        <f>IF(J1385="TND",1,IF(J1385="EUR",Vertical_Cash_flow!$C$16,IF(J1385="USD",Vertical_Cash_flow!$F$16,0)))</f>
        <v>1</v>
      </c>
      <c r="M1385" s="604">
        <f t="shared" si="123"/>
        <v>125000</v>
      </c>
      <c r="N1385" s="600" t="s">
        <v>252</v>
      </c>
      <c r="O1385" s="601">
        <v>45481</v>
      </c>
      <c r="P1385" s="604">
        <f t="shared" si="124"/>
        <v>4</v>
      </c>
      <c r="Q1385" s="601">
        <v>45485</v>
      </c>
      <c r="R1385" s="604">
        <f ca="1">$W$1-Q1385</f>
        <v>-44</v>
      </c>
      <c r="S1385" s="600" t="str">
        <f>VLOOKUP(Q1385,Mapping!L:M,2,0)</f>
        <v>W28_2024</v>
      </c>
      <c r="T1385" s="600" t="str">
        <f ca="1">IF(R1385="","",IF(R1385&lt;0,"Not Due",IF(AND(R1385&gt;=0,R1385&lt;=30),"up to 30 days",IF(AND(R1385&gt;30,R1385&lt;=60),"30-60 days",IF(AND(R1385&gt;60,R1385&lt;=90),"60-90 days",IF(AND(R1385&gt;90,R1385&lt;=120),"90-120 days",IF(AND(R1385&gt;120,R1385&lt;=180),"120-180 days",IF(AND(R1385&gt;180,R1385&lt;=360),"180-360 days",IF(R1385&gt;360,"more than 360 days","ok")))))))))</f>
        <v>Not Due</v>
      </c>
      <c r="W1385" s="599"/>
    </row>
    <row r="1386" spans="1:23" x14ac:dyDescent="0.2">
      <c r="A1386" s="33" t="s">
        <v>58</v>
      </c>
      <c r="B1386" s="33" t="s">
        <v>654</v>
      </c>
      <c r="C1386" s="408" t="s">
        <v>655</v>
      </c>
      <c r="D1386" s="33" t="s">
        <v>101</v>
      </c>
      <c r="E1386" s="33" t="s">
        <v>653</v>
      </c>
      <c r="F1386" s="33" t="s">
        <v>113</v>
      </c>
      <c r="G1386" s="33" t="s">
        <v>53</v>
      </c>
      <c r="H1386" s="33" t="s">
        <v>243</v>
      </c>
      <c r="I1386" s="408">
        <v>44636</v>
      </c>
      <c r="J1386" s="33" t="s">
        <v>1</v>
      </c>
      <c r="K1386" s="400">
        <v>2255.5700000000002</v>
      </c>
      <c r="L1386" s="318">
        <f>IF(J1386="TND",1,IF(J1386="EUR",Vertical_Cash_flow!$C$16,IF(J1386="USD",Vertical_Cash_flow!$F$16,0)))</f>
        <v>0.3</v>
      </c>
      <c r="M1386" s="255">
        <f t="shared" ref="M1386:M1392" si="127">K1386/L1386</f>
        <v>7518.5666666666675</v>
      </c>
      <c r="N1386" s="33" t="s">
        <v>251</v>
      </c>
      <c r="O1386" s="408">
        <v>44636</v>
      </c>
      <c r="P1386" s="255">
        <f t="shared" ref="P1386:P1390" si="128">Q1386-O1386</f>
        <v>60</v>
      </c>
      <c r="Q1386" s="408">
        <v>44696</v>
      </c>
      <c r="R1386" s="255">
        <f t="shared" ref="R1386:R1392" ca="1" si="129">$W$1-Q1386</f>
        <v>745</v>
      </c>
      <c r="S1386" s="33" t="str">
        <f>VLOOKUP(Q1386,Mapping!L:M,2,0)</f>
        <v>W20_2022</v>
      </c>
      <c r="T1386" s="33" t="str">
        <f t="shared" ref="T1386:T1392" ca="1" si="130">IF(R1386="","",IF(R1386&lt;0,"Not Due",IF(AND(R1386&gt;=0,R1386&lt;=30),"up to 30 days",IF(AND(R1386&gt;30,R1386&lt;=60),"30-60 days",IF(AND(R1386&gt;60,R1386&lt;=90),"60-90 days",IF(AND(R1386&gt;90,R1386&lt;=120),"90-120 days",IF(AND(R1386&gt;120,R1386&lt;=180),"120-180 days",IF(AND(R1386&gt;180,R1386&lt;=360),"180-360 days",IF(R1386&gt;360,"more than 360 days","ok")))))))))</f>
        <v>more than 360 days</v>
      </c>
      <c r="W1386" s="356"/>
    </row>
    <row r="1387" spans="1:23" x14ac:dyDescent="0.2">
      <c r="A1387" s="33" t="s">
        <v>58</v>
      </c>
      <c r="B1387" s="33" t="s">
        <v>654</v>
      </c>
      <c r="C1387" s="408" t="s">
        <v>656</v>
      </c>
      <c r="D1387" s="33" t="s">
        <v>101</v>
      </c>
      <c r="E1387" s="33" t="s">
        <v>653</v>
      </c>
      <c r="F1387" s="33" t="s">
        <v>113</v>
      </c>
      <c r="G1387" s="33" t="s">
        <v>53</v>
      </c>
      <c r="H1387" s="33" t="s">
        <v>243</v>
      </c>
      <c r="I1387" s="408">
        <v>44652</v>
      </c>
      <c r="J1387" s="33" t="s">
        <v>1</v>
      </c>
      <c r="K1387" s="400">
        <v>15884</v>
      </c>
      <c r="L1387" s="318">
        <f>IF(J1387="TND",1,IF(J1387="EUR",Vertical_Cash_flow!$C$16,IF(J1387="USD",Vertical_Cash_flow!$F$16,0)))</f>
        <v>0.3</v>
      </c>
      <c r="M1387" s="255">
        <f t="shared" si="127"/>
        <v>52946.666666666672</v>
      </c>
      <c r="N1387" s="33" t="s">
        <v>251</v>
      </c>
      <c r="O1387" s="408">
        <v>44652</v>
      </c>
      <c r="P1387" s="255">
        <f t="shared" si="128"/>
        <v>60</v>
      </c>
      <c r="Q1387" s="408">
        <v>44712</v>
      </c>
      <c r="R1387" s="255">
        <f t="shared" ca="1" si="129"/>
        <v>729</v>
      </c>
      <c r="S1387" s="33" t="str">
        <f>VLOOKUP(Q1387,Mapping!L:M,2,0)</f>
        <v>W22_2022</v>
      </c>
      <c r="T1387" s="33" t="str">
        <f t="shared" ca="1" si="130"/>
        <v>more than 360 days</v>
      </c>
      <c r="W1387" s="356"/>
    </row>
    <row r="1388" spans="1:23" x14ac:dyDescent="0.2">
      <c r="A1388" s="33" t="s">
        <v>58</v>
      </c>
      <c r="B1388" s="33" t="s">
        <v>654</v>
      </c>
      <c r="C1388" s="408" t="s">
        <v>657</v>
      </c>
      <c r="D1388" s="33" t="s">
        <v>101</v>
      </c>
      <c r="E1388" s="33" t="s">
        <v>653</v>
      </c>
      <c r="F1388" s="33" t="s">
        <v>113</v>
      </c>
      <c r="G1388" s="33" t="s">
        <v>53</v>
      </c>
      <c r="H1388" s="33" t="s">
        <v>243</v>
      </c>
      <c r="I1388" s="408">
        <v>44678</v>
      </c>
      <c r="J1388" s="33" t="s">
        <v>1</v>
      </c>
      <c r="K1388" s="400">
        <v>17521</v>
      </c>
      <c r="L1388" s="318">
        <f>IF(J1388="TND",1,IF(J1388="EUR",Vertical_Cash_flow!$C$16,IF(J1388="USD",Vertical_Cash_flow!$F$16,0)))</f>
        <v>0.3</v>
      </c>
      <c r="M1388" s="255">
        <f t="shared" si="127"/>
        <v>58403.333333333336</v>
      </c>
      <c r="N1388" s="33" t="s">
        <v>251</v>
      </c>
      <c r="O1388" s="408">
        <v>44678</v>
      </c>
      <c r="P1388" s="255">
        <f t="shared" si="128"/>
        <v>60</v>
      </c>
      <c r="Q1388" s="408">
        <v>44738</v>
      </c>
      <c r="R1388" s="255">
        <f t="shared" ca="1" si="129"/>
        <v>703</v>
      </c>
      <c r="S1388" s="33" t="str">
        <f>VLOOKUP(Q1388,Mapping!L:M,2,0)</f>
        <v>W26_2022</v>
      </c>
      <c r="T1388" s="33" t="str">
        <f t="shared" ca="1" si="130"/>
        <v>more than 360 days</v>
      </c>
      <c r="W1388" s="356"/>
    </row>
    <row r="1389" spans="1:23" x14ac:dyDescent="0.2">
      <c r="A1389" s="33" t="s">
        <v>58</v>
      </c>
      <c r="B1389" s="33" t="s">
        <v>654</v>
      </c>
      <c r="C1389" s="408" t="s">
        <v>658</v>
      </c>
      <c r="D1389" s="33" t="s">
        <v>101</v>
      </c>
      <c r="E1389" s="33" t="s">
        <v>653</v>
      </c>
      <c r="F1389" s="33" t="s">
        <v>113</v>
      </c>
      <c r="G1389" s="33" t="s">
        <v>53</v>
      </c>
      <c r="H1389" s="33" t="s">
        <v>243</v>
      </c>
      <c r="I1389" s="408">
        <v>44700</v>
      </c>
      <c r="J1389" s="33" t="s">
        <v>1</v>
      </c>
      <c r="K1389" s="400">
        <v>19835</v>
      </c>
      <c r="L1389" s="318">
        <f>IF(J1389="TND",1,IF(J1389="EUR",Vertical_Cash_flow!$C$16,IF(J1389="USD",Vertical_Cash_flow!$F$16,0)))</f>
        <v>0.3</v>
      </c>
      <c r="M1389" s="255">
        <f t="shared" si="127"/>
        <v>66116.666666666672</v>
      </c>
      <c r="N1389" s="33" t="s">
        <v>251</v>
      </c>
      <c r="O1389" s="408">
        <v>44700</v>
      </c>
      <c r="P1389" s="255">
        <f t="shared" si="128"/>
        <v>23</v>
      </c>
      <c r="Q1389" s="408">
        <v>44723</v>
      </c>
      <c r="R1389" s="255">
        <f t="shared" ca="1" si="129"/>
        <v>718</v>
      </c>
      <c r="S1389" s="33" t="str">
        <f>VLOOKUP(Q1389,Mapping!L:M,2,0)</f>
        <v>W24_2022</v>
      </c>
      <c r="T1389" s="33" t="str">
        <f t="shared" ca="1" si="130"/>
        <v>more than 360 days</v>
      </c>
      <c r="W1389" s="356"/>
    </row>
    <row r="1390" spans="1:23" x14ac:dyDescent="0.2">
      <c r="A1390" s="33" t="s">
        <v>58</v>
      </c>
      <c r="B1390" s="33" t="s">
        <v>654</v>
      </c>
      <c r="C1390" s="408" t="s">
        <v>659</v>
      </c>
      <c r="D1390" s="33" t="s">
        <v>101</v>
      </c>
      <c r="E1390" s="33" t="s">
        <v>653</v>
      </c>
      <c r="F1390" s="33" t="s">
        <v>113</v>
      </c>
      <c r="G1390" s="33" t="s">
        <v>53</v>
      </c>
      <c r="H1390" s="33" t="s">
        <v>243</v>
      </c>
      <c r="I1390" s="408">
        <v>44720</v>
      </c>
      <c r="J1390" s="33" t="s">
        <v>1</v>
      </c>
      <c r="K1390" s="400">
        <v>15019.5</v>
      </c>
      <c r="L1390" s="318">
        <f>IF(J1390="TND",1,IF(J1390="EUR",Vertical_Cash_flow!$C$16,IF(J1390="USD",Vertical_Cash_flow!$F$16,0)))</f>
        <v>0.3</v>
      </c>
      <c r="M1390" s="255">
        <f t="shared" si="127"/>
        <v>50065</v>
      </c>
      <c r="N1390" s="33" t="s">
        <v>251</v>
      </c>
      <c r="O1390" s="408">
        <v>44720</v>
      </c>
      <c r="P1390" s="255">
        <f t="shared" si="128"/>
        <v>60</v>
      </c>
      <c r="Q1390" s="408">
        <v>44780</v>
      </c>
      <c r="R1390" s="255">
        <f t="shared" ca="1" si="129"/>
        <v>661</v>
      </c>
      <c r="S1390" s="33" t="str">
        <f>VLOOKUP(Q1390,Mapping!L:M,2,0)</f>
        <v>W32_2022</v>
      </c>
      <c r="T1390" s="33" t="str">
        <f t="shared" ca="1" si="130"/>
        <v>more than 360 days</v>
      </c>
      <c r="W1390" s="356"/>
    </row>
    <row r="1391" spans="1:23" x14ac:dyDescent="0.2">
      <c r="A1391" s="33" t="s">
        <v>58</v>
      </c>
      <c r="B1391" s="33" t="s">
        <v>651</v>
      </c>
      <c r="C1391" s="408" t="s">
        <v>802</v>
      </c>
      <c r="D1391" s="33" t="s">
        <v>101</v>
      </c>
      <c r="E1391" s="33" t="s">
        <v>647</v>
      </c>
      <c r="F1391" s="33" t="s">
        <v>112</v>
      </c>
      <c r="G1391" s="33" t="s">
        <v>49</v>
      </c>
      <c r="H1391" s="33" t="s">
        <v>243</v>
      </c>
      <c r="I1391" s="408">
        <v>44935</v>
      </c>
      <c r="J1391" s="33" t="s">
        <v>1</v>
      </c>
      <c r="K1391" s="400">
        <v>30256.22</v>
      </c>
      <c r="L1391" s="318">
        <f>IF(J1391="TND",1,IF(J1391="EUR",Vertical_Cash_flow!$C$16,IF(J1391="USD",Vertical_Cash_flow!$F$16,0)))</f>
        <v>0.3</v>
      </c>
      <c r="M1391" s="255">
        <f t="shared" si="127"/>
        <v>100854.06666666668</v>
      </c>
      <c r="N1391" s="33" t="s">
        <v>251</v>
      </c>
      <c r="O1391" s="408">
        <v>44935</v>
      </c>
      <c r="P1391" s="255">
        <f>Q1391-O1391</f>
        <v>60</v>
      </c>
      <c r="Q1391" s="408">
        <f>O1391+60</f>
        <v>44995</v>
      </c>
      <c r="R1391" s="255">
        <f t="shared" ca="1" si="129"/>
        <v>446</v>
      </c>
      <c r="S1391" s="33" t="str">
        <f>VLOOKUP(Q1391,Mapping!L:M,2,0)</f>
        <v>W10_2023</v>
      </c>
      <c r="T1391" s="33" t="str">
        <f t="shared" ca="1" si="130"/>
        <v>more than 360 days</v>
      </c>
      <c r="W1391" s="356"/>
    </row>
    <row r="1392" spans="1:23" x14ac:dyDescent="0.2">
      <c r="A1392" s="33" t="s">
        <v>58</v>
      </c>
      <c r="B1392" s="33" t="s">
        <v>651</v>
      </c>
      <c r="C1392" s="408" t="s">
        <v>829</v>
      </c>
      <c r="D1392" s="33" t="s">
        <v>101</v>
      </c>
      <c r="E1392" s="33" t="s">
        <v>647</v>
      </c>
      <c r="F1392" s="33" t="s">
        <v>112</v>
      </c>
      <c r="G1392" s="33" t="s">
        <v>49</v>
      </c>
      <c r="H1392" s="33" t="s">
        <v>243</v>
      </c>
      <c r="I1392" s="408">
        <v>45002</v>
      </c>
      <c r="J1392" s="33" t="s">
        <v>1</v>
      </c>
      <c r="K1392" s="400">
        <v>99130.08</v>
      </c>
      <c r="L1392" s="318">
        <f>IF(J1392="TND",1,IF(J1392="EUR",Vertical_Cash_flow!$C$16,IF(J1392="USD",Vertical_Cash_flow!$F$16,0)))</f>
        <v>0.3</v>
      </c>
      <c r="M1392" s="255">
        <f t="shared" si="127"/>
        <v>330433.60000000003</v>
      </c>
      <c r="N1392" s="33" t="s">
        <v>251</v>
      </c>
      <c r="O1392" s="408">
        <v>45002</v>
      </c>
      <c r="P1392" s="255">
        <f>Q1392-O1392</f>
        <v>44</v>
      </c>
      <c r="Q1392" s="408">
        <v>45046</v>
      </c>
      <c r="R1392" s="255">
        <f t="shared" ca="1" si="129"/>
        <v>395</v>
      </c>
      <c r="S1392" s="33" t="str">
        <f>VLOOKUP(Q1392,Mapping!L:M,2,0)</f>
        <v>W18_2023</v>
      </c>
      <c r="T1392" s="33" t="str">
        <f t="shared" ca="1" si="130"/>
        <v>more than 360 days</v>
      </c>
      <c r="W1392" s="356"/>
    </row>
    <row r="1393" spans="1:20" s="583" customFormat="1" x14ac:dyDescent="0.2">
      <c r="A1393" s="555" t="s">
        <v>58</v>
      </c>
      <c r="B1393" s="555" t="s">
        <v>916</v>
      </c>
      <c r="C1393" s="556" t="s">
        <v>917</v>
      </c>
      <c r="D1393" s="555" t="s">
        <v>101</v>
      </c>
      <c r="E1393" s="555" t="s">
        <v>653</v>
      </c>
      <c r="F1393" s="555" t="s">
        <v>116</v>
      </c>
      <c r="G1393" s="555" t="s">
        <v>50</v>
      </c>
      <c r="H1393" s="555" t="s">
        <v>243</v>
      </c>
      <c r="I1393" s="556">
        <v>45179</v>
      </c>
      <c r="J1393" s="555" t="s">
        <v>0</v>
      </c>
      <c r="K1393" s="507">
        <v>-61533.88</v>
      </c>
      <c r="L1393" s="508">
        <f>IF(J1393="TND",1,IF(J1393="EUR",Vertical_Cash_flow!$C$16,IF(J1393="USD",Vertical_Cash_flow!$F$16,0)))</f>
        <v>0.33</v>
      </c>
      <c r="M1393" s="509">
        <f t="shared" ref="M1393" si="131">K1393/L1393</f>
        <v>-186466.30303030301</v>
      </c>
      <c r="N1393" s="555" t="s">
        <v>251</v>
      </c>
      <c r="O1393" s="556">
        <v>45179</v>
      </c>
      <c r="P1393" s="509">
        <f t="shared" ref="P1393" si="132">Q1393-O1393</f>
        <v>103</v>
      </c>
      <c r="Q1393" s="556">
        <v>45282</v>
      </c>
      <c r="R1393" s="509">
        <f t="shared" ref="R1393" ca="1" si="133">$W$1-Q1393</f>
        <v>159</v>
      </c>
      <c r="S1393" s="555" t="str">
        <f>VLOOKUP(Q1393,Mapping!L:M,2,0)</f>
        <v>W51_2023</v>
      </c>
      <c r="T1393" s="555" t="str">
        <f t="shared" ref="T1393" ca="1" si="134">IF(R1393="","",IF(R1393&lt;0,"Not Due",IF(AND(R1393&gt;=0,R1393&lt;=30),"up to 30 days",IF(AND(R1393&gt;30,R1393&lt;=60),"30-60 days",IF(AND(R1393&gt;60,R1393&lt;=90),"60-90 days",IF(AND(R1393&gt;90,R1393&lt;=120),"90-120 days",IF(AND(R1393&gt;120,R1393&lt;=180),"120-180 days",IF(AND(R1393&gt;180,R1393&lt;=360),"180-360 days",IF(R1393&gt;360,"more than 360 days","ok")))))))))</f>
        <v>120-180 days</v>
      </c>
    </row>
    <row r="1394" spans="1:20" x14ac:dyDescent="0.2">
      <c r="A1394" s="33" t="s">
        <v>58</v>
      </c>
      <c r="B1394" t="s">
        <v>1226</v>
      </c>
      <c r="C1394" t="s">
        <v>1227</v>
      </c>
      <c r="D1394" s="408" t="s">
        <v>101</v>
      </c>
      <c r="E1394" s="33" t="s">
        <v>653</v>
      </c>
      <c r="F1394" s="33" t="s">
        <v>116</v>
      </c>
      <c r="G1394" t="s">
        <v>1226</v>
      </c>
      <c r="H1394" s="33" t="s">
        <v>243</v>
      </c>
      <c r="I1394" s="39" t="s">
        <v>105</v>
      </c>
      <c r="J1394" s="33" t="s">
        <v>1</v>
      </c>
      <c r="K1394" s="317">
        <v>53529.09</v>
      </c>
      <c r="L1394" s="318">
        <f>IF(J1394="TND",1,IF(J1394="EUR",Vertical_Cash_flow!$C$16,IF(J1394="USD",Vertical_Cash_flow!$F$16,0)))</f>
        <v>0.3</v>
      </c>
      <c r="M1394" s="255">
        <f t="shared" ref="M1394:M1398" si="135">K1394/L1394</f>
        <v>178430.3</v>
      </c>
      <c r="N1394" s="33" t="s">
        <v>251</v>
      </c>
      <c r="O1394" s="39">
        <v>45323</v>
      </c>
      <c r="P1394" s="255">
        <f>+Q1394-O1394</f>
        <v>85</v>
      </c>
      <c r="Q1394" s="39">
        <f t="shared" ref="Q1394:Q1398" si="136">O1394+85</f>
        <v>45408</v>
      </c>
      <c r="R1394" s="255">
        <f t="shared" ref="R1394:R1398" ca="1" si="137">$W$1-Q1394</f>
        <v>33</v>
      </c>
      <c r="S1394" s="33" t="str">
        <f>VLOOKUP(Q1394,Mapping!L:M,2,0)</f>
        <v>W17_2024</v>
      </c>
      <c r="T1394" s="33" t="str">
        <f t="shared" ref="T1394:T1398" ca="1" si="138">IF(R1394="","",IF(R1394&lt;0,"Not Due",IF(AND(R1394&gt;=0,R1394&lt;=30),"up to 30 days",IF(AND(R1394&gt;30,R1394&lt;=60),"30-60 days",IF(AND(R1394&gt;60,R1394&lt;=90),"60-90 days",IF(AND(R1394&gt;90,R1394&lt;=120),"90-120 days",IF(AND(R1394&gt;120,R1394&lt;=180),"120-180 days",IF(AND(R1394&gt;180,R1394&lt;=360),"180-360 days",IF(R1394&gt;360,"more than 360 days","ok")))))))))</f>
        <v>30-60 days</v>
      </c>
    </row>
    <row r="1395" spans="1:20" s="34" customFormat="1" x14ac:dyDescent="0.2">
      <c r="A1395" s="34" t="s">
        <v>58</v>
      </c>
      <c r="B1395" s="34" t="s">
        <v>1226</v>
      </c>
      <c r="C1395" s="34" t="s">
        <v>1227</v>
      </c>
      <c r="D1395" s="409" t="s">
        <v>101</v>
      </c>
      <c r="E1395" s="34" t="s">
        <v>653</v>
      </c>
      <c r="F1395" s="34" t="s">
        <v>116</v>
      </c>
      <c r="G1395" s="34" t="s">
        <v>1226</v>
      </c>
      <c r="H1395" s="34" t="s">
        <v>243</v>
      </c>
      <c r="I1395" s="409" t="s">
        <v>105</v>
      </c>
      <c r="J1395" s="34" t="s">
        <v>1</v>
      </c>
      <c r="K1395" s="584">
        <v>53529.09</v>
      </c>
      <c r="L1395" s="459">
        <f>IF(J1395="TND",1,IF(J1395="EUR",Vertical_Cash_flow!$C$16,IF(J1395="USD",Vertical_Cash_flow!$F$16,0)))</f>
        <v>0.3</v>
      </c>
      <c r="M1395" s="257">
        <f t="shared" ref="M1395" si="139">K1395/L1395</f>
        <v>178430.3</v>
      </c>
      <c r="N1395" s="34" t="s">
        <v>252</v>
      </c>
      <c r="O1395" s="409">
        <v>45323</v>
      </c>
      <c r="P1395" s="257">
        <f>+Q1395-O1395</f>
        <v>120</v>
      </c>
      <c r="Q1395" s="409">
        <v>45443</v>
      </c>
      <c r="R1395" s="257">
        <f t="shared" ref="R1395" ca="1" si="140">$W$1-Q1395</f>
        <v>-2</v>
      </c>
      <c r="S1395" s="34" t="str">
        <f>VLOOKUP(Q1395,Mapping!L:M,2,0)</f>
        <v>W22_2024</v>
      </c>
      <c r="T1395" s="34" t="str">
        <f t="shared" ref="T1395" ca="1" si="141">IF(R1395="","",IF(R1395&lt;0,"Not Due",IF(AND(R1395&gt;=0,R1395&lt;=30),"up to 30 days",IF(AND(R1395&gt;30,R1395&lt;=60),"30-60 days",IF(AND(R1395&gt;60,R1395&lt;=90),"60-90 days",IF(AND(R1395&gt;90,R1395&lt;=120),"90-120 days",IF(AND(R1395&gt;120,R1395&lt;=180),"120-180 days",IF(AND(R1395&gt;180,R1395&lt;=360),"180-360 days",IF(R1395&gt;360,"more than 360 days","ok")))))))))</f>
        <v>Not Due</v>
      </c>
    </row>
    <row r="1396" spans="1:20" s="34" customFormat="1" x14ac:dyDescent="0.2">
      <c r="A1396" s="34" t="s">
        <v>58</v>
      </c>
      <c r="B1396" s="34" t="s">
        <v>2977</v>
      </c>
      <c r="C1396" s="34" t="s">
        <v>2979</v>
      </c>
      <c r="D1396" s="34" t="s">
        <v>101</v>
      </c>
      <c r="E1396" s="34" t="s">
        <v>2978</v>
      </c>
      <c r="F1396" s="34" t="s">
        <v>116</v>
      </c>
      <c r="G1396" s="34" t="s">
        <v>2977</v>
      </c>
      <c r="H1396" s="34" t="s">
        <v>243</v>
      </c>
      <c r="I1396" s="409" t="s">
        <v>105</v>
      </c>
      <c r="J1396" s="34" t="s">
        <v>1</v>
      </c>
      <c r="K1396" s="584">
        <v>255443.34</v>
      </c>
      <c r="L1396" s="459">
        <f>IF(J1396="TND",1,IF(J1396="EUR",Vertical_Cash_flow!$C$16,IF(J1396="USD",Vertical_Cash_flow!$F$16,0)))</f>
        <v>0.3</v>
      </c>
      <c r="M1396" s="257">
        <f t="shared" si="135"/>
        <v>851477.8</v>
      </c>
      <c r="N1396" s="34" t="s">
        <v>252</v>
      </c>
      <c r="O1396" s="409">
        <v>45404</v>
      </c>
      <c r="P1396" s="257">
        <f>+Q1396-O1396</f>
        <v>67</v>
      </c>
      <c r="Q1396" s="409">
        <v>45471</v>
      </c>
      <c r="R1396" s="257">
        <f t="shared" ref="R1396" ca="1" si="142">$W$1-Q1396</f>
        <v>-30</v>
      </c>
      <c r="S1396" s="34" t="str">
        <f>VLOOKUP(Q1396,Mapping!L:M,2,0)</f>
        <v>W26_2024</v>
      </c>
      <c r="T1396" s="34" t="str">
        <f t="shared" ref="T1396" ca="1" si="143">IF(R1396="","",IF(R1396&lt;0,"Not Due",IF(AND(R1396&gt;=0,R1396&lt;=30),"up to 30 days",IF(AND(R1396&gt;30,R1396&lt;=60),"30-60 days",IF(AND(R1396&gt;60,R1396&lt;=90),"60-90 days",IF(AND(R1396&gt;90,R1396&lt;=120),"90-120 days",IF(AND(R1396&gt;120,R1396&lt;=180),"120-180 days",IF(AND(R1396&gt;180,R1396&lt;=360),"180-360 days",IF(R1396&gt;360,"more than 360 days","ok")))))))))</f>
        <v>Not Due</v>
      </c>
    </row>
    <row r="1397" spans="1:20" x14ac:dyDescent="0.2">
      <c r="A1397" s="33" t="s">
        <v>58</v>
      </c>
      <c r="B1397" t="s">
        <v>2304</v>
      </c>
      <c r="C1397" t="s">
        <v>1463</v>
      </c>
      <c r="D1397" s="408" t="s">
        <v>101</v>
      </c>
      <c r="E1397" s="33" t="s">
        <v>653</v>
      </c>
      <c r="F1397" s="33" t="s">
        <v>116</v>
      </c>
      <c r="G1397" t="s">
        <v>2304</v>
      </c>
      <c r="H1397" s="33" t="s">
        <v>243</v>
      </c>
      <c r="I1397" s="39" t="s">
        <v>105</v>
      </c>
      <c r="J1397" s="33" t="s">
        <v>1</v>
      </c>
      <c r="K1397" s="317">
        <v>50760.74</v>
      </c>
      <c r="L1397" s="318">
        <f>IF(J1397="TND",1,IF(J1397="EUR",Vertical_Cash_flow!$C$16,IF(J1397="USD",Vertical_Cash_flow!$F$16,0)))</f>
        <v>0.3</v>
      </c>
      <c r="M1397" s="255">
        <f t="shared" si="135"/>
        <v>169202.46666666667</v>
      </c>
      <c r="N1397" s="33" t="s">
        <v>251</v>
      </c>
      <c r="O1397" s="39">
        <v>45344</v>
      </c>
      <c r="P1397" s="255">
        <f t="shared" ref="P1397:P1410" si="144">+Q1397-O1397</f>
        <v>85</v>
      </c>
      <c r="Q1397" s="39">
        <f t="shared" si="136"/>
        <v>45429</v>
      </c>
      <c r="R1397" s="255">
        <f t="shared" ca="1" si="137"/>
        <v>12</v>
      </c>
      <c r="S1397" s="33" t="str">
        <f>VLOOKUP(Q1397,Mapping!L:M,2,0)</f>
        <v>W20_2024</v>
      </c>
      <c r="T1397" s="33" t="str">
        <f t="shared" ca="1" si="138"/>
        <v>up to 30 days</v>
      </c>
    </row>
    <row r="1398" spans="1:20" x14ac:dyDescent="0.2">
      <c r="A1398" s="33" t="s">
        <v>58</v>
      </c>
      <c r="B1398" t="s">
        <v>2304</v>
      </c>
      <c r="C1398" t="s">
        <v>2305</v>
      </c>
      <c r="D1398" s="408" t="s">
        <v>101</v>
      </c>
      <c r="E1398" s="33" t="s">
        <v>653</v>
      </c>
      <c r="F1398" s="33" t="s">
        <v>116</v>
      </c>
      <c r="G1398" t="s">
        <v>2304</v>
      </c>
      <c r="H1398" s="33" t="s">
        <v>243</v>
      </c>
      <c r="I1398" s="39" t="s">
        <v>105</v>
      </c>
      <c r="J1398" s="33" t="s">
        <v>1</v>
      </c>
      <c r="K1398" s="317">
        <v>51848.75</v>
      </c>
      <c r="L1398" s="318">
        <f>IF(J1398="TND",1,IF(J1398="EUR",Vertical_Cash_flow!$C$16,IF(J1398="USD",Vertical_Cash_flow!$F$16,0)))</f>
        <v>0.3</v>
      </c>
      <c r="M1398" s="255">
        <f t="shared" si="135"/>
        <v>172829.16666666669</v>
      </c>
      <c r="N1398" s="33" t="s">
        <v>251</v>
      </c>
      <c r="O1398" s="39">
        <v>45351</v>
      </c>
      <c r="P1398" s="255">
        <f t="shared" si="144"/>
        <v>85</v>
      </c>
      <c r="Q1398" s="39">
        <f t="shared" si="136"/>
        <v>45436</v>
      </c>
      <c r="R1398" s="255">
        <f t="shared" ca="1" si="137"/>
        <v>5</v>
      </c>
      <c r="S1398" s="33" t="str">
        <f>VLOOKUP(Q1398,Mapping!L:M,2,0)</f>
        <v>W21_2024</v>
      </c>
      <c r="T1398" s="33" t="str">
        <f t="shared" ca="1" si="138"/>
        <v>up to 30 days</v>
      </c>
    </row>
    <row r="1399" spans="1:20" x14ac:dyDescent="0.2">
      <c r="A1399" s="33" t="s">
        <v>58</v>
      </c>
      <c r="B1399" t="s">
        <v>1465</v>
      </c>
      <c r="C1399" t="s">
        <v>2306</v>
      </c>
      <c r="D1399" s="408" t="s">
        <v>101</v>
      </c>
      <c r="E1399" s="33" t="s">
        <v>653</v>
      </c>
      <c r="F1399" s="33" t="s">
        <v>116</v>
      </c>
      <c r="G1399" s="33" t="s">
        <v>3404</v>
      </c>
      <c r="H1399" s="33" t="s">
        <v>243</v>
      </c>
      <c r="I1399" s="39" t="s">
        <v>105</v>
      </c>
      <c r="J1399" s="33" t="s">
        <v>1</v>
      </c>
      <c r="K1399" s="317">
        <v>84694.05</v>
      </c>
      <c r="L1399" s="318">
        <f>IF(J1399="TND",1,IF(J1399="EUR",Vertical_Cash_flow!$C$16,IF(J1399="USD",Vertical_Cash_flow!$F$16,0)))</f>
        <v>0.3</v>
      </c>
      <c r="M1399" s="255">
        <f t="shared" ref="M1399" si="145">K1399/L1399</f>
        <v>282313.5</v>
      </c>
      <c r="N1399" s="33" t="s">
        <v>251</v>
      </c>
      <c r="O1399" s="408">
        <v>45400</v>
      </c>
      <c r="P1399" s="255">
        <f>+Q1399-O1399</f>
        <v>35</v>
      </c>
      <c r="Q1399" s="39">
        <f t="shared" ref="Q1399:Q1402" si="146">O1399+35</f>
        <v>45435</v>
      </c>
      <c r="R1399" s="255">
        <f t="shared" ref="R1399" ca="1" si="147">$W$1-Q1399</f>
        <v>6</v>
      </c>
      <c r="S1399" s="33" t="str">
        <f>VLOOKUP(Q1399,Mapping!L:M,2,0)</f>
        <v>W21_2024</v>
      </c>
      <c r="T1399" s="33" t="str">
        <f t="shared" ref="T1399" ca="1" si="148">IF(R1399="","",IF(R1399&lt;0,"Not Due",IF(AND(R1399&gt;=0,R1399&lt;=30),"up to 30 days",IF(AND(R1399&gt;30,R1399&lt;=60),"30-60 days",IF(AND(R1399&gt;60,R1399&lt;=90),"60-90 days",IF(AND(R1399&gt;90,R1399&lt;=120),"90-120 days",IF(AND(R1399&gt;120,R1399&lt;=180),"120-180 days",IF(AND(R1399&gt;180,R1399&lt;=360),"180-360 days",IF(R1399&gt;360,"more than 360 days","ok")))))))))</f>
        <v>up to 30 days</v>
      </c>
    </row>
    <row r="1400" spans="1:20" x14ac:dyDescent="0.2">
      <c r="A1400" s="33" t="s">
        <v>58</v>
      </c>
      <c r="B1400" t="s">
        <v>1465</v>
      </c>
      <c r="C1400" t="s">
        <v>2307</v>
      </c>
      <c r="D1400" s="408" t="s">
        <v>101</v>
      </c>
      <c r="E1400" s="33" t="s">
        <v>653</v>
      </c>
      <c r="F1400" s="33" t="s">
        <v>116</v>
      </c>
      <c r="G1400" s="33" t="s">
        <v>3404</v>
      </c>
      <c r="H1400" s="33" t="s">
        <v>243</v>
      </c>
      <c r="I1400" s="39" t="s">
        <v>105</v>
      </c>
      <c r="J1400" s="33" t="s">
        <v>1</v>
      </c>
      <c r="K1400" s="317">
        <v>84694.05</v>
      </c>
      <c r="L1400" s="318">
        <f>IF(J1400="TND",1,IF(J1400="EUR",Vertical_Cash_flow!$C$16,IF(J1400="USD",Vertical_Cash_flow!$F$16,0)))</f>
        <v>0.3</v>
      </c>
      <c r="M1400" s="255">
        <f t="shared" ref="M1400:M1401" si="149">K1400/L1400</f>
        <v>282313.5</v>
      </c>
      <c r="N1400" s="33" t="s">
        <v>251</v>
      </c>
      <c r="O1400" s="408">
        <v>45387</v>
      </c>
      <c r="P1400" s="255">
        <f>+Q1400-O1400</f>
        <v>48</v>
      </c>
      <c r="Q1400" s="39">
        <v>45435</v>
      </c>
      <c r="R1400" s="255">
        <f t="shared" ref="R1400:R1401" ca="1" si="150">$W$1-Q1400</f>
        <v>6</v>
      </c>
      <c r="S1400" s="33" t="str">
        <f>VLOOKUP(Q1400,Mapping!L:M,2,0)</f>
        <v>W21_2024</v>
      </c>
      <c r="T1400" s="33" t="str">
        <f t="shared" ref="T1400:T1401" ca="1" si="151">IF(R1400="","",IF(R1400&lt;0,"Not Due",IF(AND(R1400&gt;=0,R1400&lt;=30),"up to 30 days",IF(AND(R1400&gt;30,R1400&lt;=60),"30-60 days",IF(AND(R1400&gt;60,R1400&lt;=90),"60-90 days",IF(AND(R1400&gt;90,R1400&lt;=120),"90-120 days",IF(AND(R1400&gt;120,R1400&lt;=180),"120-180 days",IF(AND(R1400&gt;180,R1400&lt;=360),"180-360 days",IF(R1400&gt;360,"more than 360 days","ok")))))))))</f>
        <v>up to 30 days</v>
      </c>
    </row>
    <row r="1401" spans="1:20" s="34" customFormat="1" x14ac:dyDescent="0.2">
      <c r="A1401" s="34" t="s">
        <v>58</v>
      </c>
      <c r="B1401" s="34" t="s">
        <v>1465</v>
      </c>
      <c r="C1401" s="34" t="s">
        <v>2308</v>
      </c>
      <c r="D1401" s="409" t="s">
        <v>101</v>
      </c>
      <c r="E1401" s="34" t="s">
        <v>653</v>
      </c>
      <c r="F1401" s="34" t="s">
        <v>116</v>
      </c>
      <c r="G1401" s="34" t="s">
        <v>3404</v>
      </c>
      <c r="H1401" s="34" t="s">
        <v>243</v>
      </c>
      <c r="I1401" s="409" t="s">
        <v>105</v>
      </c>
      <c r="J1401" s="34" t="s">
        <v>1</v>
      </c>
      <c r="K1401" s="584">
        <v>84694.05</v>
      </c>
      <c r="L1401" s="459">
        <f>IF(J1401="TND",1,IF(J1401="EUR",Vertical_Cash_flow!$C$16,IF(J1401="USD",Vertical_Cash_flow!$F$16,0)))</f>
        <v>0.3</v>
      </c>
      <c r="M1401" s="257">
        <f t="shared" si="149"/>
        <v>282313.5</v>
      </c>
      <c r="N1401" s="34" t="s">
        <v>252</v>
      </c>
      <c r="O1401" s="409">
        <v>45415</v>
      </c>
      <c r="P1401" s="257">
        <f>+Q1401-O1401</f>
        <v>35</v>
      </c>
      <c r="Q1401" s="409">
        <f t="shared" si="146"/>
        <v>45450</v>
      </c>
      <c r="R1401" s="257">
        <f t="shared" ca="1" si="150"/>
        <v>-9</v>
      </c>
      <c r="S1401" s="34" t="str">
        <f>VLOOKUP(Q1401,Mapping!L:M,2,0)</f>
        <v>W23_2024</v>
      </c>
      <c r="T1401" s="34" t="str">
        <f t="shared" ca="1" si="151"/>
        <v>Not Due</v>
      </c>
    </row>
    <row r="1402" spans="1:20" s="34" customFormat="1" x14ac:dyDescent="0.2">
      <c r="A1402" s="34" t="s">
        <v>58</v>
      </c>
      <c r="B1402" s="34" t="s">
        <v>1465</v>
      </c>
      <c r="C1402" s="34" t="s">
        <v>2309</v>
      </c>
      <c r="D1402" s="409" t="s">
        <v>101</v>
      </c>
      <c r="E1402" s="34" t="s">
        <v>653</v>
      </c>
      <c r="F1402" s="34" t="s">
        <v>116</v>
      </c>
      <c r="G1402" s="34" t="s">
        <v>3404</v>
      </c>
      <c r="H1402" s="34" t="s">
        <v>243</v>
      </c>
      <c r="I1402" s="409" t="s">
        <v>105</v>
      </c>
      <c r="J1402" s="34" t="s">
        <v>1</v>
      </c>
      <c r="K1402" s="584">
        <v>84017.85</v>
      </c>
      <c r="L1402" s="459">
        <f>IF(J1402="TND",1,IF(J1402="EUR",Vertical_Cash_flow!$C$16,IF(J1402="USD",Vertical_Cash_flow!$F$16,0)))</f>
        <v>0.3</v>
      </c>
      <c r="M1402" s="257">
        <f>K1402/L1402</f>
        <v>280059.50000000006</v>
      </c>
      <c r="N1402" s="34" t="s">
        <v>252</v>
      </c>
      <c r="O1402" s="409">
        <v>45415</v>
      </c>
      <c r="P1402" s="257">
        <f>+Q1402-O1402</f>
        <v>35</v>
      </c>
      <c r="Q1402" s="409">
        <f t="shared" si="146"/>
        <v>45450</v>
      </c>
      <c r="R1402" s="257">
        <f ca="1">$W$1-Q1402</f>
        <v>-9</v>
      </c>
      <c r="S1402" s="34" t="str">
        <f>VLOOKUP(Q1402,Mapping!L:M,2,0)</f>
        <v>W23_2024</v>
      </c>
      <c r="T1402" s="34" t="str">
        <f ca="1">IF(R1402="","",IF(R1402&lt;0,"Not Due",IF(AND(R1402&gt;=0,R1402&lt;=30),"up to 30 days",IF(AND(R1402&gt;30,R1402&lt;=60),"30-60 days",IF(AND(R1402&gt;60,R1402&lt;=90),"60-90 days",IF(AND(R1402&gt;90,R1402&lt;=120),"90-120 days",IF(AND(R1402&gt;120,R1402&lt;=180),"120-180 days",IF(AND(R1402&gt;180,R1402&lt;=360),"180-360 days",IF(R1402&gt;360,"more than 360 days","ok")))))))))</f>
        <v>Not Due</v>
      </c>
    </row>
    <row r="1403" spans="1:20" s="34" customFormat="1" x14ac:dyDescent="0.2">
      <c r="A1403" s="34" t="s">
        <v>58</v>
      </c>
      <c r="B1403" s="34" t="s">
        <v>1465</v>
      </c>
      <c r="C1403" s="34" t="s">
        <v>2980</v>
      </c>
      <c r="D1403" s="409" t="s">
        <v>101</v>
      </c>
      <c r="E1403" s="34" t="s">
        <v>653</v>
      </c>
      <c r="F1403" s="34" t="s">
        <v>116</v>
      </c>
      <c r="G1403" s="34" t="s">
        <v>3404</v>
      </c>
      <c r="H1403" s="34" t="s">
        <v>243</v>
      </c>
      <c r="I1403" s="409" t="s">
        <v>105</v>
      </c>
      <c r="J1403" s="34" t="s">
        <v>1</v>
      </c>
      <c r="K1403" s="584">
        <v>83717.100000000006</v>
      </c>
      <c r="L1403" s="459">
        <f>IF(J1403="TND",1,IF(J1403="EUR",Vertical_Cash_flow!$C$16,IF(J1403="USD",Vertical_Cash_flow!$F$16,0)))</f>
        <v>0.3</v>
      </c>
      <c r="M1403" s="257">
        <f>K1403/L1403</f>
        <v>279057.00000000006</v>
      </c>
      <c r="N1403" s="34" t="s">
        <v>252</v>
      </c>
      <c r="O1403" s="409">
        <v>45423</v>
      </c>
      <c r="P1403" s="257">
        <f t="shared" ref="P1403:P1407" si="152">+Q1403-O1403</f>
        <v>35</v>
      </c>
      <c r="Q1403" s="409">
        <f t="shared" ref="Q1403:Q1406" si="153">O1403+35</f>
        <v>45458</v>
      </c>
      <c r="R1403" s="257">
        <f ca="1">$W$1-Q1403</f>
        <v>-17</v>
      </c>
      <c r="S1403" s="34" t="str">
        <f>VLOOKUP(Q1403,Mapping!L:M,2,0)</f>
        <v>W25_2024</v>
      </c>
      <c r="T1403" s="34" t="str">
        <f ca="1">IF(R1403="","",IF(R1403&lt;0,"Not Due",IF(AND(R1403&gt;=0,R1403&lt;=30),"up to 30 days",IF(AND(R1403&gt;30,R1403&lt;=60),"30-60 days",IF(AND(R1403&gt;60,R1403&lt;=90),"60-90 days",IF(AND(R1403&gt;90,R1403&lt;=120),"90-120 days",IF(AND(R1403&gt;120,R1403&lt;=180),"120-180 days",IF(AND(R1403&gt;180,R1403&lt;=360),"180-360 days",IF(R1403&gt;360,"more than 360 days","ok")))))))))</f>
        <v>Not Due</v>
      </c>
    </row>
    <row r="1404" spans="1:20" s="34" customFormat="1" x14ac:dyDescent="0.2">
      <c r="A1404" s="34" t="s">
        <v>58</v>
      </c>
      <c r="B1404" s="34" t="s">
        <v>1465</v>
      </c>
      <c r="C1404" s="34" t="s">
        <v>2981</v>
      </c>
      <c r="D1404" s="409" t="s">
        <v>101</v>
      </c>
      <c r="E1404" s="34" t="s">
        <v>653</v>
      </c>
      <c r="F1404" s="34" t="s">
        <v>116</v>
      </c>
      <c r="G1404" s="34" t="s">
        <v>3404</v>
      </c>
      <c r="H1404" s="34" t="s">
        <v>243</v>
      </c>
      <c r="I1404" s="409" t="s">
        <v>105</v>
      </c>
      <c r="J1404" s="34" t="s">
        <v>1</v>
      </c>
      <c r="K1404" s="584">
        <v>83717.100000000006</v>
      </c>
      <c r="L1404" s="459">
        <f>IF(J1404="TND",1,IF(J1404="EUR",Vertical_Cash_flow!$C$16,IF(J1404="USD",Vertical_Cash_flow!$F$16,0)))</f>
        <v>0.3</v>
      </c>
      <c r="M1404" s="257">
        <f>K1404/L1404</f>
        <v>279057.00000000006</v>
      </c>
      <c r="N1404" s="34" t="s">
        <v>252</v>
      </c>
      <c r="O1404" s="409">
        <v>45423</v>
      </c>
      <c r="P1404" s="257">
        <f t="shared" si="152"/>
        <v>35</v>
      </c>
      <c r="Q1404" s="409">
        <f t="shared" si="153"/>
        <v>45458</v>
      </c>
      <c r="R1404" s="257">
        <f ca="1">$W$1-Q1404</f>
        <v>-17</v>
      </c>
      <c r="S1404" s="34" t="str">
        <f>VLOOKUP(Q1404,Mapping!L:M,2,0)</f>
        <v>W25_2024</v>
      </c>
      <c r="T1404" s="34" t="str">
        <f ca="1">IF(R1404="","",IF(R1404&lt;0,"Not Due",IF(AND(R1404&gt;=0,R1404&lt;=30),"up to 30 days",IF(AND(R1404&gt;30,R1404&lt;=60),"30-60 days",IF(AND(R1404&gt;60,R1404&lt;=90),"60-90 days",IF(AND(R1404&gt;90,R1404&lt;=120),"90-120 days",IF(AND(R1404&gt;120,R1404&lt;=180),"120-180 days",IF(AND(R1404&gt;180,R1404&lt;=360),"180-360 days",IF(R1404&gt;360,"more than 360 days","ok")))))))))</f>
        <v>Not Due</v>
      </c>
    </row>
    <row r="1405" spans="1:20" s="34" customFormat="1" x14ac:dyDescent="0.2">
      <c r="A1405" s="34" t="s">
        <v>58</v>
      </c>
      <c r="B1405" s="34" t="s">
        <v>1465</v>
      </c>
      <c r="C1405" s="34" t="s">
        <v>2982</v>
      </c>
      <c r="D1405" s="409" t="s">
        <v>101</v>
      </c>
      <c r="E1405" s="34" t="s">
        <v>653</v>
      </c>
      <c r="F1405" s="34" t="s">
        <v>116</v>
      </c>
      <c r="G1405" s="34" t="s">
        <v>3404</v>
      </c>
      <c r="H1405" s="34" t="s">
        <v>243</v>
      </c>
      <c r="I1405" s="409" t="s">
        <v>105</v>
      </c>
      <c r="J1405" s="34" t="s">
        <v>1</v>
      </c>
      <c r="K1405" s="584">
        <v>83717.100000000006</v>
      </c>
      <c r="L1405" s="459">
        <f>IF(J1405="TND",1,IF(J1405="EUR",Vertical_Cash_flow!$C$16,IF(J1405="USD",Vertical_Cash_flow!$F$16,0)))</f>
        <v>0.3</v>
      </c>
      <c r="M1405" s="257">
        <f>K1405/L1405</f>
        <v>279057.00000000006</v>
      </c>
      <c r="N1405" s="34" t="s">
        <v>252</v>
      </c>
      <c r="O1405" s="409">
        <v>45437</v>
      </c>
      <c r="P1405" s="257">
        <f t="shared" si="152"/>
        <v>35</v>
      </c>
      <c r="Q1405" s="409">
        <f t="shared" si="153"/>
        <v>45472</v>
      </c>
      <c r="R1405" s="257">
        <f ca="1">$W$1-Q1405</f>
        <v>-31</v>
      </c>
      <c r="S1405" s="34" t="str">
        <f>VLOOKUP(Q1405,Mapping!L:M,2,0)</f>
        <v>W27_2024</v>
      </c>
      <c r="T1405" s="34" t="str">
        <f ca="1">IF(R1405="","",IF(R1405&lt;0,"Not Due",IF(AND(R1405&gt;=0,R1405&lt;=30),"up to 30 days",IF(AND(R1405&gt;30,R1405&lt;=60),"30-60 days",IF(AND(R1405&gt;60,R1405&lt;=90),"60-90 days",IF(AND(R1405&gt;90,R1405&lt;=120),"90-120 days",IF(AND(R1405&gt;120,R1405&lt;=180),"120-180 days",IF(AND(R1405&gt;180,R1405&lt;=360),"180-360 days",IF(R1405&gt;360,"more than 360 days","ok")))))))))</f>
        <v>Not Due</v>
      </c>
    </row>
    <row r="1406" spans="1:20" s="34" customFormat="1" x14ac:dyDescent="0.2">
      <c r="A1406" s="34" t="s">
        <v>58</v>
      </c>
      <c r="B1406" s="34" t="s">
        <v>1465</v>
      </c>
      <c r="C1406" s="34" t="s">
        <v>2983</v>
      </c>
      <c r="D1406" s="409" t="s">
        <v>101</v>
      </c>
      <c r="E1406" s="34" t="s">
        <v>653</v>
      </c>
      <c r="F1406" s="34" t="s">
        <v>116</v>
      </c>
      <c r="G1406" s="34" t="s">
        <v>3404</v>
      </c>
      <c r="H1406" s="34" t="s">
        <v>243</v>
      </c>
      <c r="I1406" s="409" t="s">
        <v>105</v>
      </c>
      <c r="J1406" s="34" t="s">
        <v>1</v>
      </c>
      <c r="K1406" s="584">
        <v>83048.7</v>
      </c>
      <c r="L1406" s="459">
        <f>IF(J1406="TND",1,IF(J1406="EUR",Vertical_Cash_flow!$C$16,IF(J1406="USD",Vertical_Cash_flow!$F$16,0)))</f>
        <v>0.3</v>
      </c>
      <c r="M1406" s="257">
        <f t="shared" ref="M1406:M1407" si="154">K1406/L1406</f>
        <v>276829</v>
      </c>
      <c r="N1406" s="34" t="s">
        <v>252</v>
      </c>
      <c r="O1406" s="409">
        <v>45437</v>
      </c>
      <c r="P1406" s="257">
        <f t="shared" si="152"/>
        <v>35</v>
      </c>
      <c r="Q1406" s="409">
        <f t="shared" si="153"/>
        <v>45472</v>
      </c>
      <c r="R1406" s="257">
        <f t="shared" ref="R1406:R1407" ca="1" si="155">$W$1-Q1406</f>
        <v>-31</v>
      </c>
      <c r="S1406" s="34" t="str">
        <f>VLOOKUP(Q1406,Mapping!L:M,2,0)</f>
        <v>W27_2024</v>
      </c>
      <c r="T1406" s="34" t="str">
        <f t="shared" ref="T1406:T1407" ca="1" si="156">IF(R1406="","",IF(R1406&lt;0,"Not Due",IF(AND(R1406&gt;=0,R1406&lt;=30),"up to 30 days",IF(AND(R1406&gt;30,R1406&lt;=60),"30-60 days",IF(AND(R1406&gt;60,R1406&lt;=90),"60-90 days",IF(AND(R1406&gt;90,R1406&lt;=120),"90-120 days",IF(AND(R1406&gt;120,R1406&lt;=180),"120-180 days",IF(AND(R1406&gt;180,R1406&lt;=360),"180-360 days",IF(R1406&gt;360,"more than 360 days","ok")))))))))</f>
        <v>Not Due</v>
      </c>
    </row>
    <row r="1407" spans="1:20" x14ac:dyDescent="0.2">
      <c r="A1407" s="33" t="s">
        <v>58</v>
      </c>
      <c r="B1407" t="s">
        <v>853</v>
      </c>
      <c r="C1407" s="33" t="s">
        <v>2984</v>
      </c>
      <c r="D1407" s="408" t="s">
        <v>101</v>
      </c>
      <c r="E1407" s="33" t="s">
        <v>653</v>
      </c>
      <c r="F1407" s="33" t="s">
        <v>116</v>
      </c>
      <c r="G1407" t="s">
        <v>853</v>
      </c>
      <c r="H1407" s="33" t="s">
        <v>243</v>
      </c>
      <c r="I1407" s="39" t="s">
        <v>105</v>
      </c>
      <c r="J1407" s="33" t="s">
        <v>1</v>
      </c>
      <c r="K1407" s="317">
        <v>52704.480000000003</v>
      </c>
      <c r="L1407" s="318">
        <f>IF(J1407="TND",1,IF(J1407="EUR",Vertical_Cash_flow!$C$16,IF(J1407="USD",Vertical_Cash_flow!$F$16,0)))</f>
        <v>0.3</v>
      </c>
      <c r="M1407" s="255">
        <f t="shared" si="154"/>
        <v>175681.6</v>
      </c>
      <c r="N1407" s="33" t="s">
        <v>251</v>
      </c>
      <c r="O1407" s="39">
        <v>45407</v>
      </c>
      <c r="P1407" s="255">
        <f t="shared" si="152"/>
        <v>85</v>
      </c>
      <c r="Q1407" s="39">
        <f t="shared" ref="Q1407" si="157">O1407+85</f>
        <v>45492</v>
      </c>
      <c r="R1407" s="255">
        <f t="shared" ca="1" si="155"/>
        <v>-51</v>
      </c>
      <c r="S1407" s="33" t="str">
        <f>VLOOKUP(Q1407,Mapping!L:M,2,0)</f>
        <v>W29_2024</v>
      </c>
      <c r="T1407" s="33" t="str">
        <f t="shared" ca="1" si="156"/>
        <v>Not Due</v>
      </c>
    </row>
    <row r="1408" spans="1:20" x14ac:dyDescent="0.2">
      <c r="A1408" s="33" t="s">
        <v>58</v>
      </c>
      <c r="B1408" t="s">
        <v>853</v>
      </c>
      <c r="C1408" t="s">
        <v>2310</v>
      </c>
      <c r="D1408" s="408" t="s">
        <v>101</v>
      </c>
      <c r="E1408" s="33" t="s">
        <v>653</v>
      </c>
      <c r="F1408" s="33" t="s">
        <v>116</v>
      </c>
      <c r="G1408" t="s">
        <v>853</v>
      </c>
      <c r="H1408" s="33" t="s">
        <v>243</v>
      </c>
      <c r="I1408" s="39" t="s">
        <v>105</v>
      </c>
      <c r="J1408" s="33" t="s">
        <v>1</v>
      </c>
      <c r="K1408" s="317">
        <v>50904.72</v>
      </c>
      <c r="L1408" s="318">
        <f>IF(J1408="TND",1,IF(J1408="EUR",Vertical_Cash_flow!$C$16,IF(J1408="USD",Vertical_Cash_flow!$F$16,0)))</f>
        <v>0.3</v>
      </c>
      <c r="M1408" s="255">
        <f t="shared" ref="M1408" si="158">K1408/L1408</f>
        <v>169682.40000000002</v>
      </c>
      <c r="N1408" s="33" t="s">
        <v>251</v>
      </c>
      <c r="O1408" s="39">
        <v>45379</v>
      </c>
      <c r="P1408" s="255">
        <f t="shared" si="144"/>
        <v>54</v>
      </c>
      <c r="Q1408" s="39">
        <v>45433</v>
      </c>
      <c r="R1408" s="255">
        <f t="shared" ref="R1408" ca="1" si="159">$W$1-Q1408</f>
        <v>8</v>
      </c>
      <c r="S1408" s="33" t="str">
        <f>VLOOKUP(Q1408,Mapping!L:M,2,0)</f>
        <v>W21_2024</v>
      </c>
      <c r="T1408" s="33" t="str">
        <f t="shared" ref="T1408" ca="1" si="160">IF(R1408="","",IF(R1408&lt;0,"Not Due",IF(AND(R1408&gt;=0,R1408&lt;=30),"up to 30 days",IF(AND(R1408&gt;30,R1408&lt;=60),"30-60 days",IF(AND(R1408&gt;60,R1408&lt;=90),"60-90 days",IF(AND(R1408&gt;90,R1408&lt;=120),"90-120 days",IF(AND(R1408&gt;120,R1408&lt;=180),"120-180 days",IF(AND(R1408&gt;180,R1408&lt;=360),"180-360 days",IF(R1408&gt;360,"more than 360 days","ok")))))))))</f>
        <v>up to 30 days</v>
      </c>
    </row>
    <row r="1409" spans="1:20" x14ac:dyDescent="0.2">
      <c r="A1409" s="33" t="s">
        <v>58</v>
      </c>
      <c r="B1409" t="s">
        <v>853</v>
      </c>
      <c r="C1409" t="s">
        <v>2311</v>
      </c>
      <c r="D1409" s="408" t="s">
        <v>101</v>
      </c>
      <c r="E1409" s="33" t="s">
        <v>653</v>
      </c>
      <c r="F1409" s="33" t="s">
        <v>116</v>
      </c>
      <c r="G1409" t="s">
        <v>853</v>
      </c>
      <c r="H1409" s="33" t="s">
        <v>243</v>
      </c>
      <c r="I1409" s="39" t="s">
        <v>105</v>
      </c>
      <c r="J1409" s="33" t="s">
        <v>1</v>
      </c>
      <c r="K1409" s="317">
        <v>51953.52</v>
      </c>
      <c r="L1409" s="318">
        <f>IF(J1409="TND",1,IF(J1409="EUR",Vertical_Cash_flow!$C$16,IF(J1409="USD",Vertical_Cash_flow!$F$16,0)))</f>
        <v>0.3</v>
      </c>
      <c r="M1409" s="255">
        <f t="shared" ref="M1409:M1410" si="161">K1409/L1409</f>
        <v>173178.4</v>
      </c>
      <c r="N1409" s="33" t="s">
        <v>251</v>
      </c>
      <c r="O1409" s="39">
        <v>45379</v>
      </c>
      <c r="P1409" s="255">
        <f t="shared" si="144"/>
        <v>85</v>
      </c>
      <c r="Q1409" s="39">
        <f t="shared" ref="Q1409:Q1410" si="162">O1409+85</f>
        <v>45464</v>
      </c>
      <c r="R1409" s="255">
        <f t="shared" ref="R1409:R1410" ca="1" si="163">$W$1-Q1409</f>
        <v>-23</v>
      </c>
      <c r="S1409" s="33" t="str">
        <f>VLOOKUP(Q1409,Mapping!L:M,2,0)</f>
        <v>W25_2024</v>
      </c>
      <c r="T1409" s="33" t="str">
        <f t="shared" ref="T1409:T1410" ca="1" si="164">IF(R1409="","",IF(R1409&lt;0,"Not Due",IF(AND(R1409&gt;=0,R1409&lt;=30),"up to 30 days",IF(AND(R1409&gt;30,R1409&lt;=60),"30-60 days",IF(AND(R1409&gt;60,R1409&lt;=90),"60-90 days",IF(AND(R1409&gt;90,R1409&lt;=120),"90-120 days",IF(AND(R1409&gt;120,R1409&lt;=180),"120-180 days",IF(AND(R1409&gt;180,R1409&lt;=360),"180-360 days",IF(R1409&gt;360,"more than 360 days","ok")))))))))</f>
        <v>Not Due</v>
      </c>
    </row>
    <row r="1410" spans="1:20" x14ac:dyDescent="0.2">
      <c r="A1410" s="33" t="s">
        <v>58</v>
      </c>
      <c r="B1410" t="s">
        <v>853</v>
      </c>
      <c r="C1410" t="s">
        <v>2312</v>
      </c>
      <c r="D1410" s="408" t="s">
        <v>101</v>
      </c>
      <c r="E1410" s="33" t="s">
        <v>653</v>
      </c>
      <c r="F1410" s="33" t="s">
        <v>116</v>
      </c>
      <c r="G1410" t="s">
        <v>853</v>
      </c>
      <c r="H1410" s="33" t="s">
        <v>243</v>
      </c>
      <c r="I1410" s="39" t="s">
        <v>105</v>
      </c>
      <c r="J1410" s="33" t="s">
        <v>1</v>
      </c>
      <c r="K1410" s="317">
        <v>52120.62</v>
      </c>
      <c r="L1410" s="318">
        <f>IF(J1410="TND",1,IF(J1410="EUR",Vertical_Cash_flow!$C$16,IF(J1410="USD",Vertical_Cash_flow!$F$16,0)))</f>
        <v>0.3</v>
      </c>
      <c r="M1410" s="255">
        <f t="shared" si="161"/>
        <v>173735.40000000002</v>
      </c>
      <c r="N1410" s="33" t="s">
        <v>251</v>
      </c>
      <c r="O1410" s="39">
        <v>45379</v>
      </c>
      <c r="P1410" s="255">
        <f t="shared" si="144"/>
        <v>85</v>
      </c>
      <c r="Q1410" s="39">
        <f t="shared" si="162"/>
        <v>45464</v>
      </c>
      <c r="R1410" s="255">
        <f t="shared" ca="1" si="163"/>
        <v>-23</v>
      </c>
      <c r="S1410" s="33" t="str">
        <f>VLOOKUP(Q1410,Mapping!L:M,2,0)</f>
        <v>W25_2024</v>
      </c>
      <c r="T1410" s="33" t="str">
        <f t="shared" ca="1" si="164"/>
        <v>Not Due</v>
      </c>
    </row>
    <row r="1411" spans="1:20" x14ac:dyDescent="0.2">
      <c r="A1411" s="33" t="s">
        <v>58</v>
      </c>
      <c r="B1411" s="33" t="s">
        <v>57</v>
      </c>
      <c r="C1411" t="s">
        <v>3387</v>
      </c>
      <c r="D1411" s="408" t="s">
        <v>101</v>
      </c>
      <c r="E1411" s="33" t="s">
        <v>653</v>
      </c>
      <c r="F1411" s="33" t="s">
        <v>114</v>
      </c>
      <c r="G1411" s="33" t="s">
        <v>57</v>
      </c>
      <c r="H1411" s="33" t="s">
        <v>243</v>
      </c>
      <c r="I1411" s="39" t="s">
        <v>105</v>
      </c>
      <c r="J1411" s="33" t="s">
        <v>1</v>
      </c>
      <c r="K1411" s="317">
        <v>70839.600000000006</v>
      </c>
      <c r="L1411" s="318">
        <f>IF(J1411="TND",1,IF(J1411="EUR",Vertical_Cash_flow!$C$16,IF(J1411="USD",Vertical_Cash_flow!$F$16,0)))</f>
        <v>0.3</v>
      </c>
      <c r="M1411" s="255">
        <f t="shared" ref="M1411:M1422" si="165">K1411/L1411</f>
        <v>236132.00000000003</v>
      </c>
      <c r="N1411" s="33" t="s">
        <v>251</v>
      </c>
      <c r="O1411" s="39">
        <v>45300</v>
      </c>
      <c r="P1411" s="255">
        <v>60</v>
      </c>
      <c r="Q1411" s="39">
        <v>45435</v>
      </c>
      <c r="R1411" s="255">
        <f t="shared" ref="R1411:R1422" ca="1" si="166">$W$1-Q1411</f>
        <v>6</v>
      </c>
      <c r="S1411" s="33" t="str">
        <f>VLOOKUP(Q1411,Mapping!L:M,2,0)</f>
        <v>W21_2024</v>
      </c>
      <c r="T1411" s="33" t="str">
        <f t="shared" ref="T1411:T1422" ca="1" si="167">IF(R1411="","",IF(R1411&lt;0,"Not Due",IF(AND(R1411&gt;=0,R1411&lt;=30),"up to 30 days",IF(AND(R1411&gt;30,R1411&lt;=60),"30-60 days",IF(AND(R1411&gt;60,R1411&lt;=90),"60-90 days",IF(AND(R1411&gt;90,R1411&lt;=120),"90-120 days",IF(AND(R1411&gt;120,R1411&lt;=180),"120-180 days",IF(AND(R1411&gt;180,R1411&lt;=360),"180-360 days",IF(R1411&gt;360,"more than 360 days","ok")))))))))</f>
        <v>up to 30 days</v>
      </c>
    </row>
    <row r="1412" spans="1:20" x14ac:dyDescent="0.2">
      <c r="A1412" s="33" t="s">
        <v>58</v>
      </c>
      <c r="B1412" s="33" t="s">
        <v>57</v>
      </c>
      <c r="C1412" t="s">
        <v>3388</v>
      </c>
      <c r="D1412" s="408" t="s">
        <v>101</v>
      </c>
      <c r="E1412" s="33" t="s">
        <v>653</v>
      </c>
      <c r="F1412" s="33" t="s">
        <v>114</v>
      </c>
      <c r="G1412" s="33" t="s">
        <v>57</v>
      </c>
      <c r="H1412" s="33" t="s">
        <v>243</v>
      </c>
      <c r="I1412" s="39" t="s">
        <v>105</v>
      </c>
      <c r="J1412" s="33" t="s">
        <v>1</v>
      </c>
      <c r="K1412" s="317">
        <v>72615.48</v>
      </c>
      <c r="L1412" s="318">
        <f>IF(J1412="TND",1,IF(J1412="EUR",Vertical_Cash_flow!$C$16,IF(J1412="USD",Vertical_Cash_flow!$F$16,0)))</f>
        <v>0.3</v>
      </c>
      <c r="M1412" s="255">
        <f t="shared" si="165"/>
        <v>242051.6</v>
      </c>
      <c r="N1412" s="33" t="s">
        <v>251</v>
      </c>
      <c r="O1412" s="39">
        <v>45321</v>
      </c>
      <c r="P1412" s="255">
        <v>60</v>
      </c>
      <c r="Q1412" s="39">
        <v>45442</v>
      </c>
      <c r="R1412" s="255">
        <f t="shared" ca="1" si="166"/>
        <v>-1</v>
      </c>
      <c r="S1412" s="33" t="str">
        <f>VLOOKUP(Q1412,Mapping!L:M,2,0)</f>
        <v>W22_2024</v>
      </c>
      <c r="T1412" s="33" t="str">
        <f t="shared" ca="1" si="167"/>
        <v>Not Due</v>
      </c>
    </row>
    <row r="1413" spans="1:20" x14ac:dyDescent="0.2">
      <c r="A1413" s="33" t="s">
        <v>58</v>
      </c>
      <c r="B1413" s="33" t="s">
        <v>57</v>
      </c>
      <c r="C1413" t="s">
        <v>3389</v>
      </c>
      <c r="D1413" s="408" t="s">
        <v>101</v>
      </c>
      <c r="E1413" s="33" t="s">
        <v>653</v>
      </c>
      <c r="F1413" s="33" t="s">
        <v>114</v>
      </c>
      <c r="G1413" s="33" t="s">
        <v>57</v>
      </c>
      <c r="H1413" s="33" t="s">
        <v>243</v>
      </c>
      <c r="I1413" s="39" t="s">
        <v>105</v>
      </c>
      <c r="J1413" s="33" t="s">
        <v>1</v>
      </c>
      <c r="K1413" s="317">
        <v>72906</v>
      </c>
      <c r="L1413" s="318">
        <f>IF(J1413="TND",1,IF(J1413="EUR",Vertical_Cash_flow!$C$16,IF(J1413="USD",Vertical_Cash_flow!$F$16,0)))</f>
        <v>0.3</v>
      </c>
      <c r="M1413" s="255">
        <f t="shared" si="165"/>
        <v>243020</v>
      </c>
      <c r="N1413" s="33" t="s">
        <v>251</v>
      </c>
      <c r="O1413" s="39">
        <v>45321</v>
      </c>
      <c r="P1413" s="255">
        <v>60</v>
      </c>
      <c r="Q1413" s="39">
        <v>45449</v>
      </c>
      <c r="R1413" s="255">
        <f t="shared" ca="1" si="166"/>
        <v>-8</v>
      </c>
      <c r="S1413" s="33" t="str">
        <f>VLOOKUP(Q1413,Mapping!L:M,2,0)</f>
        <v>W23_2024</v>
      </c>
      <c r="T1413" s="33" t="str">
        <f t="shared" ca="1" si="167"/>
        <v>Not Due</v>
      </c>
    </row>
    <row r="1414" spans="1:20" x14ac:dyDescent="0.2">
      <c r="A1414" s="33" t="s">
        <v>58</v>
      </c>
      <c r="B1414" s="33" t="s">
        <v>57</v>
      </c>
      <c r="C1414" t="s">
        <v>3390</v>
      </c>
      <c r="D1414" s="408" t="s">
        <v>101</v>
      </c>
      <c r="E1414" s="33" t="s">
        <v>653</v>
      </c>
      <c r="F1414" s="33" t="s">
        <v>114</v>
      </c>
      <c r="G1414" s="33" t="s">
        <v>57</v>
      </c>
      <c r="H1414" s="33" t="s">
        <v>243</v>
      </c>
      <c r="I1414" s="39" t="s">
        <v>105</v>
      </c>
      <c r="J1414" s="33" t="s">
        <v>1</v>
      </c>
      <c r="K1414" s="317">
        <v>73062.600000000006</v>
      </c>
      <c r="L1414" s="318">
        <f>IF(J1414="TND",1,IF(J1414="EUR",Vertical_Cash_flow!$C$16,IF(J1414="USD",Vertical_Cash_flow!$F$16,0)))</f>
        <v>0.3</v>
      </c>
      <c r="M1414" s="255">
        <f t="shared" si="165"/>
        <v>243542.00000000003</v>
      </c>
      <c r="N1414" s="33" t="s">
        <v>251</v>
      </c>
      <c r="O1414" s="39">
        <v>45335</v>
      </c>
      <c r="P1414" s="255">
        <v>60</v>
      </c>
      <c r="Q1414" s="39">
        <v>45456</v>
      </c>
      <c r="R1414" s="255">
        <f t="shared" ca="1" si="166"/>
        <v>-15</v>
      </c>
      <c r="S1414" s="33" t="str">
        <f>VLOOKUP(Q1414,Mapping!L:M,2,0)</f>
        <v>W24_2024</v>
      </c>
      <c r="T1414" s="33" t="str">
        <f t="shared" ca="1" si="167"/>
        <v>Not Due</v>
      </c>
    </row>
    <row r="1415" spans="1:20" x14ac:dyDescent="0.2">
      <c r="A1415" s="33" t="s">
        <v>58</v>
      </c>
      <c r="B1415" s="33" t="s">
        <v>57</v>
      </c>
      <c r="C1415" t="s">
        <v>3391</v>
      </c>
      <c r="D1415" s="408" t="s">
        <v>101</v>
      </c>
      <c r="E1415" s="33" t="s">
        <v>653</v>
      </c>
      <c r="F1415" s="33" t="s">
        <v>114</v>
      </c>
      <c r="G1415" s="33" t="s">
        <v>57</v>
      </c>
      <c r="H1415" s="33" t="s">
        <v>243</v>
      </c>
      <c r="I1415" s="39" t="s">
        <v>105</v>
      </c>
      <c r="J1415" s="33" t="s">
        <v>1</v>
      </c>
      <c r="K1415" s="317">
        <v>70856.100000000006</v>
      </c>
      <c r="L1415" s="318">
        <f>IF(J1415="TND",1,IF(J1415="EUR",Vertical_Cash_flow!$C$16,IF(J1415="USD",Vertical_Cash_flow!$F$16,0)))</f>
        <v>0.3</v>
      </c>
      <c r="M1415" s="255">
        <f t="shared" si="165"/>
        <v>236187.00000000003</v>
      </c>
      <c r="N1415" s="33" t="s">
        <v>251</v>
      </c>
      <c r="O1415" s="39">
        <v>45335</v>
      </c>
      <c r="P1415" s="255">
        <v>60</v>
      </c>
      <c r="Q1415" s="39">
        <v>45463</v>
      </c>
      <c r="R1415" s="255">
        <f t="shared" ca="1" si="166"/>
        <v>-22</v>
      </c>
      <c r="S1415" s="33" t="str">
        <f>VLOOKUP(Q1415,Mapping!L:M,2,0)</f>
        <v>W25_2024</v>
      </c>
      <c r="T1415" s="33" t="str">
        <f t="shared" ca="1" si="167"/>
        <v>Not Due</v>
      </c>
    </row>
    <row r="1416" spans="1:20" x14ac:dyDescent="0.2">
      <c r="A1416" s="33" t="s">
        <v>58</v>
      </c>
      <c r="B1416" s="33" t="s">
        <v>57</v>
      </c>
      <c r="C1416" t="s">
        <v>3392</v>
      </c>
      <c r="D1416" s="408" t="s">
        <v>101</v>
      </c>
      <c r="E1416" s="33" t="s">
        <v>653</v>
      </c>
      <c r="F1416" s="33" t="s">
        <v>114</v>
      </c>
      <c r="G1416" s="33" t="s">
        <v>57</v>
      </c>
      <c r="H1416" s="33" t="s">
        <v>243</v>
      </c>
      <c r="I1416" s="39" t="s">
        <v>105</v>
      </c>
      <c r="J1416" s="33" t="s">
        <v>1</v>
      </c>
      <c r="K1416" s="317">
        <v>73260.39</v>
      </c>
      <c r="L1416" s="318">
        <f>IF(J1416="TND",1,IF(J1416="EUR",Vertical_Cash_flow!$C$16,IF(J1416="USD",Vertical_Cash_flow!$F$16,0)))</f>
        <v>0.3</v>
      </c>
      <c r="M1416" s="255">
        <f t="shared" si="165"/>
        <v>244201.30000000002</v>
      </c>
      <c r="N1416" s="33" t="s">
        <v>251</v>
      </c>
      <c r="O1416" s="39">
        <v>45345</v>
      </c>
      <c r="P1416" s="255">
        <v>60</v>
      </c>
      <c r="Q1416" s="39">
        <v>45470</v>
      </c>
      <c r="R1416" s="255">
        <f t="shared" ca="1" si="166"/>
        <v>-29</v>
      </c>
      <c r="S1416" s="33" t="str">
        <f>VLOOKUP(Q1416,Mapping!L:M,2,0)</f>
        <v>W26_2024</v>
      </c>
      <c r="T1416" s="33" t="str">
        <f t="shared" ca="1" si="167"/>
        <v>Not Due</v>
      </c>
    </row>
    <row r="1417" spans="1:20" x14ac:dyDescent="0.2">
      <c r="A1417" s="33" t="s">
        <v>58</v>
      </c>
      <c r="B1417" s="33" t="s">
        <v>57</v>
      </c>
      <c r="C1417" t="s">
        <v>3393</v>
      </c>
      <c r="D1417" s="408" t="s">
        <v>101</v>
      </c>
      <c r="E1417" s="33" t="s">
        <v>653</v>
      </c>
      <c r="F1417" s="33" t="s">
        <v>114</v>
      </c>
      <c r="G1417" s="33" t="s">
        <v>57</v>
      </c>
      <c r="H1417" s="33" t="s">
        <v>243</v>
      </c>
      <c r="I1417" s="39" t="s">
        <v>105</v>
      </c>
      <c r="J1417" s="33" t="s">
        <v>1</v>
      </c>
      <c r="K1417" s="317">
        <v>73260.39</v>
      </c>
      <c r="L1417" s="318">
        <f>IF(J1417="TND",1,IF(J1417="EUR",Vertical_Cash_flow!$C$16,IF(J1417="USD",Vertical_Cash_flow!$F$16,0)))</f>
        <v>0.3</v>
      </c>
      <c r="M1417" s="255">
        <f t="shared" si="165"/>
        <v>244201.30000000002</v>
      </c>
      <c r="N1417" s="33" t="s">
        <v>251</v>
      </c>
      <c r="O1417" s="39">
        <v>45345</v>
      </c>
      <c r="P1417" s="255">
        <v>60</v>
      </c>
      <c r="Q1417" s="39">
        <v>45477</v>
      </c>
      <c r="R1417" s="255">
        <f t="shared" ca="1" si="166"/>
        <v>-36</v>
      </c>
      <c r="S1417" s="33" t="str">
        <f>VLOOKUP(Q1417,Mapping!L:M,2,0)</f>
        <v>W27_2024</v>
      </c>
      <c r="T1417" s="33" t="str">
        <f t="shared" ca="1" si="167"/>
        <v>Not Due</v>
      </c>
    </row>
    <row r="1418" spans="1:20" x14ac:dyDescent="0.2">
      <c r="A1418" s="33" t="s">
        <v>58</v>
      </c>
      <c r="B1418" s="33" t="s">
        <v>57</v>
      </c>
      <c r="C1418" t="s">
        <v>3394</v>
      </c>
      <c r="D1418" s="408" t="s">
        <v>101</v>
      </c>
      <c r="E1418" s="33" t="s">
        <v>653</v>
      </c>
      <c r="F1418" s="33" t="s">
        <v>114</v>
      </c>
      <c r="G1418" s="33" t="s">
        <v>57</v>
      </c>
      <c r="H1418" s="33" t="s">
        <v>243</v>
      </c>
      <c r="I1418" s="39" t="s">
        <v>105</v>
      </c>
      <c r="J1418" s="33" t="s">
        <v>1</v>
      </c>
      <c r="K1418" s="317">
        <v>71190</v>
      </c>
      <c r="L1418" s="318">
        <f>IF(J1418="TND",1,IF(J1418="EUR",Vertical_Cash_flow!$C$16,IF(J1418="USD",Vertical_Cash_flow!$F$16,0)))</f>
        <v>0.3</v>
      </c>
      <c r="M1418" s="255">
        <f t="shared" si="165"/>
        <v>237300</v>
      </c>
      <c r="N1418" s="33" t="s">
        <v>251</v>
      </c>
      <c r="O1418" s="39">
        <v>45363</v>
      </c>
      <c r="P1418" s="255">
        <v>60</v>
      </c>
      <c r="Q1418" s="39">
        <v>45484</v>
      </c>
      <c r="R1418" s="255">
        <f t="shared" ca="1" si="166"/>
        <v>-43</v>
      </c>
      <c r="S1418" s="33" t="str">
        <f>VLOOKUP(Q1418,Mapping!L:M,2,0)</f>
        <v>W28_2024</v>
      </c>
      <c r="T1418" s="33" t="str">
        <f t="shared" ca="1" si="167"/>
        <v>Not Due</v>
      </c>
    </row>
    <row r="1419" spans="1:20" x14ac:dyDescent="0.2">
      <c r="A1419" s="33" t="s">
        <v>58</v>
      </c>
      <c r="B1419" s="33" t="s">
        <v>57</v>
      </c>
      <c r="C1419" t="s">
        <v>3395</v>
      </c>
      <c r="D1419" s="408" t="s">
        <v>101</v>
      </c>
      <c r="E1419" s="33" t="s">
        <v>653</v>
      </c>
      <c r="F1419" s="33" t="s">
        <v>114</v>
      </c>
      <c r="G1419" s="33" t="s">
        <v>57</v>
      </c>
      <c r="H1419" s="33" t="s">
        <v>243</v>
      </c>
      <c r="I1419" s="39" t="s">
        <v>105</v>
      </c>
      <c r="J1419" s="33" t="s">
        <v>1</v>
      </c>
      <c r="K1419" s="317">
        <v>71145.899999999994</v>
      </c>
      <c r="L1419" s="318">
        <f>IF(J1419="TND",1,IF(J1419="EUR",Vertical_Cash_flow!$C$16,IF(J1419="USD",Vertical_Cash_flow!$F$16,0)))</f>
        <v>0.3</v>
      </c>
      <c r="M1419" s="255">
        <f t="shared" si="165"/>
        <v>237153</v>
      </c>
      <c r="N1419" s="33" t="s">
        <v>251</v>
      </c>
      <c r="O1419" s="39">
        <v>45363</v>
      </c>
      <c r="P1419" s="255">
        <v>60</v>
      </c>
      <c r="Q1419" s="39">
        <v>45491</v>
      </c>
      <c r="R1419" s="255">
        <f t="shared" ca="1" si="166"/>
        <v>-50</v>
      </c>
      <c r="S1419" s="33" t="str">
        <f>VLOOKUP(Q1419,Mapping!L:M,2,0)</f>
        <v>W29_2024</v>
      </c>
      <c r="T1419" s="33" t="str">
        <f t="shared" ca="1" si="167"/>
        <v>Not Due</v>
      </c>
    </row>
    <row r="1420" spans="1:20" x14ac:dyDescent="0.2">
      <c r="A1420" s="33" t="s">
        <v>58</v>
      </c>
      <c r="B1420" s="33" t="s">
        <v>57</v>
      </c>
      <c r="C1420" t="s">
        <v>3396</v>
      </c>
      <c r="D1420" s="408" t="s">
        <v>101</v>
      </c>
      <c r="E1420" s="33" t="s">
        <v>653</v>
      </c>
      <c r="F1420" s="33" t="s">
        <v>114</v>
      </c>
      <c r="G1420" s="33" t="s">
        <v>57</v>
      </c>
      <c r="H1420" s="33" t="s">
        <v>243</v>
      </c>
      <c r="I1420" s="39" t="s">
        <v>105</v>
      </c>
      <c r="J1420" s="33" t="s">
        <v>1</v>
      </c>
      <c r="K1420" s="317">
        <v>75845.16</v>
      </c>
      <c r="L1420" s="318">
        <f>IF(J1420="TND",1,IF(J1420="EUR",Vertical_Cash_flow!$C$16,IF(J1420="USD",Vertical_Cash_flow!$F$16,0)))</f>
        <v>0.3</v>
      </c>
      <c r="M1420" s="255">
        <f t="shared" si="165"/>
        <v>252817.2</v>
      </c>
      <c r="N1420" s="33" t="s">
        <v>251</v>
      </c>
      <c r="O1420" s="39">
        <v>45363</v>
      </c>
      <c r="P1420" s="255">
        <v>60</v>
      </c>
      <c r="Q1420" s="39">
        <v>45498</v>
      </c>
      <c r="R1420" s="255">
        <f t="shared" ca="1" si="166"/>
        <v>-57</v>
      </c>
      <c r="S1420" s="33" t="str">
        <f>VLOOKUP(Q1420,Mapping!L:M,2,0)</f>
        <v>W30_2024</v>
      </c>
      <c r="T1420" s="33" t="str">
        <f t="shared" ca="1" si="167"/>
        <v>Not Due</v>
      </c>
    </row>
    <row r="1421" spans="1:20" x14ac:dyDescent="0.2">
      <c r="A1421" s="33" t="s">
        <v>58</v>
      </c>
      <c r="B1421" s="33" t="s">
        <v>57</v>
      </c>
      <c r="C1421" t="s">
        <v>3397</v>
      </c>
      <c r="D1421" s="408" t="s">
        <v>101</v>
      </c>
      <c r="E1421" s="33" t="s">
        <v>653</v>
      </c>
      <c r="F1421" s="33" t="s">
        <v>114</v>
      </c>
      <c r="G1421" s="33" t="s">
        <v>57</v>
      </c>
      <c r="H1421" s="33" t="s">
        <v>243</v>
      </c>
      <c r="I1421" s="39" t="s">
        <v>105</v>
      </c>
      <c r="J1421" s="33" t="s">
        <v>1</v>
      </c>
      <c r="K1421" s="317">
        <v>73069.2</v>
      </c>
      <c r="L1421" s="318">
        <f>IF(J1421="TND",1,IF(J1421="EUR",Vertical_Cash_flow!$C$16,IF(J1421="USD",Vertical_Cash_flow!$F$16,0)))</f>
        <v>0.3</v>
      </c>
      <c r="M1421" s="255">
        <f t="shared" si="165"/>
        <v>243564</v>
      </c>
      <c r="N1421" s="33" t="s">
        <v>251</v>
      </c>
      <c r="O1421" s="39">
        <v>45363</v>
      </c>
      <c r="P1421" s="255">
        <v>60</v>
      </c>
      <c r="Q1421" s="39">
        <v>45505</v>
      </c>
      <c r="R1421" s="255">
        <f t="shared" ca="1" si="166"/>
        <v>-64</v>
      </c>
      <c r="S1421" s="33" t="str">
        <f>VLOOKUP(Q1421,Mapping!L:M,2,0)</f>
        <v>W31_2024</v>
      </c>
      <c r="T1421" s="33" t="str">
        <f t="shared" ca="1" si="167"/>
        <v>Not Due</v>
      </c>
    </row>
    <row r="1422" spans="1:20" x14ac:dyDescent="0.2">
      <c r="A1422" s="33" t="s">
        <v>58</v>
      </c>
      <c r="B1422" s="33" t="s">
        <v>57</v>
      </c>
      <c r="C1422" t="s">
        <v>3398</v>
      </c>
      <c r="D1422" s="408" t="s">
        <v>101</v>
      </c>
      <c r="E1422" s="33" t="s">
        <v>653</v>
      </c>
      <c r="F1422" s="33" t="s">
        <v>114</v>
      </c>
      <c r="G1422" s="33" t="s">
        <v>57</v>
      </c>
      <c r="H1422" s="33" t="s">
        <v>243</v>
      </c>
      <c r="I1422" s="39" t="s">
        <v>105</v>
      </c>
      <c r="J1422" s="33" t="s">
        <v>1</v>
      </c>
      <c r="K1422" s="317">
        <v>72117.16</v>
      </c>
      <c r="L1422" s="318">
        <f>IF(J1422="TND",1,IF(J1422="EUR",Vertical_Cash_flow!$C$16,IF(J1422="USD",Vertical_Cash_flow!$F$16,0)))</f>
        <v>0.3</v>
      </c>
      <c r="M1422" s="255">
        <f t="shared" si="165"/>
        <v>240390.53333333335</v>
      </c>
      <c r="N1422" s="33" t="s">
        <v>251</v>
      </c>
      <c r="O1422" s="39">
        <v>45399</v>
      </c>
      <c r="P1422" s="255">
        <v>60</v>
      </c>
      <c r="Q1422" s="39">
        <v>45512</v>
      </c>
      <c r="R1422" s="255">
        <f t="shared" ca="1" si="166"/>
        <v>-71</v>
      </c>
      <c r="S1422" s="33" t="str">
        <f>VLOOKUP(Q1422,Mapping!L:M,2,0)</f>
        <v>W32_2024</v>
      </c>
      <c r="T1422" s="33" t="str">
        <f t="shared" ca="1" si="167"/>
        <v>Not Due</v>
      </c>
    </row>
  </sheetData>
  <autoFilter ref="A1:AB1422" xr:uid="{6BB8864F-DCFE-C141-A65C-6CD1A3E67C39}">
    <sortState xmlns:xlrd2="http://schemas.microsoft.com/office/spreadsheetml/2017/richdata2" ref="A2:AB1397">
      <sortCondition sortBy="cellColor" ref="F1:F1397" dxfId="9"/>
    </sortState>
  </autoFilter>
  <sortState xmlns:xlrd2="http://schemas.microsoft.com/office/spreadsheetml/2017/richdata2" ref="A2:W19">
    <sortCondition ref="K2:K19"/>
  </sortState>
  <phoneticPr fontId="76" type="noConversion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C2C86015-F33E-404A-A2ED-2FB31AEFA485}">
          <x14:formula1>
            <xm:f>Mapping!$C$3:$C$5</xm:f>
          </x14:formula1>
          <xm:sqref>E1423:E1048576 E1362:E1392 I1394:I1422</xm:sqref>
        </x14:dataValidation>
        <x14:dataValidation type="list" allowBlank="1" showInputMessage="1" showErrorMessage="1" xr:uid="{35A53025-2E35-48F6-8794-904E282559AD}">
          <x14:formula1>
            <xm:f>Mapping!$D$3:$D$8</xm:f>
          </x14:formula1>
          <xm:sqref>F1423:F1048576 F2:F1392</xm:sqref>
        </x14:dataValidation>
        <x14:dataValidation type="list" allowBlank="1" showInputMessage="1" showErrorMessage="1" xr:uid="{BF682D6E-69C2-4410-815E-495401C92DCF}">
          <x14:formula1>
            <xm:f>Mapping!$B$3:$B$5</xm:f>
          </x14:formula1>
          <xm:sqref>D1396 D2:D1392</xm:sqref>
        </x14:dataValidation>
        <x14:dataValidation type="list" allowBlank="1" showInputMessage="1" showErrorMessage="1" xr:uid="{6DE06E55-DB91-47E8-B3F3-F2A4E29908DE}">
          <x14:formula1>
            <xm:f>Mapping!$E$3:$E$17</xm:f>
          </x14:formula1>
          <xm:sqref>G1423:G1048576 G2:G1392</xm:sqref>
        </x14:dataValidation>
        <x14:dataValidation type="list" allowBlank="1" showInputMessage="1" showErrorMessage="1" xr:uid="{AB731FB8-CF28-4AD9-9827-EA7FB73EAC7D}">
          <x14:formula1>
            <xm:f>Mapping!$C$3:$C$4</xm:f>
          </x14:formula1>
          <xm:sqref>E2:E1361</xm:sqref>
        </x14:dataValidation>
        <x14:dataValidation type="list" allowBlank="1" showInputMessage="1" showErrorMessage="1" xr:uid="{2E7686A1-539B-49E3-8648-814EE06ECF91}">
          <x14:formula1>
            <xm:f>Mapping!$A$3:$A$7</xm:f>
          </x14:formula1>
          <xm:sqref>A2:A1346</xm:sqref>
        </x14:dataValidation>
        <x14:dataValidation type="list" allowBlank="1" showInputMessage="1" showErrorMessage="1" xr:uid="{F9D2E3CE-D5EA-4349-9CFC-CA2566E30B47}">
          <x14:formula1>
            <xm:f>Mapping!$G$3:$G$5</xm:f>
          </x14:formula1>
          <xm:sqref>J2:J1361</xm:sqref>
        </x14:dataValidation>
        <x14:dataValidation type="list" allowBlank="1" showInputMessage="1" showErrorMessage="1" xr:uid="{1020A2AA-7C9D-4D6E-B5F6-1F81971CD481}">
          <x14:formula1>
            <xm:f>Mapping!$F$3:$F$7</xm:f>
          </x14:formula1>
          <xm:sqref>H2:H1392</xm:sqref>
        </x14:dataValidation>
        <x14:dataValidation type="list" allowBlank="1" showInputMessage="1" showErrorMessage="1" xr:uid="{315B1AAC-73A8-47F8-A1D4-4A39A793267A}">
          <x14:formula1>
            <xm:f>Mapping!$I$3:$I$4</xm:f>
          </x14:formula1>
          <xm:sqref>N2:N1392</xm:sqref>
        </x14:dataValidation>
        <x14:dataValidation type="list" allowBlank="1" showInputMessage="1" showErrorMessage="1" xr:uid="{1372F62C-4765-4358-B203-5546B7D19CB1}">
          <x14:formula1>
            <xm:f>Mapping!$E$30:$E$40</xm:f>
          </x14:formula1>
          <xm:sqref>B1411:B1422 G1411:G1422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DF68D-9D58-4A95-A462-927DD315D976}">
  <sheetPr>
    <tabColor rgb="FFCCFFFF"/>
  </sheetPr>
  <dimension ref="A1:K375"/>
  <sheetViews>
    <sheetView workbookViewId="0">
      <pane ySplit="4" topLeftCell="A299" activePane="bottomLeft" state="frozen"/>
      <selection activeCell="E330" sqref="E330"/>
      <selection pane="bottomLeft" activeCell="E330" sqref="E330"/>
    </sheetView>
  </sheetViews>
  <sheetFormatPr baseColWidth="10" defaultColWidth="9.140625" defaultRowHeight="12.75" x14ac:dyDescent="0.2"/>
  <cols>
    <col min="1" max="1" width="18.5703125" bestFit="1" customWidth="1"/>
    <col min="2" max="2" width="35.7109375" style="4" bestFit="1" customWidth="1"/>
    <col min="3" max="3" width="20.5703125" style="4" bestFit="1" customWidth="1"/>
    <col min="4" max="10" width="17.42578125" bestFit="1" customWidth="1"/>
    <col min="11" max="11" width="14.28515625" bestFit="1" customWidth="1"/>
    <col min="12" max="12" width="12.7109375" bestFit="1" customWidth="1"/>
  </cols>
  <sheetData>
    <row r="1" spans="1:11" x14ac:dyDescent="0.2">
      <c r="A1" s="23" t="s">
        <v>27</v>
      </c>
      <c r="B1" s="21" t="s">
        <v>251</v>
      </c>
    </row>
    <row r="3" spans="1:11" x14ac:dyDescent="0.2">
      <c r="A3" s="23" t="s">
        <v>253</v>
      </c>
      <c r="B3"/>
      <c r="C3"/>
      <c r="D3" s="58" t="s">
        <v>96</v>
      </c>
      <c r="E3" s="21"/>
      <c r="F3" s="21"/>
      <c r="G3" s="21"/>
      <c r="H3" s="21"/>
      <c r="I3" s="21"/>
      <c r="J3" s="21"/>
      <c r="K3" s="21"/>
    </row>
    <row r="4" spans="1:11" x14ac:dyDescent="0.2">
      <c r="A4" s="23" t="s">
        <v>110</v>
      </c>
      <c r="B4" s="23" t="s">
        <v>93</v>
      </c>
      <c r="C4" s="23" t="s">
        <v>99</v>
      </c>
      <c r="D4" t="s">
        <v>408</v>
      </c>
      <c r="E4" s="21" t="s">
        <v>247</v>
      </c>
      <c r="F4" t="s">
        <v>690</v>
      </c>
      <c r="G4" t="s">
        <v>691</v>
      </c>
      <c r="H4" t="s">
        <v>692</v>
      </c>
      <c r="I4" t="s">
        <v>693</v>
      </c>
      <c r="J4" t="s">
        <v>694</v>
      </c>
      <c r="K4" s="21" t="s">
        <v>761</v>
      </c>
    </row>
    <row r="5" spans="1:11" x14ac:dyDescent="0.2">
      <c r="A5" t="s">
        <v>58</v>
      </c>
      <c r="B5" t="s">
        <v>654</v>
      </c>
      <c r="C5" t="s">
        <v>101</v>
      </c>
      <c r="D5" s="21"/>
      <c r="E5" s="21">
        <v>48450</v>
      </c>
      <c r="F5" s="21">
        <v>56519.354838709674</v>
      </c>
      <c r="G5" s="21">
        <v>115222.5806451613</v>
      </c>
      <c r="H5" s="21">
        <v>142759.90322580645</v>
      </c>
      <c r="I5" s="21"/>
      <c r="J5" s="21"/>
      <c r="K5" s="21">
        <v>362951.83870967745</v>
      </c>
    </row>
    <row r="6" spans="1:11" x14ac:dyDescent="0.2">
      <c r="B6" t="s">
        <v>651</v>
      </c>
      <c r="C6" t="s">
        <v>101</v>
      </c>
      <c r="D6" s="21">
        <v>318076</v>
      </c>
      <c r="E6" s="21"/>
      <c r="F6" s="21"/>
      <c r="G6" s="21"/>
      <c r="H6" s="21">
        <v>310409.09677419357</v>
      </c>
      <c r="I6" s="21">
        <v>559373.80645161285</v>
      </c>
      <c r="J6" s="21">
        <v>324083.67741935485</v>
      </c>
      <c r="K6" s="21">
        <v>1511942.5806451614</v>
      </c>
    </row>
    <row r="7" spans="1:11" x14ac:dyDescent="0.2">
      <c r="B7" t="s">
        <v>57</v>
      </c>
      <c r="C7" t="s">
        <v>101</v>
      </c>
      <c r="D7" s="21">
        <v>417446</v>
      </c>
      <c r="E7" s="21"/>
      <c r="F7" s="21"/>
      <c r="G7" s="21"/>
      <c r="H7" s="21"/>
      <c r="I7" s="21"/>
      <c r="J7" s="21"/>
      <c r="K7" s="21">
        <v>417446</v>
      </c>
    </row>
    <row r="8" spans="1:11" x14ac:dyDescent="0.2">
      <c r="A8" t="s">
        <v>56</v>
      </c>
      <c r="B8" t="s">
        <v>273</v>
      </c>
      <c r="C8" t="s">
        <v>100</v>
      </c>
      <c r="D8" s="21">
        <v>3180.5340000000001</v>
      </c>
      <c r="E8" s="21"/>
      <c r="F8" s="21"/>
      <c r="G8" s="21"/>
      <c r="H8" s="21"/>
      <c r="I8" s="21"/>
      <c r="J8" s="21"/>
      <c r="K8" s="21">
        <v>3180.5340000000001</v>
      </c>
    </row>
    <row r="9" spans="1:11" x14ac:dyDescent="0.2">
      <c r="B9" t="s">
        <v>274</v>
      </c>
      <c r="C9" t="s">
        <v>100</v>
      </c>
      <c r="D9" s="21">
        <v>39638.048999999999</v>
      </c>
      <c r="E9" s="21"/>
      <c r="F9" s="21"/>
      <c r="G9" s="21"/>
      <c r="H9" s="21"/>
      <c r="I9" s="21"/>
      <c r="J9" s="21"/>
      <c r="K9" s="21">
        <v>39638.048999999999</v>
      </c>
    </row>
    <row r="10" spans="1:11" x14ac:dyDescent="0.2">
      <c r="B10" t="s">
        <v>275</v>
      </c>
      <c r="C10" t="s">
        <v>100</v>
      </c>
      <c r="D10" s="21">
        <v>182.74600000000001</v>
      </c>
      <c r="E10" s="21"/>
      <c r="F10" s="21"/>
      <c r="G10" s="21"/>
      <c r="H10" s="21"/>
      <c r="I10" s="21"/>
      <c r="J10" s="21"/>
      <c r="K10" s="21">
        <v>182.74600000000001</v>
      </c>
    </row>
    <row r="11" spans="1:11" x14ac:dyDescent="0.2">
      <c r="B11" t="s">
        <v>276</v>
      </c>
      <c r="C11" t="s">
        <v>100</v>
      </c>
      <c r="D11" s="21">
        <v>11981.464</v>
      </c>
      <c r="E11" s="21"/>
      <c r="F11" s="21"/>
      <c r="G11" s="21"/>
      <c r="H11" s="21"/>
      <c r="I11" s="21"/>
      <c r="J11" s="21"/>
      <c r="K11" s="21">
        <v>11981.464</v>
      </c>
    </row>
    <row r="12" spans="1:11" x14ac:dyDescent="0.2">
      <c r="B12" t="s">
        <v>277</v>
      </c>
      <c r="C12" t="s">
        <v>100</v>
      </c>
      <c r="D12" s="21">
        <v>59789.430999999997</v>
      </c>
      <c r="E12" s="21"/>
      <c r="F12" s="21"/>
      <c r="G12" s="21"/>
      <c r="H12" s="21"/>
      <c r="I12" s="21"/>
      <c r="J12" s="21"/>
      <c r="K12" s="21">
        <v>59789.430999999997</v>
      </c>
    </row>
    <row r="13" spans="1:11" x14ac:dyDescent="0.2">
      <c r="B13" t="s">
        <v>278</v>
      </c>
      <c r="C13" t="s">
        <v>100</v>
      </c>
      <c r="D13" s="21">
        <v>30033.904999999999</v>
      </c>
      <c r="E13" s="21"/>
      <c r="F13" s="21"/>
      <c r="G13" s="21"/>
      <c r="H13" s="21"/>
      <c r="I13" s="21"/>
      <c r="J13" s="21"/>
      <c r="K13" s="21">
        <v>30033.904999999999</v>
      </c>
    </row>
    <row r="14" spans="1:11" x14ac:dyDescent="0.2">
      <c r="B14" t="s">
        <v>279</v>
      </c>
      <c r="C14" t="s">
        <v>100</v>
      </c>
      <c r="D14" s="21">
        <v>35397.865999999995</v>
      </c>
      <c r="E14" s="21"/>
      <c r="F14" s="21"/>
      <c r="G14" s="21"/>
      <c r="H14" s="21"/>
      <c r="I14" s="21"/>
      <c r="J14" s="21"/>
      <c r="K14" s="21">
        <v>35397.865999999995</v>
      </c>
    </row>
    <row r="15" spans="1:11" x14ac:dyDescent="0.2">
      <c r="B15" t="s">
        <v>280</v>
      </c>
      <c r="C15" t="s">
        <v>100</v>
      </c>
      <c r="D15" s="21">
        <v>1562.277</v>
      </c>
      <c r="E15" s="21"/>
      <c r="F15" s="21"/>
      <c r="G15" s="21"/>
      <c r="H15" s="21"/>
      <c r="I15" s="21"/>
      <c r="J15" s="21"/>
      <c r="K15" s="21">
        <v>1562.277</v>
      </c>
    </row>
    <row r="16" spans="1:11" x14ac:dyDescent="0.2">
      <c r="B16" t="s">
        <v>281</v>
      </c>
      <c r="C16" t="s">
        <v>100</v>
      </c>
      <c r="D16" s="21">
        <v>4323.7529999999997</v>
      </c>
      <c r="E16" s="21"/>
      <c r="F16" s="21"/>
      <c r="G16" s="21"/>
      <c r="H16" s="21"/>
      <c r="I16" s="21"/>
      <c r="J16" s="21"/>
      <c r="K16" s="21">
        <v>4323.7529999999997</v>
      </c>
    </row>
    <row r="17" spans="2:11" x14ac:dyDescent="0.2">
      <c r="B17" t="s">
        <v>282</v>
      </c>
      <c r="C17" t="s">
        <v>100</v>
      </c>
      <c r="D17" s="21">
        <v>12615.755000000001</v>
      </c>
      <c r="E17" s="21"/>
      <c r="F17" s="21"/>
      <c r="G17" s="21"/>
      <c r="H17" s="21"/>
      <c r="I17" s="21"/>
      <c r="J17" s="21"/>
      <c r="K17" s="21">
        <v>12615.755000000001</v>
      </c>
    </row>
    <row r="18" spans="2:11" x14ac:dyDescent="0.2">
      <c r="B18" t="s">
        <v>283</v>
      </c>
      <c r="C18" t="s">
        <v>100</v>
      </c>
      <c r="D18" s="21">
        <v>13038.134</v>
      </c>
      <c r="E18" s="21"/>
      <c r="F18" s="21"/>
      <c r="G18" s="21"/>
      <c r="H18" s="21"/>
      <c r="I18" s="21"/>
      <c r="J18" s="21"/>
      <c r="K18" s="21">
        <v>13038.134</v>
      </c>
    </row>
    <row r="19" spans="2:11" x14ac:dyDescent="0.2">
      <c r="B19" t="s">
        <v>284</v>
      </c>
      <c r="C19" t="s">
        <v>100</v>
      </c>
      <c r="D19" s="21">
        <v>14797.77</v>
      </c>
      <c r="E19" s="21"/>
      <c r="F19" s="21"/>
      <c r="G19" s="21"/>
      <c r="H19" s="21"/>
      <c r="I19" s="21"/>
      <c r="J19" s="21"/>
      <c r="K19" s="21">
        <v>14797.77</v>
      </c>
    </row>
    <row r="20" spans="2:11" x14ac:dyDescent="0.2">
      <c r="B20" t="s">
        <v>728</v>
      </c>
      <c r="C20" t="s">
        <v>100</v>
      </c>
      <c r="D20" s="21">
        <v>10204.343999999999</v>
      </c>
      <c r="E20" s="21"/>
      <c r="F20" s="21"/>
      <c r="G20" s="21"/>
      <c r="H20" s="21"/>
      <c r="I20" s="21"/>
      <c r="J20" s="21"/>
      <c r="K20" s="21">
        <v>10204.343999999999</v>
      </c>
    </row>
    <row r="21" spans="2:11" x14ac:dyDescent="0.2">
      <c r="B21" t="s">
        <v>285</v>
      </c>
      <c r="C21" t="s">
        <v>100</v>
      </c>
      <c r="D21" s="21">
        <v>22344.467000000004</v>
      </c>
      <c r="E21" s="21"/>
      <c r="F21" s="21"/>
      <c r="G21" s="21"/>
      <c r="H21" s="21"/>
      <c r="I21" s="21"/>
      <c r="J21" s="21"/>
      <c r="K21" s="21">
        <v>22344.467000000004</v>
      </c>
    </row>
    <row r="22" spans="2:11" x14ac:dyDescent="0.2">
      <c r="B22" t="s">
        <v>286</v>
      </c>
      <c r="C22" t="s">
        <v>100</v>
      </c>
      <c r="D22" s="21">
        <v>8044.7220000000007</v>
      </c>
      <c r="E22" s="21"/>
      <c r="F22" s="21"/>
      <c r="G22" s="21"/>
      <c r="H22" s="21"/>
      <c r="I22" s="21"/>
      <c r="J22" s="21"/>
      <c r="K22" s="21">
        <v>8044.7220000000007</v>
      </c>
    </row>
    <row r="23" spans="2:11" x14ac:dyDescent="0.2">
      <c r="B23" t="s">
        <v>287</v>
      </c>
      <c r="C23" t="s">
        <v>100</v>
      </c>
      <c r="D23" s="21">
        <v>4049.5859999999998</v>
      </c>
      <c r="E23" s="21"/>
      <c r="F23" s="21"/>
      <c r="G23" s="21"/>
      <c r="H23" s="21"/>
      <c r="I23" s="21"/>
      <c r="J23" s="21"/>
      <c r="K23" s="21">
        <v>4049.5859999999998</v>
      </c>
    </row>
    <row r="24" spans="2:11" x14ac:dyDescent="0.2">
      <c r="B24" t="s">
        <v>288</v>
      </c>
      <c r="C24" t="s">
        <v>100</v>
      </c>
      <c r="D24" s="21">
        <v>17167.038</v>
      </c>
      <c r="E24" s="21"/>
      <c r="F24" s="21"/>
      <c r="G24" s="21"/>
      <c r="H24" s="21"/>
      <c r="I24" s="21"/>
      <c r="J24" s="21"/>
      <c r="K24" s="21">
        <v>17167.038</v>
      </c>
    </row>
    <row r="25" spans="2:11" x14ac:dyDescent="0.2">
      <c r="B25" t="s">
        <v>289</v>
      </c>
      <c r="C25" t="s">
        <v>100</v>
      </c>
      <c r="D25" s="21">
        <v>10688.656999999999</v>
      </c>
      <c r="E25" s="21"/>
      <c r="F25" s="21"/>
      <c r="G25" s="21"/>
      <c r="H25" s="21"/>
      <c r="I25" s="21"/>
      <c r="J25" s="21"/>
      <c r="K25" s="21">
        <v>10688.656999999999</v>
      </c>
    </row>
    <row r="26" spans="2:11" x14ac:dyDescent="0.2">
      <c r="B26" t="s">
        <v>290</v>
      </c>
      <c r="C26" t="s">
        <v>100</v>
      </c>
      <c r="D26" s="21">
        <v>187.95</v>
      </c>
      <c r="E26" s="21"/>
      <c r="F26" s="21"/>
      <c r="G26" s="21"/>
      <c r="H26" s="21"/>
      <c r="I26" s="21"/>
      <c r="J26" s="21"/>
      <c r="K26" s="21">
        <v>187.95</v>
      </c>
    </row>
    <row r="27" spans="2:11" x14ac:dyDescent="0.2">
      <c r="B27" t="s">
        <v>291</v>
      </c>
      <c r="C27" t="s">
        <v>100</v>
      </c>
      <c r="D27" s="21">
        <v>39769.237999999998</v>
      </c>
      <c r="E27" s="21"/>
      <c r="F27" s="21"/>
      <c r="G27" s="21"/>
      <c r="H27" s="21"/>
      <c r="I27" s="21"/>
      <c r="J27" s="21"/>
      <c r="K27" s="21">
        <v>39769.237999999998</v>
      </c>
    </row>
    <row r="28" spans="2:11" x14ac:dyDescent="0.2">
      <c r="B28" t="s">
        <v>292</v>
      </c>
      <c r="C28" t="s">
        <v>100</v>
      </c>
      <c r="D28" s="21">
        <v>49240.364000000001</v>
      </c>
      <c r="E28" s="21"/>
      <c r="F28" s="21"/>
      <c r="G28" s="21"/>
      <c r="H28" s="21"/>
      <c r="I28" s="21"/>
      <c r="J28" s="21"/>
      <c r="K28" s="21">
        <v>49240.364000000001</v>
      </c>
    </row>
    <row r="29" spans="2:11" x14ac:dyDescent="0.2">
      <c r="B29" t="s">
        <v>293</v>
      </c>
      <c r="C29" t="s">
        <v>100</v>
      </c>
      <c r="D29" s="21">
        <v>48613.883999999998</v>
      </c>
      <c r="E29" s="21"/>
      <c r="F29" s="21"/>
      <c r="G29" s="21"/>
      <c r="H29" s="21"/>
      <c r="I29" s="21"/>
      <c r="J29" s="21"/>
      <c r="K29" s="21">
        <v>48613.883999999998</v>
      </c>
    </row>
    <row r="30" spans="2:11" x14ac:dyDescent="0.2">
      <c r="B30" t="s">
        <v>294</v>
      </c>
      <c r="C30" t="s">
        <v>100</v>
      </c>
      <c r="D30" s="21">
        <v>8844.2540000000008</v>
      </c>
      <c r="E30" s="21"/>
      <c r="F30" s="21"/>
      <c r="G30" s="21"/>
      <c r="H30" s="21"/>
      <c r="I30" s="21"/>
      <c r="J30" s="21"/>
      <c r="K30" s="21">
        <v>8844.2540000000008</v>
      </c>
    </row>
    <row r="31" spans="2:11" x14ac:dyDescent="0.2">
      <c r="B31" t="s">
        <v>295</v>
      </c>
      <c r="C31" t="s">
        <v>100</v>
      </c>
      <c r="D31" s="21">
        <v>12181.051000000001</v>
      </c>
      <c r="E31" s="21"/>
      <c r="F31" s="21"/>
      <c r="G31" s="21"/>
      <c r="H31" s="21"/>
      <c r="I31" s="21"/>
      <c r="J31" s="21"/>
      <c r="K31" s="21">
        <v>12181.051000000001</v>
      </c>
    </row>
    <row r="32" spans="2:11" x14ac:dyDescent="0.2">
      <c r="B32" t="s">
        <v>296</v>
      </c>
      <c r="C32" t="s">
        <v>100</v>
      </c>
      <c r="D32" s="21">
        <v>8592.2950000000001</v>
      </c>
      <c r="E32" s="21"/>
      <c r="F32" s="21"/>
      <c r="G32" s="21"/>
      <c r="H32" s="21"/>
      <c r="I32" s="21"/>
      <c r="J32" s="21"/>
      <c r="K32" s="21">
        <v>8592.2950000000001</v>
      </c>
    </row>
    <row r="33" spans="2:11" x14ac:dyDescent="0.2">
      <c r="B33" t="s">
        <v>297</v>
      </c>
      <c r="C33" t="s">
        <v>100</v>
      </c>
      <c r="D33" s="21">
        <v>7319.2470000000003</v>
      </c>
      <c r="E33" s="21"/>
      <c r="F33" s="21"/>
      <c r="G33" s="21"/>
      <c r="H33" s="21"/>
      <c r="I33" s="21"/>
      <c r="J33" s="21"/>
      <c r="K33" s="21">
        <v>7319.2470000000003</v>
      </c>
    </row>
    <row r="34" spans="2:11" x14ac:dyDescent="0.2">
      <c r="B34" t="s">
        <v>298</v>
      </c>
      <c r="C34" t="s">
        <v>100</v>
      </c>
      <c r="D34" s="21">
        <v>2757.2860000000001</v>
      </c>
      <c r="E34" s="21"/>
      <c r="F34" s="21"/>
      <c r="G34" s="21"/>
      <c r="H34" s="21"/>
      <c r="I34" s="21"/>
      <c r="J34" s="21"/>
      <c r="K34" s="21">
        <v>2757.2860000000001</v>
      </c>
    </row>
    <row r="35" spans="2:11" x14ac:dyDescent="0.2">
      <c r="B35" t="s">
        <v>299</v>
      </c>
      <c r="C35" t="s">
        <v>100</v>
      </c>
      <c r="D35" s="21">
        <v>2146.8589999999999</v>
      </c>
      <c r="E35" s="21"/>
      <c r="F35" s="21"/>
      <c r="G35" s="21"/>
      <c r="H35" s="21"/>
      <c r="I35" s="21"/>
      <c r="J35" s="21"/>
      <c r="K35" s="21">
        <v>2146.8589999999999</v>
      </c>
    </row>
    <row r="36" spans="2:11" x14ac:dyDescent="0.2">
      <c r="B36" t="s">
        <v>300</v>
      </c>
      <c r="C36" t="s">
        <v>100</v>
      </c>
      <c r="D36" s="21">
        <v>14328.019</v>
      </c>
      <c r="E36" s="21"/>
      <c r="F36" s="21"/>
      <c r="G36" s="21"/>
      <c r="H36" s="21"/>
      <c r="I36" s="21"/>
      <c r="J36" s="21"/>
      <c r="K36" s="21">
        <v>14328.019</v>
      </c>
    </row>
    <row r="37" spans="2:11" x14ac:dyDescent="0.2">
      <c r="B37" t="s">
        <v>301</v>
      </c>
      <c r="C37" t="s">
        <v>100</v>
      </c>
      <c r="D37" s="21">
        <v>6080.0709999999999</v>
      </c>
      <c r="E37" s="21"/>
      <c r="F37" s="21"/>
      <c r="G37" s="21"/>
      <c r="H37" s="21"/>
      <c r="I37" s="21"/>
      <c r="J37" s="21"/>
      <c r="K37" s="21">
        <v>6080.0709999999999</v>
      </c>
    </row>
    <row r="38" spans="2:11" x14ac:dyDescent="0.2">
      <c r="B38" t="s">
        <v>302</v>
      </c>
      <c r="C38" t="s">
        <v>100</v>
      </c>
      <c r="D38" s="21">
        <v>27778.804</v>
      </c>
      <c r="E38" s="21"/>
      <c r="F38" s="21"/>
      <c r="G38" s="21"/>
      <c r="H38" s="21"/>
      <c r="I38" s="21"/>
      <c r="J38" s="21"/>
      <c r="K38" s="21">
        <v>27778.804</v>
      </c>
    </row>
    <row r="39" spans="2:11" x14ac:dyDescent="0.2">
      <c r="B39" t="s">
        <v>303</v>
      </c>
      <c r="C39" t="s">
        <v>100</v>
      </c>
      <c r="D39" s="21">
        <v>3802.4539999999997</v>
      </c>
      <c r="E39" s="21"/>
      <c r="F39" s="21"/>
      <c r="G39" s="21"/>
      <c r="H39" s="21"/>
      <c r="I39" s="21"/>
      <c r="J39" s="21"/>
      <c r="K39" s="21">
        <v>3802.4539999999997</v>
      </c>
    </row>
    <row r="40" spans="2:11" x14ac:dyDescent="0.2">
      <c r="B40" t="s">
        <v>304</v>
      </c>
      <c r="C40" t="s">
        <v>100</v>
      </c>
      <c r="D40" s="21">
        <v>202.52199999999999</v>
      </c>
      <c r="E40" s="21"/>
      <c r="F40" s="21"/>
      <c r="G40" s="21"/>
      <c r="H40" s="21"/>
      <c r="I40" s="21"/>
      <c r="J40" s="21"/>
      <c r="K40" s="21">
        <v>202.52199999999999</v>
      </c>
    </row>
    <row r="41" spans="2:11" x14ac:dyDescent="0.2">
      <c r="B41" t="s">
        <v>305</v>
      </c>
      <c r="C41" t="s">
        <v>100</v>
      </c>
      <c r="D41" s="21">
        <v>1700.9949999999999</v>
      </c>
      <c r="E41" s="21"/>
      <c r="F41" s="21"/>
      <c r="G41" s="21"/>
      <c r="H41" s="21"/>
      <c r="I41" s="21"/>
      <c r="J41" s="21"/>
      <c r="K41" s="21">
        <v>1700.9949999999999</v>
      </c>
    </row>
    <row r="42" spans="2:11" x14ac:dyDescent="0.2">
      <c r="B42" t="s">
        <v>306</v>
      </c>
      <c r="C42" t="s">
        <v>100</v>
      </c>
      <c r="D42" s="21">
        <v>1072.0350000000001</v>
      </c>
      <c r="E42" s="21"/>
      <c r="F42" s="21"/>
      <c r="G42" s="21"/>
      <c r="H42" s="21"/>
      <c r="I42" s="21"/>
      <c r="J42" s="21"/>
      <c r="K42" s="21">
        <v>1072.0350000000001</v>
      </c>
    </row>
    <row r="43" spans="2:11" x14ac:dyDescent="0.2">
      <c r="B43" t="s">
        <v>307</v>
      </c>
      <c r="C43" t="s">
        <v>100</v>
      </c>
      <c r="D43" s="21">
        <v>1525.2370000000001</v>
      </c>
      <c r="E43" s="21"/>
      <c r="F43" s="21"/>
      <c r="G43" s="21"/>
      <c r="H43" s="21"/>
      <c r="I43" s="21"/>
      <c r="J43" s="21"/>
      <c r="K43" s="21">
        <v>1525.2370000000001</v>
      </c>
    </row>
    <row r="44" spans="2:11" x14ac:dyDescent="0.2">
      <c r="B44" t="s">
        <v>308</v>
      </c>
      <c r="C44" t="s">
        <v>100</v>
      </c>
      <c r="D44" s="21">
        <v>664.41700000000003</v>
      </c>
      <c r="E44" s="21"/>
      <c r="F44" s="21"/>
      <c r="G44" s="21"/>
      <c r="H44" s="21"/>
      <c r="I44" s="21"/>
      <c r="J44" s="21"/>
      <c r="K44" s="21">
        <v>664.41700000000003</v>
      </c>
    </row>
    <row r="45" spans="2:11" x14ac:dyDescent="0.2">
      <c r="B45" t="s">
        <v>309</v>
      </c>
      <c r="C45" t="s">
        <v>100</v>
      </c>
      <c r="D45" s="21">
        <v>367.99299999999999</v>
      </c>
      <c r="E45" s="21"/>
      <c r="F45" s="21"/>
      <c r="G45" s="21"/>
      <c r="H45" s="21"/>
      <c r="I45" s="21"/>
      <c r="J45" s="21"/>
      <c r="K45" s="21">
        <v>367.99299999999999</v>
      </c>
    </row>
    <row r="46" spans="2:11" x14ac:dyDescent="0.2">
      <c r="B46" t="s">
        <v>310</v>
      </c>
      <c r="C46" t="s">
        <v>100</v>
      </c>
      <c r="D46" s="21">
        <v>4672.53</v>
      </c>
      <c r="E46" s="21"/>
      <c r="F46" s="21"/>
      <c r="G46" s="21"/>
      <c r="H46" s="21"/>
      <c r="I46" s="21"/>
      <c r="J46" s="21"/>
      <c r="K46" s="21">
        <v>4672.53</v>
      </c>
    </row>
    <row r="47" spans="2:11" x14ac:dyDescent="0.2">
      <c r="B47" t="s">
        <v>311</v>
      </c>
      <c r="C47" t="s">
        <v>100</v>
      </c>
      <c r="D47" s="21">
        <v>1350.72</v>
      </c>
      <c r="E47" s="21"/>
      <c r="F47" s="21"/>
      <c r="G47" s="21"/>
      <c r="H47" s="21"/>
      <c r="I47" s="21"/>
      <c r="J47" s="21"/>
      <c r="K47" s="21">
        <v>1350.72</v>
      </c>
    </row>
    <row r="48" spans="2:11" x14ac:dyDescent="0.2">
      <c r="B48" t="s">
        <v>312</v>
      </c>
      <c r="C48" t="s">
        <v>100</v>
      </c>
      <c r="D48" s="21">
        <v>7909.4220000000005</v>
      </c>
      <c r="E48" s="21"/>
      <c r="F48" s="21"/>
      <c r="G48" s="21"/>
      <c r="H48" s="21"/>
      <c r="I48" s="21"/>
      <c r="J48" s="21"/>
      <c r="K48" s="21">
        <v>7909.4220000000005</v>
      </c>
    </row>
    <row r="49" spans="2:11" x14ac:dyDescent="0.2">
      <c r="B49" t="s">
        <v>313</v>
      </c>
      <c r="C49" t="s">
        <v>100</v>
      </c>
      <c r="D49" s="21">
        <v>8130.674</v>
      </c>
      <c r="E49" s="21"/>
      <c r="F49" s="21"/>
      <c r="G49" s="21"/>
      <c r="H49" s="21"/>
      <c r="I49" s="21"/>
      <c r="J49" s="21"/>
      <c r="K49" s="21">
        <v>8130.674</v>
      </c>
    </row>
    <row r="50" spans="2:11" x14ac:dyDescent="0.2">
      <c r="B50" t="s">
        <v>314</v>
      </c>
      <c r="C50" t="s">
        <v>100</v>
      </c>
      <c r="D50" s="21">
        <v>9793.6840000000011</v>
      </c>
      <c r="E50" s="21"/>
      <c r="F50" s="21"/>
      <c r="G50" s="21"/>
      <c r="H50" s="21"/>
      <c r="I50" s="21"/>
      <c r="J50" s="21"/>
      <c r="K50" s="21">
        <v>9793.6840000000011</v>
      </c>
    </row>
    <row r="51" spans="2:11" x14ac:dyDescent="0.2">
      <c r="B51" t="s">
        <v>315</v>
      </c>
      <c r="C51" t="s">
        <v>100</v>
      </c>
      <c r="D51" s="21">
        <v>7764.4639999999999</v>
      </c>
      <c r="E51" s="21"/>
      <c r="F51" s="21"/>
      <c r="G51" s="21"/>
      <c r="H51" s="21"/>
      <c r="I51" s="21"/>
      <c r="J51" s="21"/>
      <c r="K51" s="21">
        <v>7764.4639999999999</v>
      </c>
    </row>
    <row r="52" spans="2:11" x14ac:dyDescent="0.2">
      <c r="B52" t="s">
        <v>316</v>
      </c>
      <c r="C52" t="s">
        <v>100</v>
      </c>
      <c r="D52" s="21">
        <v>5234.165</v>
      </c>
      <c r="E52" s="21"/>
      <c r="F52" s="21"/>
      <c r="G52" s="21"/>
      <c r="H52" s="21"/>
      <c r="I52" s="21"/>
      <c r="J52" s="21"/>
      <c r="K52" s="21">
        <v>5234.165</v>
      </c>
    </row>
    <row r="53" spans="2:11" x14ac:dyDescent="0.2">
      <c r="B53" t="s">
        <v>317</v>
      </c>
      <c r="C53" t="s">
        <v>100</v>
      </c>
      <c r="D53" s="21">
        <v>15010.505000000001</v>
      </c>
      <c r="E53" s="21"/>
      <c r="F53" s="21"/>
      <c r="G53" s="21"/>
      <c r="H53" s="21"/>
      <c r="I53" s="21"/>
      <c r="J53" s="21"/>
      <c r="K53" s="21">
        <v>15010.505000000001</v>
      </c>
    </row>
    <row r="54" spans="2:11" x14ac:dyDescent="0.2">
      <c r="B54" t="s">
        <v>755</v>
      </c>
      <c r="C54" t="s">
        <v>100</v>
      </c>
      <c r="D54" s="21">
        <v>763.69100000000003</v>
      </c>
      <c r="E54" s="21"/>
      <c r="F54" s="21"/>
      <c r="G54" s="21"/>
      <c r="H54" s="21"/>
      <c r="I54" s="21"/>
      <c r="J54" s="21"/>
      <c r="K54" s="21">
        <v>763.69100000000003</v>
      </c>
    </row>
    <row r="55" spans="2:11" x14ac:dyDescent="0.2">
      <c r="B55" t="s">
        <v>318</v>
      </c>
      <c r="C55" t="s">
        <v>100</v>
      </c>
      <c r="D55" s="21">
        <v>610.44899999999996</v>
      </c>
      <c r="E55" s="21"/>
      <c r="F55" s="21"/>
      <c r="G55" s="21"/>
      <c r="H55" s="21"/>
      <c r="I55" s="21"/>
      <c r="J55" s="21"/>
      <c r="K55" s="21">
        <v>610.44899999999996</v>
      </c>
    </row>
    <row r="56" spans="2:11" x14ac:dyDescent="0.2">
      <c r="B56" t="s">
        <v>319</v>
      </c>
      <c r="C56" t="s">
        <v>100</v>
      </c>
      <c r="D56" s="21">
        <v>342.32</v>
      </c>
      <c r="E56" s="21"/>
      <c r="F56" s="21"/>
      <c r="G56" s="21"/>
      <c r="H56" s="21"/>
      <c r="I56" s="21"/>
      <c r="J56" s="21"/>
      <c r="K56" s="21">
        <v>342.32</v>
      </c>
    </row>
    <row r="57" spans="2:11" x14ac:dyDescent="0.2">
      <c r="B57" t="s">
        <v>320</v>
      </c>
      <c r="C57" t="s">
        <v>100</v>
      </c>
      <c r="D57" s="21">
        <v>40261.929000000004</v>
      </c>
      <c r="E57" s="21"/>
      <c r="F57" s="21"/>
      <c r="G57" s="21"/>
      <c r="H57" s="21"/>
      <c r="I57" s="21"/>
      <c r="J57" s="21"/>
      <c r="K57" s="21">
        <v>40261.929000000004</v>
      </c>
    </row>
    <row r="58" spans="2:11" x14ac:dyDescent="0.2">
      <c r="B58" t="s">
        <v>321</v>
      </c>
      <c r="C58" t="s">
        <v>100</v>
      </c>
      <c r="D58" s="21">
        <v>15451.324000000001</v>
      </c>
      <c r="E58" s="21"/>
      <c r="F58" s="21"/>
      <c r="G58" s="21"/>
      <c r="H58" s="21"/>
      <c r="I58" s="21"/>
      <c r="J58" s="21"/>
      <c r="K58" s="21">
        <v>15451.324000000001</v>
      </c>
    </row>
    <row r="59" spans="2:11" x14ac:dyDescent="0.2">
      <c r="B59" t="s">
        <v>322</v>
      </c>
      <c r="C59" t="s">
        <v>100</v>
      </c>
      <c r="D59" s="21">
        <v>24358.976999999999</v>
      </c>
      <c r="E59" s="21"/>
      <c r="F59" s="21"/>
      <c r="G59" s="21"/>
      <c r="H59" s="21"/>
      <c r="I59" s="21"/>
      <c r="J59" s="21"/>
      <c r="K59" s="21">
        <v>24358.976999999999</v>
      </c>
    </row>
    <row r="60" spans="2:11" x14ac:dyDescent="0.2">
      <c r="B60" t="s">
        <v>323</v>
      </c>
      <c r="C60" t="s">
        <v>100</v>
      </c>
      <c r="D60" s="21">
        <v>6747.1279999999997</v>
      </c>
      <c r="E60" s="21"/>
      <c r="F60" s="21"/>
      <c r="G60" s="21"/>
      <c r="H60" s="21"/>
      <c r="I60" s="21"/>
      <c r="J60" s="21"/>
      <c r="K60" s="21">
        <v>6747.1279999999997</v>
      </c>
    </row>
    <row r="61" spans="2:11" x14ac:dyDescent="0.2">
      <c r="B61" t="s">
        <v>324</v>
      </c>
      <c r="C61" t="s">
        <v>100</v>
      </c>
      <c r="D61" s="21">
        <v>5236.326</v>
      </c>
      <c r="E61" s="21"/>
      <c r="F61" s="21"/>
      <c r="G61" s="21"/>
      <c r="H61" s="21"/>
      <c r="I61" s="21"/>
      <c r="J61" s="21"/>
      <c r="K61" s="21">
        <v>5236.326</v>
      </c>
    </row>
    <row r="62" spans="2:11" x14ac:dyDescent="0.2">
      <c r="B62" t="s">
        <v>325</v>
      </c>
      <c r="C62" t="s">
        <v>100</v>
      </c>
      <c r="D62" s="21">
        <v>6028.5129999999999</v>
      </c>
      <c r="E62" s="21"/>
      <c r="F62" s="21"/>
      <c r="G62" s="21"/>
      <c r="H62" s="21"/>
      <c r="I62" s="21"/>
      <c r="J62" s="21"/>
      <c r="K62" s="21">
        <v>6028.5129999999999</v>
      </c>
    </row>
    <row r="63" spans="2:11" x14ac:dyDescent="0.2">
      <c r="B63" t="s">
        <v>326</v>
      </c>
      <c r="C63" t="s">
        <v>100</v>
      </c>
      <c r="D63" s="21">
        <v>358.64100000000002</v>
      </c>
      <c r="E63" s="21"/>
      <c r="F63" s="21"/>
      <c r="G63" s="21"/>
      <c r="H63" s="21"/>
      <c r="I63" s="21"/>
      <c r="J63" s="21"/>
      <c r="K63" s="21">
        <v>358.64100000000002</v>
      </c>
    </row>
    <row r="64" spans="2:11" x14ac:dyDescent="0.2">
      <c r="B64" t="s">
        <v>327</v>
      </c>
      <c r="C64" t="s">
        <v>100</v>
      </c>
      <c r="D64" s="21">
        <v>4945.7700000000004</v>
      </c>
      <c r="E64" s="21"/>
      <c r="F64" s="21"/>
      <c r="G64" s="21"/>
      <c r="H64" s="21"/>
      <c r="I64" s="21"/>
      <c r="J64" s="21"/>
      <c r="K64" s="21">
        <v>4945.7700000000004</v>
      </c>
    </row>
    <row r="65" spans="2:11" x14ac:dyDescent="0.2">
      <c r="B65" t="s">
        <v>328</v>
      </c>
      <c r="C65" t="s">
        <v>100</v>
      </c>
      <c r="D65" s="21">
        <v>4915.0969999999998</v>
      </c>
      <c r="E65" s="21"/>
      <c r="F65" s="21"/>
      <c r="G65" s="21"/>
      <c r="H65" s="21"/>
      <c r="I65" s="21"/>
      <c r="J65" s="21"/>
      <c r="K65" s="21">
        <v>4915.0969999999998</v>
      </c>
    </row>
    <row r="66" spans="2:11" x14ac:dyDescent="0.2">
      <c r="B66" t="s">
        <v>329</v>
      </c>
      <c r="C66" t="s">
        <v>100</v>
      </c>
      <c r="D66" s="21">
        <v>14892.552</v>
      </c>
      <c r="E66" s="21"/>
      <c r="F66" s="21"/>
      <c r="G66" s="21"/>
      <c r="H66" s="21"/>
      <c r="I66" s="21"/>
      <c r="J66" s="21"/>
      <c r="K66" s="21">
        <v>14892.552</v>
      </c>
    </row>
    <row r="67" spans="2:11" x14ac:dyDescent="0.2">
      <c r="B67" t="s">
        <v>330</v>
      </c>
      <c r="C67" t="s">
        <v>100</v>
      </c>
      <c r="D67" s="21">
        <v>35459.542999999998</v>
      </c>
      <c r="E67" s="21"/>
      <c r="F67" s="21"/>
      <c r="G67" s="21"/>
      <c r="H67" s="21"/>
      <c r="I67" s="21"/>
      <c r="J67" s="21"/>
      <c r="K67" s="21">
        <v>35459.542999999998</v>
      </c>
    </row>
    <row r="68" spans="2:11" x14ac:dyDescent="0.2">
      <c r="B68" t="s">
        <v>331</v>
      </c>
      <c r="C68" t="s">
        <v>100</v>
      </c>
      <c r="D68" s="21">
        <v>37058.582999999999</v>
      </c>
      <c r="E68" s="21"/>
      <c r="F68" s="21"/>
      <c r="G68" s="21"/>
      <c r="H68" s="21"/>
      <c r="I68" s="21"/>
      <c r="J68" s="21"/>
      <c r="K68" s="21">
        <v>37058.582999999999</v>
      </c>
    </row>
    <row r="69" spans="2:11" x14ac:dyDescent="0.2">
      <c r="B69" t="s">
        <v>332</v>
      </c>
      <c r="C69" t="s">
        <v>100</v>
      </c>
      <c r="D69" s="21">
        <v>14120.496000000001</v>
      </c>
      <c r="E69" s="21"/>
      <c r="F69" s="21"/>
      <c r="G69" s="21"/>
      <c r="H69" s="21"/>
      <c r="I69" s="21"/>
      <c r="J69" s="21"/>
      <c r="K69" s="21">
        <v>14120.496000000001</v>
      </c>
    </row>
    <row r="70" spans="2:11" x14ac:dyDescent="0.2">
      <c r="B70" t="s">
        <v>333</v>
      </c>
      <c r="C70" t="s">
        <v>100</v>
      </c>
      <c r="D70" s="21">
        <v>11582.493</v>
      </c>
      <c r="E70" s="21"/>
      <c r="F70" s="21"/>
      <c r="G70" s="21"/>
      <c r="H70" s="21"/>
      <c r="I70" s="21"/>
      <c r="J70" s="21"/>
      <c r="K70" s="21">
        <v>11582.493</v>
      </c>
    </row>
    <row r="71" spans="2:11" x14ac:dyDescent="0.2">
      <c r="B71" t="s">
        <v>334</v>
      </c>
      <c r="C71" t="s">
        <v>100</v>
      </c>
      <c r="D71" s="21">
        <v>7539.4449999999997</v>
      </c>
      <c r="E71" s="21"/>
      <c r="F71" s="21"/>
      <c r="G71" s="21"/>
      <c r="H71" s="21"/>
      <c r="I71" s="21"/>
      <c r="J71" s="21"/>
      <c r="K71" s="21">
        <v>7539.4449999999997</v>
      </c>
    </row>
    <row r="72" spans="2:11" x14ac:dyDescent="0.2">
      <c r="B72" t="s">
        <v>335</v>
      </c>
      <c r="C72" t="s">
        <v>100</v>
      </c>
      <c r="D72" s="21">
        <v>8735.9650000000001</v>
      </c>
      <c r="E72" s="21"/>
      <c r="F72" s="21"/>
      <c r="G72" s="21"/>
      <c r="H72" s="21"/>
      <c r="I72" s="21"/>
      <c r="J72" s="21"/>
      <c r="K72" s="21">
        <v>8735.9650000000001</v>
      </c>
    </row>
    <row r="73" spans="2:11" x14ac:dyDescent="0.2">
      <c r="B73" t="s">
        <v>336</v>
      </c>
      <c r="C73" t="s">
        <v>100</v>
      </c>
      <c r="D73" s="21">
        <v>11009.92</v>
      </c>
      <c r="E73" s="21"/>
      <c r="F73" s="21"/>
      <c r="G73" s="21"/>
      <c r="H73" s="21"/>
      <c r="I73" s="21"/>
      <c r="J73" s="21"/>
      <c r="K73" s="21">
        <v>11009.92</v>
      </c>
    </row>
    <row r="74" spans="2:11" x14ac:dyDescent="0.2">
      <c r="B74" t="s">
        <v>337</v>
      </c>
      <c r="C74" t="s">
        <v>100</v>
      </c>
      <c r="D74" s="21">
        <v>20840.635000000002</v>
      </c>
      <c r="E74" s="21"/>
      <c r="F74" s="21"/>
      <c r="G74" s="21"/>
      <c r="H74" s="21"/>
      <c r="I74" s="21"/>
      <c r="J74" s="21"/>
      <c r="K74" s="21">
        <v>20840.635000000002</v>
      </c>
    </row>
    <row r="75" spans="2:11" x14ac:dyDescent="0.2">
      <c r="B75" t="s">
        <v>338</v>
      </c>
      <c r="C75" t="s">
        <v>100</v>
      </c>
      <c r="D75" s="21">
        <v>8500.33</v>
      </c>
      <c r="E75" s="21"/>
      <c r="F75" s="21"/>
      <c r="G75" s="21"/>
      <c r="H75" s="21"/>
      <c r="I75" s="21"/>
      <c r="J75" s="21"/>
      <c r="K75" s="21">
        <v>8500.33</v>
      </c>
    </row>
    <row r="76" spans="2:11" x14ac:dyDescent="0.2">
      <c r="B76" t="s">
        <v>339</v>
      </c>
      <c r="C76" t="s">
        <v>100</v>
      </c>
      <c r="D76" s="21">
        <v>9157.4830000000002</v>
      </c>
      <c r="E76" s="21"/>
      <c r="F76" s="21"/>
      <c r="G76" s="21"/>
      <c r="H76" s="21"/>
      <c r="I76" s="21"/>
      <c r="J76" s="21"/>
      <c r="K76" s="21">
        <v>9157.4830000000002</v>
      </c>
    </row>
    <row r="77" spans="2:11" x14ac:dyDescent="0.2">
      <c r="B77" t="s">
        <v>340</v>
      </c>
      <c r="C77" t="s">
        <v>100</v>
      </c>
      <c r="D77" s="21">
        <v>8396.5750000000007</v>
      </c>
      <c r="E77" s="21"/>
      <c r="F77" s="21"/>
      <c r="G77" s="21"/>
      <c r="H77" s="21"/>
      <c r="I77" s="21"/>
      <c r="J77" s="21"/>
      <c r="K77" s="21">
        <v>8396.5750000000007</v>
      </c>
    </row>
    <row r="78" spans="2:11" x14ac:dyDescent="0.2">
      <c r="B78" t="s">
        <v>341</v>
      </c>
      <c r="C78" t="s">
        <v>100</v>
      </c>
      <c r="D78" s="21">
        <v>6455.8159999999998</v>
      </c>
      <c r="E78" s="21"/>
      <c r="F78" s="21"/>
      <c r="G78" s="21"/>
      <c r="H78" s="21"/>
      <c r="I78" s="21"/>
      <c r="J78" s="21"/>
      <c r="K78" s="21">
        <v>6455.8159999999998</v>
      </c>
    </row>
    <row r="79" spans="2:11" x14ac:dyDescent="0.2">
      <c r="B79" t="s">
        <v>342</v>
      </c>
      <c r="C79" t="s">
        <v>100</v>
      </c>
      <c r="D79" s="21">
        <v>44724.99</v>
      </c>
      <c r="E79" s="21"/>
      <c r="F79" s="21"/>
      <c r="G79" s="21"/>
      <c r="H79" s="21"/>
      <c r="I79" s="21"/>
      <c r="J79" s="21"/>
      <c r="K79" s="21">
        <v>44724.99</v>
      </c>
    </row>
    <row r="80" spans="2:11" x14ac:dyDescent="0.2">
      <c r="B80" t="s">
        <v>343</v>
      </c>
      <c r="C80" t="s">
        <v>100</v>
      </c>
      <c r="D80" s="21">
        <v>7163.777</v>
      </c>
      <c r="E80" s="21"/>
      <c r="F80" s="21"/>
      <c r="G80" s="21"/>
      <c r="H80" s="21"/>
      <c r="I80" s="21"/>
      <c r="J80" s="21"/>
      <c r="K80" s="21">
        <v>7163.777</v>
      </c>
    </row>
    <row r="81" spans="2:11" x14ac:dyDescent="0.2">
      <c r="B81" t="s">
        <v>344</v>
      </c>
      <c r="C81" t="s">
        <v>100</v>
      </c>
      <c r="D81" s="21">
        <v>7873.7189999999991</v>
      </c>
      <c r="E81" s="21"/>
      <c r="F81" s="21"/>
      <c r="G81" s="21"/>
      <c r="H81" s="21"/>
      <c r="I81" s="21"/>
      <c r="J81" s="21"/>
      <c r="K81" s="21">
        <v>7873.7189999999991</v>
      </c>
    </row>
    <row r="82" spans="2:11" x14ac:dyDescent="0.2">
      <c r="B82" t="s">
        <v>345</v>
      </c>
      <c r="C82" t="s">
        <v>100</v>
      </c>
      <c r="D82" s="21">
        <v>43955.353999999999</v>
      </c>
      <c r="E82" s="21"/>
      <c r="F82" s="21"/>
      <c r="G82" s="21"/>
      <c r="H82" s="21"/>
      <c r="I82" s="21"/>
      <c r="J82" s="21"/>
      <c r="K82" s="21">
        <v>43955.353999999999</v>
      </c>
    </row>
    <row r="83" spans="2:11" x14ac:dyDescent="0.2">
      <c r="B83" t="s">
        <v>346</v>
      </c>
      <c r="C83" t="s">
        <v>100</v>
      </c>
      <c r="D83" s="21">
        <v>1295</v>
      </c>
      <c r="E83" s="21"/>
      <c r="F83" s="21"/>
      <c r="G83" s="21"/>
      <c r="H83" s="21"/>
      <c r="I83" s="21"/>
      <c r="J83" s="21"/>
      <c r="K83" s="21">
        <v>1295</v>
      </c>
    </row>
    <row r="84" spans="2:11" x14ac:dyDescent="0.2">
      <c r="B84" t="s">
        <v>347</v>
      </c>
      <c r="C84" t="s">
        <v>100</v>
      </c>
      <c r="D84" s="21">
        <v>2193.4179999999997</v>
      </c>
      <c r="E84" s="21"/>
      <c r="F84" s="21"/>
      <c r="G84" s="21"/>
      <c r="H84" s="21"/>
      <c r="I84" s="21"/>
      <c r="J84" s="21"/>
      <c r="K84" s="21">
        <v>2193.4179999999997</v>
      </c>
    </row>
    <row r="85" spans="2:11" x14ac:dyDescent="0.2">
      <c r="B85" t="s">
        <v>348</v>
      </c>
      <c r="C85" t="s">
        <v>100</v>
      </c>
      <c r="D85" s="21">
        <v>29263.361000000001</v>
      </c>
      <c r="E85" s="21"/>
      <c r="F85" s="21"/>
      <c r="G85" s="21"/>
      <c r="H85" s="21"/>
      <c r="I85" s="21"/>
      <c r="J85" s="21"/>
      <c r="K85" s="21">
        <v>29263.361000000001</v>
      </c>
    </row>
    <row r="86" spans="2:11" x14ac:dyDescent="0.2">
      <c r="B86" t="s">
        <v>349</v>
      </c>
      <c r="C86" t="s">
        <v>100</v>
      </c>
      <c r="D86" s="21">
        <v>11905.844000000001</v>
      </c>
      <c r="E86" s="21"/>
      <c r="F86" s="21"/>
      <c r="G86" s="21"/>
      <c r="H86" s="21"/>
      <c r="I86" s="21"/>
      <c r="J86" s="21"/>
      <c r="K86" s="21">
        <v>11905.844000000001</v>
      </c>
    </row>
    <row r="87" spans="2:11" x14ac:dyDescent="0.2">
      <c r="B87" t="s">
        <v>350</v>
      </c>
      <c r="C87" t="s">
        <v>100</v>
      </c>
      <c r="D87" s="21">
        <v>200</v>
      </c>
      <c r="E87" s="21"/>
      <c r="F87" s="21"/>
      <c r="G87" s="21"/>
      <c r="H87" s="21"/>
      <c r="I87" s="21"/>
      <c r="J87" s="21"/>
      <c r="K87" s="21">
        <v>200</v>
      </c>
    </row>
    <row r="88" spans="2:11" x14ac:dyDescent="0.2">
      <c r="B88" t="s">
        <v>351</v>
      </c>
      <c r="C88" t="s">
        <v>100</v>
      </c>
      <c r="D88" s="21">
        <v>1450</v>
      </c>
      <c r="E88" s="21"/>
      <c r="F88" s="21"/>
      <c r="G88" s="21"/>
      <c r="H88" s="21"/>
      <c r="I88" s="21"/>
      <c r="J88" s="21"/>
      <c r="K88" s="21">
        <v>1450</v>
      </c>
    </row>
    <row r="89" spans="2:11" x14ac:dyDescent="0.2">
      <c r="B89" t="s">
        <v>734</v>
      </c>
      <c r="C89" t="s">
        <v>100</v>
      </c>
      <c r="D89" s="21">
        <v>516.61699999999996</v>
      </c>
      <c r="E89" s="21"/>
      <c r="F89" s="21"/>
      <c r="G89" s="21"/>
      <c r="H89" s="21"/>
      <c r="I89" s="21"/>
      <c r="J89" s="21"/>
      <c r="K89" s="21">
        <v>516.61699999999996</v>
      </c>
    </row>
    <row r="90" spans="2:11" x14ac:dyDescent="0.2">
      <c r="B90" t="s">
        <v>352</v>
      </c>
      <c r="C90" t="s">
        <v>100</v>
      </c>
      <c r="D90" s="21">
        <v>4362.835</v>
      </c>
      <c r="E90" s="21"/>
      <c r="F90" s="21"/>
      <c r="G90" s="21"/>
      <c r="H90" s="21"/>
      <c r="I90" s="21"/>
      <c r="J90" s="21"/>
      <c r="K90" s="21">
        <v>4362.835</v>
      </c>
    </row>
    <row r="91" spans="2:11" x14ac:dyDescent="0.2">
      <c r="B91" t="s">
        <v>353</v>
      </c>
      <c r="C91" t="s">
        <v>100</v>
      </c>
      <c r="D91" s="21">
        <v>15180.874</v>
      </c>
      <c r="E91" s="21"/>
      <c r="F91" s="21"/>
      <c r="G91" s="21"/>
      <c r="H91" s="21"/>
      <c r="I91" s="21"/>
      <c r="J91" s="21"/>
      <c r="K91" s="21">
        <v>15180.874</v>
      </c>
    </row>
    <row r="92" spans="2:11" x14ac:dyDescent="0.2">
      <c r="B92" t="s">
        <v>354</v>
      </c>
      <c r="C92" t="s">
        <v>100</v>
      </c>
      <c r="D92" s="21">
        <v>2418.3270000000002</v>
      </c>
      <c r="E92" s="21"/>
      <c r="F92" s="21"/>
      <c r="G92" s="21"/>
      <c r="H92" s="21"/>
      <c r="I92" s="21"/>
      <c r="J92" s="21"/>
      <c r="K92" s="21">
        <v>2418.3270000000002</v>
      </c>
    </row>
    <row r="93" spans="2:11" x14ac:dyDescent="0.2">
      <c r="B93" t="s">
        <v>355</v>
      </c>
      <c r="C93" t="s">
        <v>100</v>
      </c>
      <c r="D93" s="21">
        <v>34620.527999999998</v>
      </c>
      <c r="E93" s="21"/>
      <c r="F93" s="21"/>
      <c r="G93" s="21"/>
      <c r="H93" s="21"/>
      <c r="I93" s="21"/>
      <c r="J93" s="21"/>
      <c r="K93" s="21">
        <v>34620.527999999998</v>
      </c>
    </row>
    <row r="94" spans="2:11" x14ac:dyDescent="0.2">
      <c r="B94" t="s">
        <v>356</v>
      </c>
      <c r="C94" t="s">
        <v>100</v>
      </c>
      <c r="D94" s="21">
        <v>27301.713</v>
      </c>
      <c r="E94" s="21"/>
      <c r="F94" s="21"/>
      <c r="G94" s="21"/>
      <c r="H94" s="21"/>
      <c r="I94" s="21"/>
      <c r="J94" s="21"/>
      <c r="K94" s="21">
        <v>27301.713</v>
      </c>
    </row>
    <row r="95" spans="2:11" x14ac:dyDescent="0.2">
      <c r="B95" t="s">
        <v>357</v>
      </c>
      <c r="C95" t="s">
        <v>100</v>
      </c>
      <c r="D95" s="21">
        <v>11664.455999999998</v>
      </c>
      <c r="E95" s="21"/>
      <c r="F95" s="21"/>
      <c r="G95" s="21"/>
      <c r="H95" s="21"/>
      <c r="I95" s="21"/>
      <c r="J95" s="21"/>
      <c r="K95" s="21">
        <v>11664.455999999998</v>
      </c>
    </row>
    <row r="96" spans="2:11" x14ac:dyDescent="0.2">
      <c r="B96" t="s">
        <v>358</v>
      </c>
      <c r="C96" t="s">
        <v>100</v>
      </c>
      <c r="D96" s="21">
        <v>14611.738000000001</v>
      </c>
      <c r="E96" s="21"/>
      <c r="F96" s="21"/>
      <c r="G96" s="21"/>
      <c r="H96" s="21"/>
      <c r="I96" s="21"/>
      <c r="J96" s="21"/>
      <c r="K96" s="21">
        <v>14611.738000000001</v>
      </c>
    </row>
    <row r="97" spans="2:11" x14ac:dyDescent="0.2">
      <c r="B97" t="s">
        <v>359</v>
      </c>
      <c r="C97" t="s">
        <v>100</v>
      </c>
      <c r="D97" s="21">
        <v>2295.663</v>
      </c>
      <c r="E97" s="21"/>
      <c r="F97" s="21"/>
      <c r="G97" s="21"/>
      <c r="H97" s="21"/>
      <c r="I97" s="21"/>
      <c r="J97" s="21"/>
      <c r="K97" s="21">
        <v>2295.663</v>
      </c>
    </row>
    <row r="98" spans="2:11" x14ac:dyDescent="0.2">
      <c r="B98" t="s">
        <v>360</v>
      </c>
      <c r="C98" t="s">
        <v>100</v>
      </c>
      <c r="D98" s="21">
        <v>32296.259999999995</v>
      </c>
      <c r="E98" s="21"/>
      <c r="F98" s="21"/>
      <c r="G98" s="21"/>
      <c r="H98" s="21"/>
      <c r="I98" s="21"/>
      <c r="J98" s="21"/>
      <c r="K98" s="21">
        <v>32296.259999999995</v>
      </c>
    </row>
    <row r="99" spans="2:11" x14ac:dyDescent="0.2">
      <c r="B99" t="s">
        <v>361</v>
      </c>
      <c r="C99" t="s">
        <v>100</v>
      </c>
      <c r="D99" s="21">
        <v>12772.300999999999</v>
      </c>
      <c r="E99" s="21"/>
      <c r="F99" s="21"/>
      <c r="G99" s="21"/>
      <c r="H99" s="21"/>
      <c r="I99" s="21"/>
      <c r="J99" s="21"/>
      <c r="K99" s="21">
        <v>12772.300999999999</v>
      </c>
    </row>
    <row r="100" spans="2:11" x14ac:dyDescent="0.2">
      <c r="B100" t="s">
        <v>362</v>
      </c>
      <c r="C100" t="s">
        <v>100</v>
      </c>
      <c r="D100" s="21">
        <v>4530.491</v>
      </c>
      <c r="E100" s="21"/>
      <c r="F100" s="21"/>
      <c r="G100" s="21"/>
      <c r="H100" s="21"/>
      <c r="I100" s="21"/>
      <c r="J100" s="21"/>
      <c r="K100" s="21">
        <v>4530.491</v>
      </c>
    </row>
    <row r="101" spans="2:11" x14ac:dyDescent="0.2">
      <c r="B101" t="s">
        <v>759</v>
      </c>
      <c r="C101" t="s">
        <v>100</v>
      </c>
      <c r="D101" s="21">
        <v>4170.1580000000004</v>
      </c>
      <c r="E101" s="21"/>
      <c r="F101" s="21"/>
      <c r="G101" s="21"/>
      <c r="H101" s="21"/>
      <c r="I101" s="21"/>
      <c r="J101" s="21"/>
      <c r="K101" s="21">
        <v>4170.1580000000004</v>
      </c>
    </row>
    <row r="102" spans="2:11" x14ac:dyDescent="0.2">
      <c r="B102" t="s">
        <v>363</v>
      </c>
      <c r="C102" t="s">
        <v>100</v>
      </c>
      <c r="D102" s="21">
        <v>42304.491000000002</v>
      </c>
      <c r="E102" s="21"/>
      <c r="F102" s="21"/>
      <c r="G102" s="21"/>
      <c r="H102" s="21"/>
      <c r="I102" s="21"/>
      <c r="J102" s="21"/>
      <c r="K102" s="21">
        <v>42304.491000000002</v>
      </c>
    </row>
    <row r="103" spans="2:11" x14ac:dyDescent="0.2">
      <c r="B103" t="s">
        <v>751</v>
      </c>
      <c r="C103" t="s">
        <v>100</v>
      </c>
      <c r="D103" s="21">
        <v>1238.0650000000001</v>
      </c>
      <c r="E103" s="21"/>
      <c r="F103" s="21"/>
      <c r="G103" s="21"/>
      <c r="H103" s="21"/>
      <c r="I103" s="21"/>
      <c r="J103" s="21"/>
      <c r="K103" s="21">
        <v>1238.0650000000001</v>
      </c>
    </row>
    <row r="104" spans="2:11" x14ac:dyDescent="0.2">
      <c r="B104" t="s">
        <v>364</v>
      </c>
      <c r="C104" t="s">
        <v>100</v>
      </c>
      <c r="D104" s="21">
        <v>9440.5380000000005</v>
      </c>
      <c r="E104" s="21"/>
      <c r="F104" s="21"/>
      <c r="G104" s="21"/>
      <c r="H104" s="21"/>
      <c r="I104" s="21"/>
      <c r="J104" s="21"/>
      <c r="K104" s="21">
        <v>9440.5380000000005</v>
      </c>
    </row>
    <row r="105" spans="2:11" x14ac:dyDescent="0.2">
      <c r="B105" t="s">
        <v>365</v>
      </c>
      <c r="C105" t="s">
        <v>100</v>
      </c>
      <c r="D105" s="21">
        <v>4370.5650000000005</v>
      </c>
      <c r="E105" s="21"/>
      <c r="F105" s="21"/>
      <c r="G105" s="21"/>
      <c r="H105" s="21"/>
      <c r="I105" s="21"/>
      <c r="J105" s="21"/>
      <c r="K105" s="21">
        <v>4370.5650000000005</v>
      </c>
    </row>
    <row r="106" spans="2:11" x14ac:dyDescent="0.2">
      <c r="B106" t="s">
        <v>366</v>
      </c>
      <c r="C106" t="s">
        <v>100</v>
      </c>
      <c r="D106" s="21">
        <v>1049.752</v>
      </c>
      <c r="E106" s="21"/>
      <c r="F106" s="21"/>
      <c r="G106" s="21"/>
      <c r="H106" s="21"/>
      <c r="I106" s="21"/>
      <c r="J106" s="21"/>
      <c r="K106" s="21">
        <v>1049.752</v>
      </c>
    </row>
    <row r="107" spans="2:11" x14ac:dyDescent="0.2">
      <c r="B107" t="s">
        <v>367</v>
      </c>
      <c r="C107" t="s">
        <v>100</v>
      </c>
      <c r="D107" s="21">
        <v>2988.6640000000002</v>
      </c>
      <c r="E107" s="21"/>
      <c r="F107" s="21"/>
      <c r="G107" s="21"/>
      <c r="H107" s="21"/>
      <c r="I107" s="21"/>
      <c r="J107" s="21"/>
      <c r="K107" s="21">
        <v>2988.6640000000002</v>
      </c>
    </row>
    <row r="108" spans="2:11" x14ac:dyDescent="0.2">
      <c r="B108" t="s">
        <v>368</v>
      </c>
      <c r="C108" t="s">
        <v>100</v>
      </c>
      <c r="D108" s="21">
        <v>2211.25</v>
      </c>
      <c r="E108" s="21"/>
      <c r="F108" s="21"/>
      <c r="G108" s="21"/>
      <c r="H108" s="21"/>
      <c r="I108" s="21"/>
      <c r="J108" s="21"/>
      <c r="K108" s="21">
        <v>2211.25</v>
      </c>
    </row>
    <row r="109" spans="2:11" x14ac:dyDescent="0.2">
      <c r="B109" t="s">
        <v>369</v>
      </c>
      <c r="C109" t="s">
        <v>100</v>
      </c>
      <c r="D109" s="21">
        <v>46738.919000000002</v>
      </c>
      <c r="E109" s="21"/>
      <c r="F109" s="21"/>
      <c r="G109" s="21"/>
      <c r="H109" s="21"/>
      <c r="I109" s="21"/>
      <c r="J109" s="21"/>
      <c r="K109" s="21">
        <v>46738.919000000002</v>
      </c>
    </row>
    <row r="110" spans="2:11" x14ac:dyDescent="0.2">
      <c r="B110" t="s">
        <v>370</v>
      </c>
      <c r="C110" t="s">
        <v>100</v>
      </c>
      <c r="D110" s="21">
        <v>894.55200000000002</v>
      </c>
      <c r="E110" s="21"/>
      <c r="F110" s="21"/>
      <c r="G110" s="21"/>
      <c r="H110" s="21"/>
      <c r="I110" s="21"/>
      <c r="J110" s="21"/>
      <c r="K110" s="21">
        <v>894.55200000000002</v>
      </c>
    </row>
    <row r="111" spans="2:11" x14ac:dyDescent="0.2">
      <c r="B111" t="s">
        <v>371</v>
      </c>
      <c r="C111" t="s">
        <v>100</v>
      </c>
      <c r="D111" s="21">
        <v>13058.507999999996</v>
      </c>
      <c r="E111" s="21"/>
      <c r="F111" s="21"/>
      <c r="G111" s="21"/>
      <c r="H111" s="21"/>
      <c r="I111" s="21"/>
      <c r="J111" s="21"/>
      <c r="K111" s="21">
        <v>13058.507999999996</v>
      </c>
    </row>
    <row r="112" spans="2:11" x14ac:dyDescent="0.2">
      <c r="B112" t="s">
        <v>372</v>
      </c>
      <c r="C112" t="s">
        <v>100</v>
      </c>
      <c r="D112" s="21">
        <v>4407.8240000000005</v>
      </c>
      <c r="E112" s="21"/>
      <c r="F112" s="21"/>
      <c r="G112" s="21"/>
      <c r="H112" s="21"/>
      <c r="I112" s="21"/>
      <c r="J112" s="21"/>
      <c r="K112" s="21">
        <v>4407.8240000000005</v>
      </c>
    </row>
    <row r="113" spans="2:11" x14ac:dyDescent="0.2">
      <c r="B113" t="s">
        <v>373</v>
      </c>
      <c r="C113" t="s">
        <v>100</v>
      </c>
      <c r="D113" s="21">
        <v>4516.134</v>
      </c>
      <c r="E113" s="21"/>
      <c r="F113" s="21"/>
      <c r="G113" s="21"/>
      <c r="H113" s="21"/>
      <c r="I113" s="21"/>
      <c r="J113" s="21"/>
      <c r="K113" s="21">
        <v>4516.134</v>
      </c>
    </row>
    <row r="114" spans="2:11" x14ac:dyDescent="0.2">
      <c r="B114" t="s">
        <v>374</v>
      </c>
      <c r="C114" t="s">
        <v>100</v>
      </c>
      <c r="D114" s="21">
        <v>913.82799999999997</v>
      </c>
      <c r="E114" s="21"/>
      <c r="F114" s="21"/>
      <c r="G114" s="21"/>
      <c r="H114" s="21"/>
      <c r="I114" s="21"/>
      <c r="J114" s="21"/>
      <c r="K114" s="21">
        <v>913.82799999999997</v>
      </c>
    </row>
    <row r="115" spans="2:11" x14ac:dyDescent="0.2">
      <c r="B115" t="s">
        <v>375</v>
      </c>
      <c r="C115" t="s">
        <v>100</v>
      </c>
      <c r="D115" s="21">
        <v>14670.893</v>
      </c>
      <c r="E115" s="21"/>
      <c r="F115" s="21"/>
      <c r="G115" s="21"/>
      <c r="H115" s="21"/>
      <c r="I115" s="21"/>
      <c r="J115" s="21"/>
      <c r="K115" s="21">
        <v>14670.893</v>
      </c>
    </row>
    <row r="116" spans="2:11" x14ac:dyDescent="0.2">
      <c r="B116" t="s">
        <v>376</v>
      </c>
      <c r="C116" t="s">
        <v>100</v>
      </c>
      <c r="D116" s="21">
        <v>1970.69</v>
      </c>
      <c r="E116" s="21"/>
      <c r="F116" s="21"/>
      <c r="G116" s="21"/>
      <c r="H116" s="21"/>
      <c r="I116" s="21"/>
      <c r="J116" s="21"/>
      <c r="K116" s="21">
        <v>1970.69</v>
      </c>
    </row>
    <row r="117" spans="2:11" x14ac:dyDescent="0.2">
      <c r="B117" t="s">
        <v>377</v>
      </c>
      <c r="C117" t="s">
        <v>100</v>
      </c>
      <c r="D117" s="21">
        <v>20433.825000000001</v>
      </c>
      <c r="E117" s="21"/>
      <c r="F117" s="21"/>
      <c r="G117" s="21"/>
      <c r="H117" s="21"/>
      <c r="I117" s="21"/>
      <c r="J117" s="21"/>
      <c r="K117" s="21">
        <v>20433.825000000001</v>
      </c>
    </row>
    <row r="118" spans="2:11" x14ac:dyDescent="0.2">
      <c r="B118" t="s">
        <v>378</v>
      </c>
      <c r="C118" t="s">
        <v>100</v>
      </c>
      <c r="D118" s="21">
        <v>1363.0260000000001</v>
      </c>
      <c r="E118" s="21"/>
      <c r="F118" s="21"/>
      <c r="G118" s="21"/>
      <c r="H118" s="21"/>
      <c r="I118" s="21"/>
      <c r="J118" s="21"/>
      <c r="K118" s="21">
        <v>1363.0260000000001</v>
      </c>
    </row>
    <row r="119" spans="2:11" x14ac:dyDescent="0.2">
      <c r="B119" t="s">
        <v>379</v>
      </c>
      <c r="C119" t="s">
        <v>100</v>
      </c>
      <c r="D119" s="21">
        <v>27041.804000000004</v>
      </c>
      <c r="E119" s="21"/>
      <c r="F119" s="21"/>
      <c r="G119" s="21"/>
      <c r="H119" s="21"/>
      <c r="I119" s="21"/>
      <c r="J119" s="21"/>
      <c r="K119" s="21">
        <v>27041.804000000004</v>
      </c>
    </row>
    <row r="120" spans="2:11" x14ac:dyDescent="0.2">
      <c r="B120" t="s">
        <v>380</v>
      </c>
      <c r="C120" t="s">
        <v>100</v>
      </c>
      <c r="D120" s="21">
        <v>4185.26</v>
      </c>
      <c r="E120" s="21"/>
      <c r="F120" s="21"/>
      <c r="G120" s="21"/>
      <c r="H120" s="21"/>
      <c r="I120" s="21"/>
      <c r="J120" s="21"/>
      <c r="K120" s="21">
        <v>4185.26</v>
      </c>
    </row>
    <row r="121" spans="2:11" x14ac:dyDescent="0.2">
      <c r="B121" t="s">
        <v>381</v>
      </c>
      <c r="C121" t="s">
        <v>100</v>
      </c>
      <c r="D121" s="21">
        <v>4407.1480000000001</v>
      </c>
      <c r="E121" s="21"/>
      <c r="F121" s="21"/>
      <c r="G121" s="21"/>
      <c r="H121" s="21"/>
      <c r="I121" s="21"/>
      <c r="J121" s="21"/>
      <c r="K121" s="21">
        <v>4407.1480000000001</v>
      </c>
    </row>
    <row r="122" spans="2:11" x14ac:dyDescent="0.2">
      <c r="B122" t="s">
        <v>382</v>
      </c>
      <c r="C122" t="s">
        <v>100</v>
      </c>
      <c r="D122" s="21">
        <v>2261.9459999999999</v>
      </c>
      <c r="E122" s="21"/>
      <c r="F122" s="21"/>
      <c r="G122" s="21"/>
      <c r="H122" s="21"/>
      <c r="I122" s="21"/>
      <c r="J122" s="21"/>
      <c r="K122" s="21">
        <v>2261.9459999999999</v>
      </c>
    </row>
    <row r="123" spans="2:11" x14ac:dyDescent="0.2">
      <c r="B123" t="s">
        <v>383</v>
      </c>
      <c r="C123" t="s">
        <v>100</v>
      </c>
      <c r="D123" s="21">
        <v>6662.7199999999993</v>
      </c>
      <c r="E123" s="21"/>
      <c r="F123" s="21"/>
      <c r="G123" s="21"/>
      <c r="H123" s="21"/>
      <c r="I123" s="21"/>
      <c r="J123" s="21"/>
      <c r="K123" s="21">
        <v>6662.7199999999993</v>
      </c>
    </row>
    <row r="124" spans="2:11" x14ac:dyDescent="0.2">
      <c r="B124" t="s">
        <v>384</v>
      </c>
      <c r="C124" t="s">
        <v>100</v>
      </c>
      <c r="D124" s="21">
        <v>2058.8209999999999</v>
      </c>
      <c r="E124" s="21"/>
      <c r="F124" s="21"/>
      <c r="G124" s="21"/>
      <c r="H124" s="21"/>
      <c r="I124" s="21"/>
      <c r="J124" s="21"/>
      <c r="K124" s="21">
        <v>2058.8209999999999</v>
      </c>
    </row>
    <row r="125" spans="2:11" x14ac:dyDescent="0.2">
      <c r="B125" t="s">
        <v>385</v>
      </c>
      <c r="C125" t="s">
        <v>100</v>
      </c>
      <c r="D125" s="21">
        <v>8762.8130000000001</v>
      </c>
      <c r="E125" s="21"/>
      <c r="F125" s="21"/>
      <c r="G125" s="21"/>
      <c r="H125" s="21"/>
      <c r="I125" s="21"/>
      <c r="J125" s="21"/>
      <c r="K125" s="21">
        <v>8762.8130000000001</v>
      </c>
    </row>
    <row r="126" spans="2:11" x14ac:dyDescent="0.2">
      <c r="B126" t="s">
        <v>386</v>
      </c>
      <c r="C126" t="s">
        <v>100</v>
      </c>
      <c r="D126" s="21">
        <v>2491.556</v>
      </c>
      <c r="E126" s="21"/>
      <c r="F126" s="21"/>
      <c r="G126" s="21"/>
      <c r="H126" s="21"/>
      <c r="I126" s="21"/>
      <c r="J126" s="21"/>
      <c r="K126" s="21">
        <v>2491.556</v>
      </c>
    </row>
    <row r="127" spans="2:11" x14ac:dyDescent="0.2">
      <c r="B127" t="s">
        <v>387</v>
      </c>
      <c r="C127" t="s">
        <v>100</v>
      </c>
      <c r="D127" s="21">
        <v>10497.824000000001</v>
      </c>
      <c r="E127" s="21"/>
      <c r="F127" s="21"/>
      <c r="G127" s="21"/>
      <c r="H127" s="21"/>
      <c r="I127" s="21"/>
      <c r="J127" s="21"/>
      <c r="K127" s="21">
        <v>10497.824000000001</v>
      </c>
    </row>
    <row r="128" spans="2:11" x14ac:dyDescent="0.2">
      <c r="B128" t="s">
        <v>388</v>
      </c>
      <c r="C128" t="s">
        <v>100</v>
      </c>
      <c r="D128" s="21">
        <v>6000</v>
      </c>
      <c r="E128" s="21"/>
      <c r="F128" s="21"/>
      <c r="G128" s="21"/>
      <c r="H128" s="21"/>
      <c r="I128" s="21"/>
      <c r="J128" s="21"/>
      <c r="K128" s="21">
        <v>6000</v>
      </c>
    </row>
    <row r="129" spans="2:11" x14ac:dyDescent="0.2">
      <c r="B129" t="s">
        <v>389</v>
      </c>
      <c r="C129" t="s">
        <v>100</v>
      </c>
      <c r="D129" s="21">
        <v>1019.237</v>
      </c>
      <c r="E129" s="21"/>
      <c r="F129" s="21"/>
      <c r="G129" s="21"/>
      <c r="H129" s="21"/>
      <c r="I129" s="21"/>
      <c r="J129" s="21"/>
      <c r="K129" s="21">
        <v>1019.237</v>
      </c>
    </row>
    <row r="130" spans="2:11" x14ac:dyDescent="0.2">
      <c r="B130" t="s">
        <v>390</v>
      </c>
      <c r="C130" t="s">
        <v>100</v>
      </c>
      <c r="D130" s="21">
        <v>13836.223</v>
      </c>
      <c r="E130" s="21"/>
      <c r="F130" s="21"/>
      <c r="G130" s="21"/>
      <c r="H130" s="21"/>
      <c r="I130" s="21"/>
      <c r="J130" s="21"/>
      <c r="K130" s="21">
        <v>13836.223</v>
      </c>
    </row>
    <row r="131" spans="2:11" x14ac:dyDescent="0.2">
      <c r="B131" t="s">
        <v>716</v>
      </c>
      <c r="C131" t="s">
        <v>100</v>
      </c>
      <c r="D131" s="21">
        <v>2270</v>
      </c>
      <c r="E131" s="21"/>
      <c r="F131" s="21"/>
      <c r="G131" s="21"/>
      <c r="H131" s="21"/>
      <c r="I131" s="21"/>
      <c r="J131" s="21"/>
      <c r="K131" s="21">
        <v>2270</v>
      </c>
    </row>
    <row r="132" spans="2:11" x14ac:dyDescent="0.2">
      <c r="B132" t="s">
        <v>391</v>
      </c>
      <c r="C132" t="s">
        <v>100</v>
      </c>
      <c r="D132" s="21">
        <v>429.55799999999999</v>
      </c>
      <c r="E132" s="21"/>
      <c r="F132" s="21"/>
      <c r="G132" s="21"/>
      <c r="H132" s="21"/>
      <c r="I132" s="21"/>
      <c r="J132" s="21"/>
      <c r="K132" s="21">
        <v>429.55799999999999</v>
      </c>
    </row>
    <row r="133" spans="2:11" x14ac:dyDescent="0.2">
      <c r="B133" t="s">
        <v>392</v>
      </c>
      <c r="C133" t="s">
        <v>100</v>
      </c>
      <c r="D133" s="21">
        <v>29511.637000000002</v>
      </c>
      <c r="E133" s="21"/>
      <c r="F133" s="21"/>
      <c r="G133" s="21"/>
      <c r="H133" s="21"/>
      <c r="I133" s="21"/>
      <c r="J133" s="21"/>
      <c r="K133" s="21">
        <v>29511.637000000002</v>
      </c>
    </row>
    <row r="134" spans="2:11" x14ac:dyDescent="0.2">
      <c r="B134" t="s">
        <v>393</v>
      </c>
      <c r="C134" t="s">
        <v>100</v>
      </c>
      <c r="D134" s="21">
        <v>22586.325999999997</v>
      </c>
      <c r="E134" s="21"/>
      <c r="F134" s="21"/>
      <c r="G134" s="21"/>
      <c r="H134" s="21"/>
      <c r="I134" s="21"/>
      <c r="J134" s="21"/>
      <c r="K134" s="21">
        <v>22586.325999999997</v>
      </c>
    </row>
    <row r="135" spans="2:11" x14ac:dyDescent="0.2">
      <c r="B135" t="s">
        <v>394</v>
      </c>
      <c r="C135" t="s">
        <v>100</v>
      </c>
      <c r="D135" s="21">
        <v>11672.898999999999</v>
      </c>
      <c r="E135" s="21"/>
      <c r="F135" s="21"/>
      <c r="G135" s="21"/>
      <c r="H135" s="21"/>
      <c r="I135" s="21"/>
      <c r="J135" s="21"/>
      <c r="K135" s="21">
        <v>11672.898999999999</v>
      </c>
    </row>
    <row r="136" spans="2:11" x14ac:dyDescent="0.2">
      <c r="B136" t="s">
        <v>395</v>
      </c>
      <c r="C136" t="s">
        <v>100</v>
      </c>
      <c r="D136" s="21">
        <v>14342.296</v>
      </c>
      <c r="E136" s="21"/>
      <c r="F136" s="21"/>
      <c r="G136" s="21"/>
      <c r="H136" s="21"/>
      <c r="I136" s="21"/>
      <c r="J136" s="21"/>
      <c r="K136" s="21">
        <v>14342.296</v>
      </c>
    </row>
    <row r="137" spans="2:11" x14ac:dyDescent="0.2">
      <c r="B137" t="s">
        <v>396</v>
      </c>
      <c r="C137" t="s">
        <v>100</v>
      </c>
      <c r="D137" s="21">
        <v>24806.565999999999</v>
      </c>
      <c r="E137" s="21"/>
      <c r="F137" s="21"/>
      <c r="G137" s="21"/>
      <c r="H137" s="21"/>
      <c r="I137" s="21"/>
      <c r="J137" s="21"/>
      <c r="K137" s="21">
        <v>24806.565999999999</v>
      </c>
    </row>
    <row r="138" spans="2:11" x14ac:dyDescent="0.2">
      <c r="B138" t="s">
        <v>397</v>
      </c>
      <c r="C138" t="s">
        <v>100</v>
      </c>
      <c r="D138" s="21">
        <v>15509.004000000001</v>
      </c>
      <c r="E138" s="21"/>
      <c r="F138" s="21"/>
      <c r="G138" s="21"/>
      <c r="H138" s="21"/>
      <c r="I138" s="21"/>
      <c r="J138" s="21"/>
      <c r="K138" s="21">
        <v>15509.004000000001</v>
      </c>
    </row>
    <row r="139" spans="2:11" x14ac:dyDescent="0.2">
      <c r="B139" t="s">
        <v>398</v>
      </c>
      <c r="C139" t="s">
        <v>100</v>
      </c>
      <c r="D139" s="21">
        <v>18606.078000000001</v>
      </c>
      <c r="E139" s="21"/>
      <c r="F139" s="21"/>
      <c r="G139" s="21"/>
      <c r="H139" s="21"/>
      <c r="I139" s="21"/>
      <c r="J139" s="21"/>
      <c r="K139" s="21">
        <v>18606.078000000001</v>
      </c>
    </row>
    <row r="140" spans="2:11" x14ac:dyDescent="0.2">
      <c r="B140" t="s">
        <v>399</v>
      </c>
      <c r="C140" t="s">
        <v>100</v>
      </c>
      <c r="D140" s="21">
        <v>40494.154000000002</v>
      </c>
      <c r="E140" s="21"/>
      <c r="F140" s="21"/>
      <c r="G140" s="21"/>
      <c r="H140" s="21"/>
      <c r="I140" s="21"/>
      <c r="J140" s="21"/>
      <c r="K140" s="21">
        <v>40494.154000000002</v>
      </c>
    </row>
    <row r="141" spans="2:11" x14ac:dyDescent="0.2">
      <c r="B141" t="s">
        <v>400</v>
      </c>
      <c r="C141" t="s">
        <v>100</v>
      </c>
      <c r="D141" s="21">
        <v>7435.2440000000006</v>
      </c>
      <c r="E141" s="21"/>
      <c r="F141" s="21"/>
      <c r="G141" s="21"/>
      <c r="H141" s="21"/>
      <c r="I141" s="21"/>
      <c r="J141" s="21"/>
      <c r="K141" s="21">
        <v>7435.2440000000006</v>
      </c>
    </row>
    <row r="142" spans="2:11" x14ac:dyDescent="0.2">
      <c r="B142" t="s">
        <v>401</v>
      </c>
      <c r="C142" t="s">
        <v>100</v>
      </c>
      <c r="D142" s="21">
        <v>2644.5839999999998</v>
      </c>
      <c r="E142" s="21"/>
      <c r="F142" s="21"/>
      <c r="G142" s="21"/>
      <c r="H142" s="21"/>
      <c r="I142" s="21"/>
      <c r="J142" s="21"/>
      <c r="K142" s="21">
        <v>2644.5839999999998</v>
      </c>
    </row>
    <row r="143" spans="2:11" x14ac:dyDescent="0.2">
      <c r="B143" t="s">
        <v>402</v>
      </c>
      <c r="C143" t="s">
        <v>100</v>
      </c>
      <c r="D143" s="21">
        <v>2799.694</v>
      </c>
      <c r="E143" s="21"/>
      <c r="F143" s="21"/>
      <c r="G143" s="21"/>
      <c r="H143" s="21"/>
      <c r="I143" s="21"/>
      <c r="J143" s="21"/>
      <c r="K143" s="21">
        <v>2799.694</v>
      </c>
    </row>
    <row r="144" spans="2:11" x14ac:dyDescent="0.2">
      <c r="B144" t="s">
        <v>403</v>
      </c>
      <c r="C144" t="s">
        <v>100</v>
      </c>
      <c r="D144" s="21">
        <v>21935.080999999998</v>
      </c>
      <c r="E144" s="21"/>
      <c r="F144" s="21"/>
      <c r="G144" s="21"/>
      <c r="H144" s="21"/>
      <c r="I144" s="21"/>
      <c r="J144" s="21"/>
      <c r="K144" s="21">
        <v>21935.080999999998</v>
      </c>
    </row>
    <row r="145" spans="2:11" x14ac:dyDescent="0.2">
      <c r="B145" t="s">
        <v>404</v>
      </c>
      <c r="C145" t="s">
        <v>100</v>
      </c>
      <c r="D145" s="21">
        <v>2608.5550000000003</v>
      </c>
      <c r="E145" s="21"/>
      <c r="F145" s="21"/>
      <c r="G145" s="21"/>
      <c r="H145" s="21"/>
      <c r="I145" s="21"/>
      <c r="J145" s="21"/>
      <c r="K145" s="21">
        <v>2608.5550000000003</v>
      </c>
    </row>
    <row r="146" spans="2:11" x14ac:dyDescent="0.2">
      <c r="B146" t="s">
        <v>405</v>
      </c>
      <c r="C146" t="s">
        <v>100</v>
      </c>
      <c r="D146" s="21">
        <v>16666.362000000001</v>
      </c>
      <c r="E146" s="21"/>
      <c r="F146" s="21"/>
      <c r="G146" s="21"/>
      <c r="H146" s="21"/>
      <c r="I146" s="21"/>
      <c r="J146" s="21"/>
      <c r="K146" s="21">
        <v>16666.362000000001</v>
      </c>
    </row>
    <row r="147" spans="2:11" x14ac:dyDescent="0.2">
      <c r="B147" t="s">
        <v>406</v>
      </c>
      <c r="C147" t="s">
        <v>100</v>
      </c>
      <c r="D147" s="21">
        <v>3575.5699999999997</v>
      </c>
      <c r="E147" s="21"/>
      <c r="F147" s="21"/>
      <c r="G147" s="21"/>
      <c r="H147" s="21"/>
      <c r="I147" s="21"/>
      <c r="J147" s="21"/>
      <c r="K147" s="21">
        <v>3575.5699999999997</v>
      </c>
    </row>
    <row r="148" spans="2:11" x14ac:dyDescent="0.2">
      <c r="B148" t="s">
        <v>407</v>
      </c>
      <c r="C148" t="s">
        <v>100</v>
      </c>
      <c r="D148" s="21">
        <v>7274.8180000000002</v>
      </c>
      <c r="E148" s="21"/>
      <c r="F148" s="21"/>
      <c r="G148" s="21"/>
      <c r="H148" s="21"/>
      <c r="I148" s="21"/>
      <c r="J148" s="21"/>
      <c r="K148" s="21">
        <v>7274.8180000000002</v>
      </c>
    </row>
    <row r="149" spans="2:11" x14ac:dyDescent="0.2">
      <c r="B149" t="s">
        <v>476</v>
      </c>
      <c r="C149" t="s">
        <v>100</v>
      </c>
      <c r="D149" s="21">
        <v>70000</v>
      </c>
      <c r="E149" s="21"/>
      <c r="F149" s="21"/>
      <c r="G149" s="21"/>
      <c r="H149" s="21"/>
      <c r="I149" s="21"/>
      <c r="J149" s="21"/>
      <c r="K149" s="21">
        <v>70000</v>
      </c>
    </row>
    <row r="150" spans="2:11" x14ac:dyDescent="0.2">
      <c r="B150" t="s">
        <v>477</v>
      </c>
      <c r="C150" t="s">
        <v>100</v>
      </c>
      <c r="D150" s="21">
        <v>4751.2260000000006</v>
      </c>
      <c r="E150" s="21"/>
      <c r="F150" s="21"/>
      <c r="G150" s="21"/>
      <c r="H150" s="21"/>
      <c r="I150" s="21"/>
      <c r="J150" s="21"/>
      <c r="K150" s="21">
        <v>4751.2260000000006</v>
      </c>
    </row>
    <row r="151" spans="2:11" x14ac:dyDescent="0.2">
      <c r="B151" t="s">
        <v>478</v>
      </c>
      <c r="C151" t="s">
        <v>100</v>
      </c>
      <c r="D151" s="21">
        <v>24900.125</v>
      </c>
      <c r="E151" s="21"/>
      <c r="F151" s="21"/>
      <c r="G151" s="21"/>
      <c r="H151" s="21"/>
      <c r="I151" s="21"/>
      <c r="J151" s="21"/>
      <c r="K151" s="21">
        <v>24900.125</v>
      </c>
    </row>
    <row r="152" spans="2:11" x14ac:dyDescent="0.2">
      <c r="B152" t="s">
        <v>479</v>
      </c>
      <c r="C152" t="s">
        <v>100</v>
      </c>
      <c r="D152" s="21">
        <v>8014.1059999999998</v>
      </c>
      <c r="E152" s="21"/>
      <c r="F152" s="21"/>
      <c r="G152" s="21"/>
      <c r="H152" s="21"/>
      <c r="I152" s="21"/>
      <c r="J152" s="21"/>
      <c r="K152" s="21">
        <v>8014.1059999999998</v>
      </c>
    </row>
    <row r="153" spans="2:11" x14ac:dyDescent="0.2">
      <c r="B153" t="s">
        <v>480</v>
      </c>
      <c r="C153" t="s">
        <v>100</v>
      </c>
      <c r="D153" s="21">
        <v>7843.08</v>
      </c>
      <c r="E153" s="21"/>
      <c r="F153" s="21"/>
      <c r="G153" s="21"/>
      <c r="H153" s="21"/>
      <c r="I153" s="21"/>
      <c r="J153" s="21"/>
      <c r="K153" s="21">
        <v>7843.08</v>
      </c>
    </row>
    <row r="154" spans="2:11" x14ac:dyDescent="0.2">
      <c r="B154" t="s">
        <v>481</v>
      </c>
      <c r="C154" t="s">
        <v>100</v>
      </c>
      <c r="D154" s="21">
        <v>106554.45699999999</v>
      </c>
      <c r="E154" s="21"/>
      <c r="F154" s="21"/>
      <c r="G154" s="21"/>
      <c r="H154" s="21"/>
      <c r="I154" s="21"/>
      <c r="J154" s="21"/>
      <c r="K154" s="21">
        <v>106554.45699999999</v>
      </c>
    </row>
    <row r="155" spans="2:11" x14ac:dyDescent="0.2">
      <c r="B155" t="s">
        <v>482</v>
      </c>
      <c r="C155" t="s">
        <v>100</v>
      </c>
      <c r="D155" s="21">
        <v>28665.259000000002</v>
      </c>
      <c r="E155" s="21"/>
      <c r="F155" s="21"/>
      <c r="G155" s="21"/>
      <c r="H155" s="21"/>
      <c r="I155" s="21"/>
      <c r="J155" s="21"/>
      <c r="K155" s="21">
        <v>28665.259000000002</v>
      </c>
    </row>
    <row r="156" spans="2:11" x14ac:dyDescent="0.2">
      <c r="B156" t="s">
        <v>483</v>
      </c>
      <c r="C156" t="s">
        <v>100</v>
      </c>
      <c r="D156" s="21">
        <v>60702.225000000006</v>
      </c>
      <c r="E156" s="21"/>
      <c r="F156" s="21"/>
      <c r="G156" s="21"/>
      <c r="H156" s="21"/>
      <c r="I156" s="21"/>
      <c r="J156" s="21"/>
      <c r="K156" s="21">
        <v>60702.225000000006</v>
      </c>
    </row>
    <row r="157" spans="2:11" x14ac:dyDescent="0.2">
      <c r="B157" t="s">
        <v>484</v>
      </c>
      <c r="C157" t="s">
        <v>100</v>
      </c>
      <c r="D157" s="21">
        <v>1281.3409999999999</v>
      </c>
      <c r="E157" s="21"/>
      <c r="F157" s="21"/>
      <c r="G157" s="21"/>
      <c r="H157" s="21"/>
      <c r="I157" s="21"/>
      <c r="J157" s="21"/>
      <c r="K157" s="21">
        <v>1281.3409999999999</v>
      </c>
    </row>
    <row r="158" spans="2:11" x14ac:dyDescent="0.2">
      <c r="B158" t="s">
        <v>485</v>
      </c>
      <c r="C158" t="s">
        <v>100</v>
      </c>
      <c r="D158" s="21">
        <v>12559.999</v>
      </c>
      <c r="E158" s="21"/>
      <c r="F158" s="21"/>
      <c r="G158" s="21"/>
      <c r="H158" s="21"/>
      <c r="I158" s="21"/>
      <c r="J158" s="21"/>
      <c r="K158" s="21">
        <v>12559.999</v>
      </c>
    </row>
    <row r="159" spans="2:11" x14ac:dyDescent="0.2">
      <c r="B159" t="s">
        <v>486</v>
      </c>
      <c r="C159" t="s">
        <v>100</v>
      </c>
      <c r="D159" s="21">
        <v>4080.277</v>
      </c>
      <c r="E159" s="21"/>
      <c r="F159" s="21"/>
      <c r="G159" s="21"/>
      <c r="H159" s="21"/>
      <c r="I159" s="21"/>
      <c r="J159" s="21"/>
      <c r="K159" s="21">
        <v>4080.277</v>
      </c>
    </row>
    <row r="160" spans="2:11" x14ac:dyDescent="0.2">
      <c r="B160" t="s">
        <v>487</v>
      </c>
      <c r="C160" t="s">
        <v>100</v>
      </c>
      <c r="D160" s="21">
        <v>16275.168000000001</v>
      </c>
      <c r="E160" s="21"/>
      <c r="F160" s="21"/>
      <c r="G160" s="21"/>
      <c r="H160" s="21"/>
      <c r="I160" s="21"/>
      <c r="J160" s="21"/>
      <c r="K160" s="21">
        <v>16275.168000000001</v>
      </c>
    </row>
    <row r="161" spans="2:11" x14ac:dyDescent="0.2">
      <c r="B161" t="s">
        <v>488</v>
      </c>
      <c r="C161" t="s">
        <v>100</v>
      </c>
      <c r="D161" s="21">
        <v>15192.523000000001</v>
      </c>
      <c r="E161" s="21"/>
      <c r="F161" s="21"/>
      <c r="G161" s="21"/>
      <c r="H161" s="21"/>
      <c r="I161" s="21"/>
      <c r="J161" s="21"/>
      <c r="K161" s="21">
        <v>15192.523000000001</v>
      </c>
    </row>
    <row r="162" spans="2:11" x14ac:dyDescent="0.2">
      <c r="B162" t="s">
        <v>489</v>
      </c>
      <c r="C162" t="s">
        <v>100</v>
      </c>
      <c r="D162" s="21">
        <v>55310.256000000001</v>
      </c>
      <c r="E162" s="21"/>
      <c r="F162" s="21"/>
      <c r="G162" s="21"/>
      <c r="H162" s="21"/>
      <c r="I162" s="21"/>
      <c r="J162" s="21"/>
      <c r="K162" s="21">
        <v>55310.256000000001</v>
      </c>
    </row>
    <row r="163" spans="2:11" x14ac:dyDescent="0.2">
      <c r="B163" t="s">
        <v>490</v>
      </c>
      <c r="C163" t="s">
        <v>100</v>
      </c>
      <c r="D163" s="21">
        <v>718.077</v>
      </c>
      <c r="E163" s="21"/>
      <c r="F163" s="21"/>
      <c r="G163" s="21"/>
      <c r="H163" s="21"/>
      <c r="I163" s="21"/>
      <c r="J163" s="21"/>
      <c r="K163" s="21">
        <v>718.077</v>
      </c>
    </row>
    <row r="164" spans="2:11" x14ac:dyDescent="0.2">
      <c r="B164" t="s">
        <v>491</v>
      </c>
      <c r="C164" t="s">
        <v>100</v>
      </c>
      <c r="D164" s="21">
        <v>2706.8630000000003</v>
      </c>
      <c r="E164" s="21"/>
      <c r="F164" s="21"/>
      <c r="G164" s="21"/>
      <c r="H164" s="21"/>
      <c r="I164" s="21"/>
      <c r="J164" s="21"/>
      <c r="K164" s="21">
        <v>2706.8630000000003</v>
      </c>
    </row>
    <row r="165" spans="2:11" x14ac:dyDescent="0.2">
      <c r="B165" t="s">
        <v>492</v>
      </c>
      <c r="C165" t="s">
        <v>100</v>
      </c>
      <c r="D165" s="21">
        <v>5741.15</v>
      </c>
      <c r="E165" s="21"/>
      <c r="F165" s="21"/>
      <c r="G165" s="21"/>
      <c r="H165" s="21"/>
      <c r="I165" s="21"/>
      <c r="J165" s="21"/>
      <c r="K165" s="21">
        <v>5741.15</v>
      </c>
    </row>
    <row r="166" spans="2:11" x14ac:dyDescent="0.2">
      <c r="B166" t="s">
        <v>493</v>
      </c>
      <c r="C166" t="s">
        <v>100</v>
      </c>
      <c r="D166" s="21">
        <v>1890.923</v>
      </c>
      <c r="E166" s="21"/>
      <c r="F166" s="21"/>
      <c r="G166" s="21"/>
      <c r="H166" s="21"/>
      <c r="I166" s="21"/>
      <c r="J166" s="21"/>
      <c r="K166" s="21">
        <v>1890.923</v>
      </c>
    </row>
    <row r="167" spans="2:11" x14ac:dyDescent="0.2">
      <c r="B167" t="s">
        <v>494</v>
      </c>
      <c r="C167" t="s">
        <v>100</v>
      </c>
      <c r="D167" s="21">
        <v>22837.034</v>
      </c>
      <c r="E167" s="21"/>
      <c r="F167" s="21"/>
      <c r="G167" s="21"/>
      <c r="H167" s="21"/>
      <c r="I167" s="21"/>
      <c r="J167" s="21"/>
      <c r="K167" s="21">
        <v>22837.034</v>
      </c>
    </row>
    <row r="168" spans="2:11" x14ac:dyDescent="0.2">
      <c r="B168" t="s">
        <v>495</v>
      </c>
      <c r="C168" t="s">
        <v>100</v>
      </c>
      <c r="D168" s="21">
        <v>16749.343000000001</v>
      </c>
      <c r="E168" s="21"/>
      <c r="F168" s="21"/>
      <c r="G168" s="21"/>
      <c r="H168" s="21"/>
      <c r="I168" s="21"/>
      <c r="J168" s="21"/>
      <c r="K168" s="21">
        <v>16749.343000000001</v>
      </c>
    </row>
    <row r="169" spans="2:11" x14ac:dyDescent="0.2">
      <c r="B169" t="s">
        <v>496</v>
      </c>
      <c r="C169" t="s">
        <v>100</v>
      </c>
      <c r="D169" s="21">
        <v>24287.24</v>
      </c>
      <c r="E169" s="21"/>
      <c r="F169" s="21"/>
      <c r="G169" s="21"/>
      <c r="H169" s="21"/>
      <c r="I169" s="21"/>
      <c r="J169" s="21"/>
      <c r="K169" s="21">
        <v>24287.24</v>
      </c>
    </row>
    <row r="170" spans="2:11" x14ac:dyDescent="0.2">
      <c r="B170" t="s">
        <v>497</v>
      </c>
      <c r="C170" t="s">
        <v>100</v>
      </c>
      <c r="D170" s="21">
        <v>4172.165</v>
      </c>
      <c r="E170" s="21"/>
      <c r="F170" s="21"/>
      <c r="G170" s="21"/>
      <c r="H170" s="21"/>
      <c r="I170" s="21"/>
      <c r="J170" s="21"/>
      <c r="K170" s="21">
        <v>4172.165</v>
      </c>
    </row>
    <row r="171" spans="2:11" x14ac:dyDescent="0.2">
      <c r="B171" t="s">
        <v>498</v>
      </c>
      <c r="C171" t="s">
        <v>100</v>
      </c>
      <c r="D171" s="21">
        <v>84570</v>
      </c>
      <c r="E171" s="21"/>
      <c r="F171" s="21"/>
      <c r="G171" s="21"/>
      <c r="H171" s="21"/>
      <c r="I171" s="21"/>
      <c r="J171" s="21"/>
      <c r="K171" s="21">
        <v>84570</v>
      </c>
    </row>
    <row r="172" spans="2:11" x14ac:dyDescent="0.2">
      <c r="B172" t="s">
        <v>499</v>
      </c>
      <c r="C172" t="s">
        <v>100</v>
      </c>
      <c r="D172" s="21">
        <v>5236.4160000000002</v>
      </c>
      <c r="E172" s="21"/>
      <c r="F172" s="21"/>
      <c r="G172" s="21"/>
      <c r="H172" s="21"/>
      <c r="I172" s="21"/>
      <c r="J172" s="21"/>
      <c r="K172" s="21">
        <v>5236.4160000000002</v>
      </c>
    </row>
    <row r="173" spans="2:11" x14ac:dyDescent="0.2">
      <c r="B173" t="s">
        <v>500</v>
      </c>
      <c r="C173" t="s">
        <v>100</v>
      </c>
      <c r="D173" s="21">
        <v>21008.518</v>
      </c>
      <c r="E173" s="21"/>
      <c r="F173" s="21"/>
      <c r="G173" s="21"/>
      <c r="H173" s="21"/>
      <c r="I173" s="21"/>
      <c r="J173" s="21"/>
      <c r="K173" s="21">
        <v>21008.518</v>
      </c>
    </row>
    <row r="174" spans="2:11" x14ac:dyDescent="0.2">
      <c r="B174" t="s">
        <v>501</v>
      </c>
      <c r="C174" t="s">
        <v>100</v>
      </c>
      <c r="D174" s="21">
        <v>13160.495999999999</v>
      </c>
      <c r="E174" s="21"/>
      <c r="F174" s="21"/>
      <c r="G174" s="21"/>
      <c r="H174" s="21"/>
      <c r="I174" s="21"/>
      <c r="J174" s="21"/>
      <c r="K174" s="21">
        <v>13160.495999999999</v>
      </c>
    </row>
    <row r="175" spans="2:11" x14ac:dyDescent="0.2">
      <c r="B175" t="s">
        <v>502</v>
      </c>
      <c r="C175" t="s">
        <v>100</v>
      </c>
      <c r="D175" s="21">
        <v>4040.078</v>
      </c>
      <c r="E175" s="21"/>
      <c r="F175" s="21"/>
      <c r="G175" s="21"/>
      <c r="H175" s="21"/>
      <c r="I175" s="21"/>
      <c r="J175" s="21"/>
      <c r="K175" s="21">
        <v>4040.078</v>
      </c>
    </row>
    <row r="176" spans="2:11" x14ac:dyDescent="0.2">
      <c r="B176" t="s">
        <v>503</v>
      </c>
      <c r="C176" t="s">
        <v>100</v>
      </c>
      <c r="D176" s="21">
        <v>4422.5860000000002</v>
      </c>
      <c r="E176" s="21"/>
      <c r="F176" s="21"/>
      <c r="G176" s="21"/>
      <c r="H176" s="21"/>
      <c r="I176" s="21"/>
      <c r="J176" s="21"/>
      <c r="K176" s="21">
        <v>4422.5860000000002</v>
      </c>
    </row>
    <row r="177" spans="2:11" x14ac:dyDescent="0.2">
      <c r="B177" t="s">
        <v>504</v>
      </c>
      <c r="C177" t="s">
        <v>100</v>
      </c>
      <c r="D177" s="21">
        <v>14246.050999999999</v>
      </c>
      <c r="E177" s="21"/>
      <c r="F177" s="21"/>
      <c r="G177" s="21"/>
      <c r="H177" s="21"/>
      <c r="I177" s="21"/>
      <c r="J177" s="21"/>
      <c r="K177" s="21">
        <v>14246.050999999999</v>
      </c>
    </row>
    <row r="178" spans="2:11" x14ac:dyDescent="0.2">
      <c r="B178" t="s">
        <v>505</v>
      </c>
      <c r="C178" t="s">
        <v>100</v>
      </c>
      <c r="D178" s="21">
        <v>1986.2420000000002</v>
      </c>
      <c r="E178" s="21"/>
      <c r="F178" s="21"/>
      <c r="G178" s="21"/>
      <c r="H178" s="21"/>
      <c r="I178" s="21"/>
      <c r="J178" s="21"/>
      <c r="K178" s="21">
        <v>1986.2420000000002</v>
      </c>
    </row>
    <row r="179" spans="2:11" x14ac:dyDescent="0.2">
      <c r="B179" t="s">
        <v>506</v>
      </c>
      <c r="C179" t="s">
        <v>100</v>
      </c>
      <c r="D179" s="21">
        <v>10607.12</v>
      </c>
      <c r="E179" s="21"/>
      <c r="F179" s="21"/>
      <c r="G179" s="21"/>
      <c r="H179" s="21"/>
      <c r="I179" s="21"/>
      <c r="J179" s="21"/>
      <c r="K179" s="21">
        <v>10607.12</v>
      </c>
    </row>
    <row r="180" spans="2:11" x14ac:dyDescent="0.2">
      <c r="B180" t="s">
        <v>507</v>
      </c>
      <c r="C180" t="s">
        <v>100</v>
      </c>
      <c r="D180" s="21">
        <v>10882.168</v>
      </c>
      <c r="E180" s="21"/>
      <c r="F180" s="21"/>
      <c r="G180" s="21"/>
      <c r="H180" s="21"/>
      <c r="I180" s="21"/>
      <c r="J180" s="21"/>
      <c r="K180" s="21">
        <v>10882.168</v>
      </c>
    </row>
    <row r="181" spans="2:11" x14ac:dyDescent="0.2">
      <c r="B181" t="s">
        <v>508</v>
      </c>
      <c r="C181" t="s">
        <v>100</v>
      </c>
      <c r="D181" s="21">
        <v>20823.713</v>
      </c>
      <c r="E181" s="21"/>
      <c r="F181" s="21"/>
      <c r="G181" s="21"/>
      <c r="H181" s="21"/>
      <c r="I181" s="21"/>
      <c r="J181" s="21"/>
      <c r="K181" s="21">
        <v>20823.713</v>
      </c>
    </row>
    <row r="182" spans="2:11" x14ac:dyDescent="0.2">
      <c r="B182" t="s">
        <v>509</v>
      </c>
      <c r="C182" t="s">
        <v>100</v>
      </c>
      <c r="D182" s="21">
        <v>7381.8029999999999</v>
      </c>
      <c r="E182" s="21"/>
      <c r="F182" s="21"/>
      <c r="G182" s="21"/>
      <c r="H182" s="21"/>
      <c r="I182" s="21"/>
      <c r="J182" s="21"/>
      <c r="K182" s="21">
        <v>7381.8029999999999</v>
      </c>
    </row>
    <row r="183" spans="2:11" x14ac:dyDescent="0.2">
      <c r="B183" t="s">
        <v>510</v>
      </c>
      <c r="C183" t="s">
        <v>100</v>
      </c>
      <c r="D183" s="21">
        <v>1131.03</v>
      </c>
      <c r="E183" s="21"/>
      <c r="F183" s="21"/>
      <c r="G183" s="21"/>
      <c r="H183" s="21"/>
      <c r="I183" s="21"/>
      <c r="J183" s="21"/>
      <c r="K183" s="21">
        <v>1131.03</v>
      </c>
    </row>
    <row r="184" spans="2:11" x14ac:dyDescent="0.2">
      <c r="B184" t="s">
        <v>511</v>
      </c>
      <c r="C184" t="s">
        <v>100</v>
      </c>
      <c r="D184" s="21">
        <v>22740.232</v>
      </c>
      <c r="E184" s="21"/>
      <c r="F184" s="21"/>
      <c r="G184" s="21"/>
      <c r="H184" s="21"/>
      <c r="I184" s="21"/>
      <c r="J184" s="21"/>
      <c r="K184" s="21">
        <v>22740.232</v>
      </c>
    </row>
    <row r="185" spans="2:11" x14ac:dyDescent="0.2">
      <c r="B185" t="s">
        <v>512</v>
      </c>
      <c r="C185" t="s">
        <v>100</v>
      </c>
      <c r="D185" s="21">
        <v>3009.6689999999999</v>
      </c>
      <c r="E185" s="21"/>
      <c r="F185" s="21"/>
      <c r="G185" s="21"/>
      <c r="H185" s="21"/>
      <c r="I185" s="21"/>
      <c r="J185" s="21"/>
      <c r="K185" s="21">
        <v>3009.6689999999999</v>
      </c>
    </row>
    <row r="186" spans="2:11" x14ac:dyDescent="0.2">
      <c r="B186" t="s">
        <v>513</v>
      </c>
      <c r="C186" t="s">
        <v>100</v>
      </c>
      <c r="D186" s="21">
        <v>2632.1000000000004</v>
      </c>
      <c r="E186" s="21"/>
      <c r="F186" s="21"/>
      <c r="G186" s="21"/>
      <c r="H186" s="21"/>
      <c r="I186" s="21"/>
      <c r="J186" s="21"/>
      <c r="K186" s="21">
        <v>2632.1000000000004</v>
      </c>
    </row>
    <row r="187" spans="2:11" x14ac:dyDescent="0.2">
      <c r="B187" t="s">
        <v>514</v>
      </c>
      <c r="C187" t="s">
        <v>100</v>
      </c>
      <c r="D187" s="21">
        <v>11196.474000000002</v>
      </c>
      <c r="E187" s="21"/>
      <c r="F187" s="21"/>
      <c r="G187" s="21"/>
      <c r="H187" s="21"/>
      <c r="I187" s="21"/>
      <c r="J187" s="21"/>
      <c r="K187" s="21">
        <v>11196.474000000002</v>
      </c>
    </row>
    <row r="188" spans="2:11" x14ac:dyDescent="0.2">
      <c r="B188" t="s">
        <v>515</v>
      </c>
      <c r="C188" t="s">
        <v>100</v>
      </c>
      <c r="D188" s="21">
        <v>6254.762999999999</v>
      </c>
      <c r="E188" s="21"/>
      <c r="F188" s="21"/>
      <c r="G188" s="21"/>
      <c r="H188" s="21"/>
      <c r="I188" s="21"/>
      <c r="J188" s="21"/>
      <c r="K188" s="21">
        <v>6254.762999999999</v>
      </c>
    </row>
    <row r="189" spans="2:11" x14ac:dyDescent="0.2">
      <c r="B189" t="s">
        <v>516</v>
      </c>
      <c r="C189" t="s">
        <v>100</v>
      </c>
      <c r="D189" s="21">
        <v>1506.5030000000002</v>
      </c>
      <c r="E189" s="21"/>
      <c r="F189" s="21"/>
      <c r="G189" s="21"/>
      <c r="H189" s="21"/>
      <c r="I189" s="21"/>
      <c r="J189" s="21"/>
      <c r="K189" s="21">
        <v>1506.5030000000002</v>
      </c>
    </row>
    <row r="190" spans="2:11" x14ac:dyDescent="0.2">
      <c r="B190" t="s">
        <v>517</v>
      </c>
      <c r="C190" t="s">
        <v>100</v>
      </c>
      <c r="D190" s="21">
        <v>1956.922</v>
      </c>
      <c r="E190" s="21"/>
      <c r="F190" s="21"/>
      <c r="G190" s="21"/>
      <c r="H190" s="21"/>
      <c r="I190" s="21"/>
      <c r="J190" s="21"/>
      <c r="K190" s="21">
        <v>1956.922</v>
      </c>
    </row>
    <row r="191" spans="2:11" x14ac:dyDescent="0.2">
      <c r="B191" t="s">
        <v>518</v>
      </c>
      <c r="C191" t="s">
        <v>100</v>
      </c>
      <c r="D191" s="21">
        <v>4747.7950000000001</v>
      </c>
      <c r="E191" s="21"/>
      <c r="F191" s="21"/>
      <c r="G191" s="21"/>
      <c r="H191" s="21"/>
      <c r="I191" s="21"/>
      <c r="J191" s="21"/>
      <c r="K191" s="21">
        <v>4747.7950000000001</v>
      </c>
    </row>
    <row r="192" spans="2:11" x14ac:dyDescent="0.2">
      <c r="B192" t="s">
        <v>519</v>
      </c>
      <c r="C192" t="s">
        <v>100</v>
      </c>
      <c r="D192" s="21">
        <v>3978.2869999999998</v>
      </c>
      <c r="E192" s="21"/>
      <c r="F192" s="21"/>
      <c r="G192" s="21"/>
      <c r="H192" s="21"/>
      <c r="I192" s="21"/>
      <c r="J192" s="21"/>
      <c r="K192" s="21">
        <v>3978.2869999999998</v>
      </c>
    </row>
    <row r="193" spans="2:11" x14ac:dyDescent="0.2">
      <c r="B193" t="s">
        <v>520</v>
      </c>
      <c r="C193" t="s">
        <v>100</v>
      </c>
      <c r="D193" s="21">
        <v>31762.359</v>
      </c>
      <c r="E193" s="21"/>
      <c r="F193" s="21"/>
      <c r="G193" s="21"/>
      <c r="H193" s="21"/>
      <c r="I193" s="21"/>
      <c r="J193" s="21"/>
      <c r="K193" s="21">
        <v>31762.359</v>
      </c>
    </row>
    <row r="194" spans="2:11" x14ac:dyDescent="0.2">
      <c r="B194" t="s">
        <v>521</v>
      </c>
      <c r="C194" t="s">
        <v>100</v>
      </c>
      <c r="D194" s="21">
        <v>4628.018</v>
      </c>
      <c r="E194" s="21"/>
      <c r="F194" s="21"/>
      <c r="G194" s="21"/>
      <c r="H194" s="21"/>
      <c r="I194" s="21"/>
      <c r="J194" s="21"/>
      <c r="K194" s="21">
        <v>4628.018</v>
      </c>
    </row>
    <row r="195" spans="2:11" x14ac:dyDescent="0.2">
      <c r="B195" t="s">
        <v>522</v>
      </c>
      <c r="C195" t="s">
        <v>100</v>
      </c>
      <c r="D195" s="21">
        <v>500</v>
      </c>
      <c r="E195" s="21"/>
      <c r="F195" s="21"/>
      <c r="G195" s="21"/>
      <c r="H195" s="21"/>
      <c r="I195" s="21"/>
      <c r="J195" s="21"/>
      <c r="K195" s="21">
        <v>500</v>
      </c>
    </row>
    <row r="196" spans="2:11" x14ac:dyDescent="0.2">
      <c r="B196" t="s">
        <v>523</v>
      </c>
      <c r="C196" t="s">
        <v>100</v>
      </c>
      <c r="D196" s="21">
        <v>9700</v>
      </c>
      <c r="E196" s="21"/>
      <c r="F196" s="21"/>
      <c r="G196" s="21"/>
      <c r="H196" s="21"/>
      <c r="I196" s="21"/>
      <c r="J196" s="21"/>
      <c r="K196" s="21">
        <v>9700</v>
      </c>
    </row>
    <row r="197" spans="2:11" x14ac:dyDescent="0.2">
      <c r="B197" t="s">
        <v>524</v>
      </c>
      <c r="C197" t="s">
        <v>100</v>
      </c>
      <c r="D197" s="21">
        <v>3061.904</v>
      </c>
      <c r="E197" s="21"/>
      <c r="F197" s="21"/>
      <c r="G197" s="21"/>
      <c r="H197" s="21"/>
      <c r="I197" s="21"/>
      <c r="J197" s="21"/>
      <c r="K197" s="21">
        <v>3061.904</v>
      </c>
    </row>
    <row r="198" spans="2:11" x14ac:dyDescent="0.2">
      <c r="B198" t="s">
        <v>525</v>
      </c>
      <c r="C198" t="s">
        <v>100</v>
      </c>
      <c r="D198" s="21">
        <v>5375.3580000000002</v>
      </c>
      <c r="E198" s="21"/>
      <c r="F198" s="21"/>
      <c r="G198" s="21"/>
      <c r="H198" s="21"/>
      <c r="I198" s="21"/>
      <c r="J198" s="21"/>
      <c r="K198" s="21">
        <v>5375.3580000000002</v>
      </c>
    </row>
    <row r="199" spans="2:11" x14ac:dyDescent="0.2">
      <c r="B199" t="s">
        <v>526</v>
      </c>
      <c r="C199" t="s">
        <v>100</v>
      </c>
      <c r="D199" s="21">
        <v>6287.2979999999998</v>
      </c>
      <c r="E199" s="21"/>
      <c r="F199" s="21"/>
      <c r="G199" s="21"/>
      <c r="H199" s="21"/>
      <c r="I199" s="21"/>
      <c r="J199" s="21"/>
      <c r="K199" s="21">
        <v>6287.2979999999998</v>
      </c>
    </row>
    <row r="200" spans="2:11" x14ac:dyDescent="0.2">
      <c r="B200" t="s">
        <v>527</v>
      </c>
      <c r="C200" t="s">
        <v>100</v>
      </c>
      <c r="D200" s="21">
        <v>8594.8070000000007</v>
      </c>
      <c r="E200" s="21"/>
      <c r="F200" s="21"/>
      <c r="G200" s="21"/>
      <c r="H200" s="21"/>
      <c r="I200" s="21"/>
      <c r="J200" s="21"/>
      <c r="K200" s="21">
        <v>8594.8070000000007</v>
      </c>
    </row>
    <row r="201" spans="2:11" x14ac:dyDescent="0.2">
      <c r="B201" t="s">
        <v>528</v>
      </c>
      <c r="C201" t="s">
        <v>100</v>
      </c>
      <c r="D201" s="21">
        <v>22405.413</v>
      </c>
      <c r="E201" s="21"/>
      <c r="F201" s="21"/>
      <c r="G201" s="21"/>
      <c r="H201" s="21"/>
      <c r="I201" s="21"/>
      <c r="J201" s="21"/>
      <c r="K201" s="21">
        <v>22405.413</v>
      </c>
    </row>
    <row r="202" spans="2:11" x14ac:dyDescent="0.2">
      <c r="B202" t="s">
        <v>529</v>
      </c>
      <c r="C202" t="s">
        <v>100</v>
      </c>
      <c r="D202" s="21">
        <v>2231.2150000000001</v>
      </c>
      <c r="E202" s="21"/>
      <c r="F202" s="21"/>
      <c r="G202" s="21"/>
      <c r="H202" s="21"/>
      <c r="I202" s="21"/>
      <c r="J202" s="21"/>
      <c r="K202" s="21">
        <v>2231.2150000000001</v>
      </c>
    </row>
    <row r="203" spans="2:11" x14ac:dyDescent="0.2">
      <c r="B203" t="s">
        <v>530</v>
      </c>
      <c r="C203" t="s">
        <v>100</v>
      </c>
      <c r="D203" s="21">
        <v>5232.4479999999994</v>
      </c>
      <c r="E203" s="21"/>
      <c r="F203" s="21"/>
      <c r="G203" s="21"/>
      <c r="H203" s="21"/>
      <c r="I203" s="21"/>
      <c r="J203" s="21"/>
      <c r="K203" s="21">
        <v>5232.4479999999994</v>
      </c>
    </row>
    <row r="204" spans="2:11" x14ac:dyDescent="0.2">
      <c r="B204" t="s">
        <v>531</v>
      </c>
      <c r="C204" t="s">
        <v>100</v>
      </c>
      <c r="D204" s="21">
        <v>6800</v>
      </c>
      <c r="E204" s="21"/>
      <c r="F204" s="21"/>
      <c r="G204" s="21"/>
      <c r="H204" s="21"/>
      <c r="I204" s="21"/>
      <c r="J204" s="21"/>
      <c r="K204" s="21">
        <v>6800</v>
      </c>
    </row>
    <row r="205" spans="2:11" x14ac:dyDescent="0.2">
      <c r="B205" t="s">
        <v>532</v>
      </c>
      <c r="C205" t="s">
        <v>100</v>
      </c>
      <c r="D205" s="21">
        <v>2289.652</v>
      </c>
      <c r="E205" s="21"/>
      <c r="F205" s="21"/>
      <c r="G205" s="21"/>
      <c r="H205" s="21"/>
      <c r="I205" s="21"/>
      <c r="J205" s="21"/>
      <c r="K205" s="21">
        <v>2289.652</v>
      </c>
    </row>
    <row r="206" spans="2:11" x14ac:dyDescent="0.2">
      <c r="B206" t="s">
        <v>533</v>
      </c>
      <c r="C206" t="s">
        <v>100</v>
      </c>
      <c r="D206" s="21">
        <v>903.678</v>
      </c>
      <c r="E206" s="21"/>
      <c r="F206" s="21"/>
      <c r="G206" s="21"/>
      <c r="H206" s="21"/>
      <c r="I206" s="21"/>
      <c r="J206" s="21"/>
      <c r="K206" s="21">
        <v>903.678</v>
      </c>
    </row>
    <row r="207" spans="2:11" x14ac:dyDescent="0.2">
      <c r="B207" t="s">
        <v>534</v>
      </c>
      <c r="C207" t="s">
        <v>100</v>
      </c>
      <c r="D207" s="21">
        <v>45288.563000000002</v>
      </c>
      <c r="E207" s="21"/>
      <c r="F207" s="21"/>
      <c r="G207" s="21"/>
      <c r="H207" s="21"/>
      <c r="I207" s="21"/>
      <c r="J207" s="21"/>
      <c r="K207" s="21">
        <v>45288.563000000002</v>
      </c>
    </row>
    <row r="208" spans="2:11" x14ac:dyDescent="0.2">
      <c r="B208" t="s">
        <v>535</v>
      </c>
      <c r="C208" t="s">
        <v>100</v>
      </c>
      <c r="D208" s="21">
        <v>23183.197</v>
      </c>
      <c r="E208" s="21"/>
      <c r="F208" s="21"/>
      <c r="G208" s="21"/>
      <c r="H208" s="21"/>
      <c r="I208" s="21"/>
      <c r="J208" s="21"/>
      <c r="K208" s="21">
        <v>23183.197</v>
      </c>
    </row>
    <row r="209" spans="2:11" x14ac:dyDescent="0.2">
      <c r="B209" t="s">
        <v>536</v>
      </c>
      <c r="C209" t="s">
        <v>100</v>
      </c>
      <c r="D209" s="21">
        <v>2264.4830000000002</v>
      </c>
      <c r="E209" s="21"/>
      <c r="F209" s="21"/>
      <c r="G209" s="21"/>
      <c r="H209" s="21"/>
      <c r="I209" s="21"/>
      <c r="J209" s="21"/>
      <c r="K209" s="21">
        <v>2264.4830000000002</v>
      </c>
    </row>
    <row r="210" spans="2:11" x14ac:dyDescent="0.2">
      <c r="B210" t="s">
        <v>537</v>
      </c>
      <c r="C210" t="s">
        <v>100</v>
      </c>
      <c r="D210" s="21">
        <v>18126.378000000001</v>
      </c>
      <c r="E210" s="21"/>
      <c r="F210" s="21"/>
      <c r="G210" s="21"/>
      <c r="H210" s="21"/>
      <c r="I210" s="21"/>
      <c r="J210" s="21"/>
      <c r="K210" s="21">
        <v>18126.378000000001</v>
      </c>
    </row>
    <row r="211" spans="2:11" x14ac:dyDescent="0.2">
      <c r="B211" t="s">
        <v>538</v>
      </c>
      <c r="C211" t="s">
        <v>100</v>
      </c>
      <c r="D211" s="21">
        <v>40687.97</v>
      </c>
      <c r="E211" s="21"/>
      <c r="F211" s="21"/>
      <c r="G211" s="21"/>
      <c r="H211" s="21"/>
      <c r="I211" s="21"/>
      <c r="J211" s="21"/>
      <c r="K211" s="21">
        <v>40687.97</v>
      </c>
    </row>
    <row r="212" spans="2:11" x14ac:dyDescent="0.2">
      <c r="B212" t="s">
        <v>539</v>
      </c>
      <c r="C212" t="s">
        <v>100</v>
      </c>
      <c r="D212" s="21">
        <v>3231.9870000000001</v>
      </c>
      <c r="E212" s="21"/>
      <c r="F212" s="21"/>
      <c r="G212" s="21"/>
      <c r="H212" s="21"/>
      <c r="I212" s="21"/>
      <c r="J212" s="21"/>
      <c r="K212" s="21">
        <v>3231.9870000000001</v>
      </c>
    </row>
    <row r="213" spans="2:11" x14ac:dyDescent="0.2">
      <c r="B213" t="s">
        <v>540</v>
      </c>
      <c r="C213" t="s">
        <v>100</v>
      </c>
      <c r="D213" s="21">
        <v>2943.6749999999997</v>
      </c>
      <c r="E213" s="21"/>
      <c r="F213" s="21"/>
      <c r="G213" s="21"/>
      <c r="H213" s="21"/>
      <c r="I213" s="21"/>
      <c r="J213" s="21"/>
      <c r="K213" s="21">
        <v>2943.6749999999997</v>
      </c>
    </row>
    <row r="214" spans="2:11" x14ac:dyDescent="0.2">
      <c r="B214" t="s">
        <v>541</v>
      </c>
      <c r="C214" t="s">
        <v>100</v>
      </c>
      <c r="D214" s="21">
        <v>21219.077000000001</v>
      </c>
      <c r="E214" s="21"/>
      <c r="F214" s="21"/>
      <c r="G214" s="21"/>
      <c r="H214" s="21"/>
      <c r="I214" s="21"/>
      <c r="J214" s="21"/>
      <c r="K214" s="21">
        <v>21219.077000000001</v>
      </c>
    </row>
    <row r="215" spans="2:11" x14ac:dyDescent="0.2">
      <c r="B215" t="s">
        <v>542</v>
      </c>
      <c r="C215" t="s">
        <v>100</v>
      </c>
      <c r="D215" s="21">
        <v>1827.7829999999999</v>
      </c>
      <c r="E215" s="21"/>
      <c r="F215" s="21"/>
      <c r="G215" s="21"/>
      <c r="H215" s="21"/>
      <c r="I215" s="21"/>
      <c r="J215" s="21"/>
      <c r="K215" s="21">
        <v>1827.7829999999999</v>
      </c>
    </row>
    <row r="216" spans="2:11" x14ac:dyDescent="0.2">
      <c r="B216" t="s">
        <v>543</v>
      </c>
      <c r="C216" t="s">
        <v>100</v>
      </c>
      <c r="D216" s="21">
        <v>5872.3540000000003</v>
      </c>
      <c r="E216" s="21"/>
      <c r="F216" s="21"/>
      <c r="G216" s="21"/>
      <c r="H216" s="21"/>
      <c r="I216" s="21"/>
      <c r="J216" s="21"/>
      <c r="K216" s="21">
        <v>5872.3540000000003</v>
      </c>
    </row>
    <row r="217" spans="2:11" x14ac:dyDescent="0.2">
      <c r="B217" t="s">
        <v>544</v>
      </c>
      <c r="C217" t="s">
        <v>100</v>
      </c>
      <c r="D217" s="21">
        <v>6797.2070000000003</v>
      </c>
      <c r="E217" s="21"/>
      <c r="F217" s="21"/>
      <c r="G217" s="21"/>
      <c r="H217" s="21"/>
      <c r="I217" s="21"/>
      <c r="J217" s="21"/>
      <c r="K217" s="21">
        <v>6797.2070000000003</v>
      </c>
    </row>
    <row r="218" spans="2:11" x14ac:dyDescent="0.2">
      <c r="B218" t="s">
        <v>545</v>
      </c>
      <c r="C218" t="s">
        <v>100</v>
      </c>
      <c r="D218" s="21">
        <v>17213.298000000003</v>
      </c>
      <c r="E218" s="21"/>
      <c r="F218" s="21"/>
      <c r="G218" s="21"/>
      <c r="H218" s="21"/>
      <c r="I218" s="21"/>
      <c r="J218" s="21"/>
      <c r="K218" s="21">
        <v>17213.298000000003</v>
      </c>
    </row>
    <row r="219" spans="2:11" x14ac:dyDescent="0.2">
      <c r="B219" t="s">
        <v>546</v>
      </c>
      <c r="C219" t="s">
        <v>100</v>
      </c>
      <c r="D219" s="21">
        <v>5237.3109999999997</v>
      </c>
      <c r="E219" s="21"/>
      <c r="F219" s="21"/>
      <c r="G219" s="21"/>
      <c r="H219" s="21"/>
      <c r="I219" s="21"/>
      <c r="J219" s="21"/>
      <c r="K219" s="21">
        <v>5237.3109999999997</v>
      </c>
    </row>
    <row r="220" spans="2:11" x14ac:dyDescent="0.2">
      <c r="B220" t="s">
        <v>547</v>
      </c>
      <c r="C220" t="s">
        <v>100</v>
      </c>
      <c r="D220" s="21">
        <v>9797.0360000000001</v>
      </c>
      <c r="E220" s="21"/>
      <c r="F220" s="21"/>
      <c r="G220" s="21"/>
      <c r="H220" s="21"/>
      <c r="I220" s="21"/>
      <c r="J220" s="21"/>
      <c r="K220" s="21">
        <v>9797.0360000000001</v>
      </c>
    </row>
    <row r="221" spans="2:11" x14ac:dyDescent="0.2">
      <c r="B221" t="s">
        <v>548</v>
      </c>
      <c r="C221" t="s">
        <v>100</v>
      </c>
      <c r="D221" s="21">
        <v>27703.255000000001</v>
      </c>
      <c r="E221" s="21"/>
      <c r="F221" s="21"/>
      <c r="G221" s="21"/>
      <c r="H221" s="21"/>
      <c r="I221" s="21"/>
      <c r="J221" s="21"/>
      <c r="K221" s="21">
        <v>27703.255000000001</v>
      </c>
    </row>
    <row r="222" spans="2:11" x14ac:dyDescent="0.2">
      <c r="B222" t="s">
        <v>549</v>
      </c>
      <c r="C222" t="s">
        <v>100</v>
      </c>
      <c r="D222" s="21">
        <v>1497.4289999999999</v>
      </c>
      <c r="E222" s="21"/>
      <c r="F222" s="21"/>
      <c r="G222" s="21"/>
      <c r="H222" s="21"/>
      <c r="I222" s="21"/>
      <c r="J222" s="21"/>
      <c r="K222" s="21">
        <v>1497.4289999999999</v>
      </c>
    </row>
    <row r="223" spans="2:11" x14ac:dyDescent="0.2">
      <c r="B223" t="s">
        <v>550</v>
      </c>
      <c r="C223" t="s">
        <v>100</v>
      </c>
      <c r="D223" s="21">
        <v>1705.874</v>
      </c>
      <c r="E223" s="21"/>
      <c r="F223" s="21"/>
      <c r="G223" s="21"/>
      <c r="H223" s="21"/>
      <c r="I223" s="21"/>
      <c r="J223" s="21"/>
      <c r="K223" s="21">
        <v>1705.874</v>
      </c>
    </row>
    <row r="224" spans="2:11" x14ac:dyDescent="0.2">
      <c r="B224" t="s">
        <v>551</v>
      </c>
      <c r="C224" t="s">
        <v>100</v>
      </c>
      <c r="D224" s="21">
        <v>6345.5249999999996</v>
      </c>
      <c r="E224" s="21"/>
      <c r="F224" s="21"/>
      <c r="G224" s="21"/>
      <c r="H224" s="21"/>
      <c r="I224" s="21"/>
      <c r="J224" s="21"/>
      <c r="K224" s="21">
        <v>6345.5249999999996</v>
      </c>
    </row>
    <row r="225" spans="2:11" x14ac:dyDescent="0.2">
      <c r="B225" t="s">
        <v>552</v>
      </c>
      <c r="C225" t="s">
        <v>100</v>
      </c>
      <c r="D225" s="21">
        <v>10632.503000000001</v>
      </c>
      <c r="E225" s="21"/>
      <c r="F225" s="21"/>
      <c r="G225" s="21"/>
      <c r="H225" s="21"/>
      <c r="I225" s="21"/>
      <c r="J225" s="21"/>
      <c r="K225" s="21">
        <v>10632.503000000001</v>
      </c>
    </row>
    <row r="226" spans="2:11" x14ac:dyDescent="0.2">
      <c r="B226" t="s">
        <v>553</v>
      </c>
      <c r="C226" t="s">
        <v>100</v>
      </c>
      <c r="D226" s="21">
        <v>7375.2240000000002</v>
      </c>
      <c r="E226" s="21"/>
      <c r="F226" s="21"/>
      <c r="G226" s="21"/>
      <c r="H226" s="21"/>
      <c r="I226" s="21"/>
      <c r="J226" s="21"/>
      <c r="K226" s="21">
        <v>7375.2240000000002</v>
      </c>
    </row>
    <row r="227" spans="2:11" x14ac:dyDescent="0.2">
      <c r="B227" t="s">
        <v>554</v>
      </c>
      <c r="C227" t="s">
        <v>100</v>
      </c>
      <c r="D227" s="21">
        <v>15516.136999999995</v>
      </c>
      <c r="E227" s="21"/>
      <c r="F227" s="21"/>
      <c r="G227" s="21"/>
      <c r="H227" s="21"/>
      <c r="I227" s="21"/>
      <c r="J227" s="21"/>
      <c r="K227" s="21">
        <v>15516.136999999995</v>
      </c>
    </row>
    <row r="228" spans="2:11" x14ac:dyDescent="0.2">
      <c r="B228" t="s">
        <v>555</v>
      </c>
      <c r="C228" t="s">
        <v>100</v>
      </c>
      <c r="D228" s="21">
        <v>7708.9880000000003</v>
      </c>
      <c r="E228" s="21"/>
      <c r="F228" s="21"/>
      <c r="G228" s="21"/>
      <c r="H228" s="21"/>
      <c r="I228" s="21"/>
      <c r="J228" s="21"/>
      <c r="K228" s="21">
        <v>7708.9880000000003</v>
      </c>
    </row>
    <row r="229" spans="2:11" x14ac:dyDescent="0.2">
      <c r="B229" t="s">
        <v>556</v>
      </c>
      <c r="C229" t="s">
        <v>100</v>
      </c>
      <c r="D229" s="21">
        <v>4154.8040000000001</v>
      </c>
      <c r="E229" s="21"/>
      <c r="F229" s="21"/>
      <c r="G229" s="21"/>
      <c r="H229" s="21"/>
      <c r="I229" s="21"/>
      <c r="J229" s="21"/>
      <c r="K229" s="21">
        <v>4154.8040000000001</v>
      </c>
    </row>
    <row r="230" spans="2:11" x14ac:dyDescent="0.2">
      <c r="B230" t="s">
        <v>557</v>
      </c>
      <c r="C230" t="s">
        <v>100</v>
      </c>
      <c r="D230" s="21">
        <v>12537.144</v>
      </c>
      <c r="E230" s="21"/>
      <c r="F230" s="21"/>
      <c r="G230" s="21"/>
      <c r="H230" s="21"/>
      <c r="I230" s="21"/>
      <c r="J230" s="21"/>
      <c r="K230" s="21">
        <v>12537.144</v>
      </c>
    </row>
    <row r="231" spans="2:11" x14ac:dyDescent="0.2">
      <c r="B231" t="s">
        <v>558</v>
      </c>
      <c r="C231" t="s">
        <v>100</v>
      </c>
      <c r="D231" s="21">
        <v>626.01</v>
      </c>
      <c r="E231" s="21"/>
      <c r="F231" s="21"/>
      <c r="G231" s="21"/>
      <c r="H231" s="21"/>
      <c r="I231" s="21"/>
      <c r="J231" s="21"/>
      <c r="K231" s="21">
        <v>626.01</v>
      </c>
    </row>
    <row r="232" spans="2:11" x14ac:dyDescent="0.2">
      <c r="B232" t="s">
        <v>559</v>
      </c>
      <c r="C232" t="s">
        <v>100</v>
      </c>
      <c r="D232" s="21">
        <v>4330.9520000000002</v>
      </c>
      <c r="E232" s="21"/>
      <c r="F232" s="21"/>
      <c r="G232" s="21"/>
      <c r="H232" s="21"/>
      <c r="I232" s="21"/>
      <c r="J232" s="21"/>
      <c r="K232" s="21">
        <v>4330.9520000000002</v>
      </c>
    </row>
    <row r="233" spans="2:11" x14ac:dyDescent="0.2">
      <c r="B233" t="s">
        <v>560</v>
      </c>
      <c r="C233" t="s">
        <v>100</v>
      </c>
      <c r="D233" s="21">
        <v>6673.2049999999999</v>
      </c>
      <c r="E233" s="21"/>
      <c r="F233" s="21"/>
      <c r="G233" s="21"/>
      <c r="H233" s="21"/>
      <c r="I233" s="21"/>
      <c r="J233" s="21"/>
      <c r="K233" s="21">
        <v>6673.2049999999999</v>
      </c>
    </row>
    <row r="234" spans="2:11" x14ac:dyDescent="0.2">
      <c r="B234" t="s">
        <v>561</v>
      </c>
      <c r="C234" t="s">
        <v>100</v>
      </c>
      <c r="D234" s="21">
        <v>2819.9790000000003</v>
      </c>
      <c r="E234" s="21"/>
      <c r="F234" s="21"/>
      <c r="G234" s="21"/>
      <c r="H234" s="21"/>
      <c r="I234" s="21"/>
      <c r="J234" s="21"/>
      <c r="K234" s="21">
        <v>2819.9790000000003</v>
      </c>
    </row>
    <row r="235" spans="2:11" x14ac:dyDescent="0.2">
      <c r="B235" t="s">
        <v>562</v>
      </c>
      <c r="C235" t="s">
        <v>100</v>
      </c>
      <c r="D235" s="21">
        <v>3943.0870000000004</v>
      </c>
      <c r="E235" s="21"/>
      <c r="F235" s="21"/>
      <c r="G235" s="21"/>
      <c r="H235" s="21"/>
      <c r="I235" s="21"/>
      <c r="J235" s="21"/>
      <c r="K235" s="21">
        <v>3943.0870000000004</v>
      </c>
    </row>
    <row r="236" spans="2:11" x14ac:dyDescent="0.2">
      <c r="B236" t="s">
        <v>563</v>
      </c>
      <c r="C236" t="s">
        <v>100</v>
      </c>
      <c r="D236" s="21">
        <v>2566.817</v>
      </c>
      <c r="E236" s="21"/>
      <c r="F236" s="21"/>
      <c r="G236" s="21"/>
      <c r="H236" s="21"/>
      <c r="I236" s="21"/>
      <c r="J236" s="21"/>
      <c r="K236" s="21">
        <v>2566.817</v>
      </c>
    </row>
    <row r="237" spans="2:11" x14ac:dyDescent="0.2">
      <c r="B237" t="s">
        <v>564</v>
      </c>
      <c r="C237" t="s">
        <v>100</v>
      </c>
      <c r="D237" s="21">
        <v>1157.0160000000001</v>
      </c>
      <c r="E237" s="21"/>
      <c r="F237" s="21"/>
      <c r="G237" s="21"/>
      <c r="H237" s="21"/>
      <c r="I237" s="21"/>
      <c r="J237" s="21"/>
      <c r="K237" s="21">
        <v>1157.0160000000001</v>
      </c>
    </row>
    <row r="238" spans="2:11" x14ac:dyDescent="0.2">
      <c r="B238" t="s">
        <v>565</v>
      </c>
      <c r="C238" t="s">
        <v>100</v>
      </c>
      <c r="D238" s="21">
        <v>3891.5869999999995</v>
      </c>
      <c r="E238" s="21"/>
      <c r="F238" s="21"/>
      <c r="G238" s="21"/>
      <c r="H238" s="21"/>
      <c r="I238" s="21"/>
      <c r="J238" s="21"/>
      <c r="K238" s="21">
        <v>3891.5869999999995</v>
      </c>
    </row>
    <row r="239" spans="2:11" x14ac:dyDescent="0.2">
      <c r="B239" t="s">
        <v>566</v>
      </c>
      <c r="C239" t="s">
        <v>100</v>
      </c>
      <c r="D239" s="21">
        <v>4403.7109999999993</v>
      </c>
      <c r="E239" s="21"/>
      <c r="F239" s="21"/>
      <c r="G239" s="21"/>
      <c r="H239" s="21"/>
      <c r="I239" s="21"/>
      <c r="J239" s="21"/>
      <c r="K239" s="21">
        <v>4403.7109999999993</v>
      </c>
    </row>
    <row r="240" spans="2:11" x14ac:dyDescent="0.2">
      <c r="B240" t="s">
        <v>567</v>
      </c>
      <c r="C240" t="s">
        <v>100</v>
      </c>
      <c r="D240" s="21">
        <v>10471.380999999999</v>
      </c>
      <c r="E240" s="21"/>
      <c r="F240" s="21"/>
      <c r="G240" s="21"/>
      <c r="H240" s="21"/>
      <c r="I240" s="21"/>
      <c r="J240" s="21"/>
      <c r="K240" s="21">
        <v>10471.380999999999</v>
      </c>
    </row>
    <row r="241" spans="2:11" x14ac:dyDescent="0.2">
      <c r="B241" t="s">
        <v>568</v>
      </c>
      <c r="C241" t="s">
        <v>100</v>
      </c>
      <c r="D241" s="21">
        <v>4272.4120000000003</v>
      </c>
      <c r="E241" s="21"/>
      <c r="F241" s="21"/>
      <c r="G241" s="21"/>
      <c r="H241" s="21"/>
      <c r="I241" s="21"/>
      <c r="J241" s="21"/>
      <c r="K241" s="21">
        <v>4272.4120000000003</v>
      </c>
    </row>
    <row r="242" spans="2:11" x14ac:dyDescent="0.2">
      <c r="B242" t="s">
        <v>569</v>
      </c>
      <c r="C242" t="s">
        <v>100</v>
      </c>
      <c r="D242" s="21">
        <v>2514.547</v>
      </c>
      <c r="E242" s="21"/>
      <c r="F242" s="21"/>
      <c r="G242" s="21"/>
      <c r="H242" s="21"/>
      <c r="I242" s="21"/>
      <c r="J242" s="21"/>
      <c r="K242" s="21">
        <v>2514.547</v>
      </c>
    </row>
    <row r="243" spans="2:11" x14ac:dyDescent="0.2">
      <c r="B243" t="s">
        <v>570</v>
      </c>
      <c r="C243" t="s">
        <v>100</v>
      </c>
      <c r="D243" s="21">
        <v>33954.75</v>
      </c>
      <c r="E243" s="21"/>
      <c r="F243" s="21"/>
      <c r="G243" s="21"/>
      <c r="H243" s="21"/>
      <c r="I243" s="21"/>
      <c r="J243" s="21"/>
      <c r="K243" s="21">
        <v>33954.75</v>
      </c>
    </row>
    <row r="244" spans="2:11" x14ac:dyDescent="0.2">
      <c r="B244" t="s">
        <v>571</v>
      </c>
      <c r="C244" t="s">
        <v>100</v>
      </c>
      <c r="D244" s="21">
        <v>571.96699999999998</v>
      </c>
      <c r="E244" s="21"/>
      <c r="F244" s="21"/>
      <c r="G244" s="21"/>
      <c r="H244" s="21"/>
      <c r="I244" s="21"/>
      <c r="J244" s="21"/>
      <c r="K244" s="21">
        <v>571.96699999999998</v>
      </c>
    </row>
    <row r="245" spans="2:11" x14ac:dyDescent="0.2">
      <c r="B245" t="s">
        <v>572</v>
      </c>
      <c r="C245" t="s">
        <v>100</v>
      </c>
      <c r="D245" s="21">
        <v>6965.1759999999995</v>
      </c>
      <c r="E245" s="21"/>
      <c r="F245" s="21"/>
      <c r="G245" s="21"/>
      <c r="H245" s="21"/>
      <c r="I245" s="21"/>
      <c r="J245" s="21"/>
      <c r="K245" s="21">
        <v>6965.1759999999995</v>
      </c>
    </row>
    <row r="246" spans="2:11" x14ac:dyDescent="0.2">
      <c r="B246" t="s">
        <v>573</v>
      </c>
      <c r="C246" t="s">
        <v>100</v>
      </c>
      <c r="D246" s="21">
        <v>3338.3020000000001</v>
      </c>
      <c r="E246" s="21"/>
      <c r="F246" s="21"/>
      <c r="G246" s="21"/>
      <c r="H246" s="21"/>
      <c r="I246" s="21"/>
      <c r="J246" s="21"/>
      <c r="K246" s="21">
        <v>3338.3020000000001</v>
      </c>
    </row>
    <row r="247" spans="2:11" x14ac:dyDescent="0.2">
      <c r="B247" t="s">
        <v>574</v>
      </c>
      <c r="C247" t="s">
        <v>100</v>
      </c>
      <c r="D247" s="21">
        <v>9884.4079999999994</v>
      </c>
      <c r="E247" s="21"/>
      <c r="F247" s="21"/>
      <c r="G247" s="21"/>
      <c r="H247" s="21"/>
      <c r="I247" s="21"/>
      <c r="J247" s="21"/>
      <c r="K247" s="21">
        <v>9884.4079999999994</v>
      </c>
    </row>
    <row r="248" spans="2:11" x14ac:dyDescent="0.2">
      <c r="B248" t="s">
        <v>575</v>
      </c>
      <c r="C248" t="s">
        <v>100</v>
      </c>
      <c r="D248" s="21">
        <v>5928.8670000000002</v>
      </c>
      <c r="E248" s="21"/>
      <c r="F248" s="21"/>
      <c r="G248" s="21"/>
      <c r="H248" s="21"/>
      <c r="I248" s="21"/>
      <c r="J248" s="21"/>
      <c r="K248" s="21">
        <v>5928.8670000000002</v>
      </c>
    </row>
    <row r="249" spans="2:11" x14ac:dyDescent="0.2">
      <c r="B249" t="s">
        <v>576</v>
      </c>
      <c r="C249" t="s">
        <v>100</v>
      </c>
      <c r="D249" s="21">
        <v>17283.012999999999</v>
      </c>
      <c r="E249" s="21"/>
      <c r="F249" s="21"/>
      <c r="G249" s="21"/>
      <c r="H249" s="21"/>
      <c r="I249" s="21"/>
      <c r="J249" s="21"/>
      <c r="K249" s="21">
        <v>17283.012999999999</v>
      </c>
    </row>
    <row r="250" spans="2:11" x14ac:dyDescent="0.2">
      <c r="B250" t="s">
        <v>577</v>
      </c>
      <c r="C250" t="s">
        <v>100</v>
      </c>
      <c r="D250" s="21">
        <v>4704.8670000000002</v>
      </c>
      <c r="E250" s="21"/>
      <c r="F250" s="21"/>
      <c r="G250" s="21"/>
      <c r="H250" s="21"/>
      <c r="I250" s="21"/>
      <c r="J250" s="21"/>
      <c r="K250" s="21">
        <v>4704.8670000000002</v>
      </c>
    </row>
    <row r="251" spans="2:11" x14ac:dyDescent="0.2">
      <c r="B251" t="s">
        <v>578</v>
      </c>
      <c r="C251" t="s">
        <v>100</v>
      </c>
      <c r="D251" s="21">
        <v>4330.5889999999999</v>
      </c>
      <c r="E251" s="21"/>
      <c r="F251" s="21"/>
      <c r="G251" s="21"/>
      <c r="H251" s="21"/>
      <c r="I251" s="21"/>
      <c r="J251" s="21"/>
      <c r="K251" s="21">
        <v>4330.5889999999999</v>
      </c>
    </row>
    <row r="252" spans="2:11" x14ac:dyDescent="0.2">
      <c r="B252" t="s">
        <v>579</v>
      </c>
      <c r="C252" t="s">
        <v>100</v>
      </c>
      <c r="D252" s="21">
        <v>18465.493999999999</v>
      </c>
      <c r="E252" s="21"/>
      <c r="F252" s="21"/>
      <c r="G252" s="21"/>
      <c r="H252" s="21"/>
      <c r="I252" s="21"/>
      <c r="J252" s="21"/>
      <c r="K252" s="21">
        <v>18465.493999999999</v>
      </c>
    </row>
    <row r="253" spans="2:11" x14ac:dyDescent="0.2">
      <c r="B253" t="s">
        <v>580</v>
      </c>
      <c r="C253" t="s">
        <v>100</v>
      </c>
      <c r="D253" s="21">
        <v>5591.5190000000002</v>
      </c>
      <c r="E253" s="21"/>
      <c r="F253" s="21"/>
      <c r="G253" s="21"/>
      <c r="H253" s="21"/>
      <c r="I253" s="21"/>
      <c r="J253" s="21"/>
      <c r="K253" s="21">
        <v>5591.5190000000002</v>
      </c>
    </row>
    <row r="254" spans="2:11" x14ac:dyDescent="0.2">
      <c r="B254" t="s">
        <v>581</v>
      </c>
      <c r="C254" t="s">
        <v>100</v>
      </c>
      <c r="D254" s="21">
        <v>5147.165</v>
      </c>
      <c r="E254" s="21"/>
      <c r="F254" s="21"/>
      <c r="G254" s="21"/>
      <c r="H254" s="21"/>
      <c r="I254" s="21"/>
      <c r="J254" s="21"/>
      <c r="K254" s="21">
        <v>5147.165</v>
      </c>
    </row>
    <row r="255" spans="2:11" x14ac:dyDescent="0.2">
      <c r="B255" t="s">
        <v>582</v>
      </c>
      <c r="C255" t="s">
        <v>100</v>
      </c>
      <c r="D255" s="21">
        <v>622.58799999999997</v>
      </c>
      <c r="E255" s="21"/>
      <c r="F255" s="21"/>
      <c r="G255" s="21"/>
      <c r="H255" s="21"/>
      <c r="I255" s="21"/>
      <c r="J255" s="21"/>
      <c r="K255" s="21">
        <v>622.58799999999997</v>
      </c>
    </row>
    <row r="256" spans="2:11" x14ac:dyDescent="0.2">
      <c r="B256" t="s">
        <v>583</v>
      </c>
      <c r="C256" t="s">
        <v>100</v>
      </c>
      <c r="D256" s="21">
        <v>2615.3829999999998</v>
      </c>
      <c r="E256" s="21"/>
      <c r="F256" s="21"/>
      <c r="G256" s="21"/>
      <c r="H256" s="21"/>
      <c r="I256" s="21"/>
      <c r="J256" s="21"/>
      <c r="K256" s="21">
        <v>2615.3829999999998</v>
      </c>
    </row>
    <row r="257" spans="2:11" x14ac:dyDescent="0.2">
      <c r="B257" t="s">
        <v>584</v>
      </c>
      <c r="C257" t="s">
        <v>100</v>
      </c>
      <c r="D257" s="21">
        <v>674.61800000000005</v>
      </c>
      <c r="E257" s="21"/>
      <c r="F257" s="21"/>
      <c r="G257" s="21"/>
      <c r="H257" s="21"/>
      <c r="I257" s="21"/>
      <c r="J257" s="21"/>
      <c r="K257" s="21">
        <v>674.61800000000005</v>
      </c>
    </row>
    <row r="258" spans="2:11" x14ac:dyDescent="0.2">
      <c r="B258" t="s">
        <v>585</v>
      </c>
      <c r="C258" t="s">
        <v>100</v>
      </c>
      <c r="D258" s="21">
        <v>800.30700000000002</v>
      </c>
      <c r="E258" s="21"/>
      <c r="F258" s="21"/>
      <c r="G258" s="21"/>
      <c r="H258" s="21"/>
      <c r="I258" s="21"/>
      <c r="J258" s="21"/>
      <c r="K258" s="21">
        <v>800.30700000000002</v>
      </c>
    </row>
    <row r="259" spans="2:11" x14ac:dyDescent="0.2">
      <c r="B259" t="s">
        <v>586</v>
      </c>
      <c r="C259" t="s">
        <v>100</v>
      </c>
      <c r="D259" s="21">
        <v>5647.5519999999997</v>
      </c>
      <c r="E259" s="21"/>
      <c r="F259" s="21"/>
      <c r="G259" s="21"/>
      <c r="H259" s="21"/>
      <c r="I259" s="21"/>
      <c r="J259" s="21"/>
      <c r="K259" s="21">
        <v>5647.5519999999997</v>
      </c>
    </row>
    <row r="260" spans="2:11" x14ac:dyDescent="0.2">
      <c r="B260" t="s">
        <v>587</v>
      </c>
      <c r="C260" t="s">
        <v>100</v>
      </c>
      <c r="D260" s="21">
        <v>4317.5959999999995</v>
      </c>
      <c r="E260" s="21"/>
      <c r="F260" s="21"/>
      <c r="G260" s="21"/>
      <c r="H260" s="21"/>
      <c r="I260" s="21"/>
      <c r="J260" s="21"/>
      <c r="K260" s="21">
        <v>4317.5959999999995</v>
      </c>
    </row>
    <row r="261" spans="2:11" x14ac:dyDescent="0.2">
      <c r="B261" t="s">
        <v>588</v>
      </c>
      <c r="C261" t="s">
        <v>100</v>
      </c>
      <c r="D261" s="21">
        <v>6597.4989999999998</v>
      </c>
      <c r="E261" s="21"/>
      <c r="F261" s="21"/>
      <c r="G261" s="21"/>
      <c r="H261" s="21"/>
      <c r="I261" s="21"/>
      <c r="J261" s="21"/>
      <c r="K261" s="21">
        <v>6597.4989999999998</v>
      </c>
    </row>
    <row r="262" spans="2:11" x14ac:dyDescent="0.2">
      <c r="B262" t="s">
        <v>589</v>
      </c>
      <c r="C262" t="s">
        <v>100</v>
      </c>
      <c r="D262" s="21">
        <v>8505.7819999999992</v>
      </c>
      <c r="E262" s="21"/>
      <c r="F262" s="21"/>
      <c r="G262" s="21"/>
      <c r="H262" s="21"/>
      <c r="I262" s="21"/>
      <c r="J262" s="21"/>
      <c r="K262" s="21">
        <v>8505.7819999999992</v>
      </c>
    </row>
    <row r="263" spans="2:11" x14ac:dyDescent="0.2">
      <c r="B263" t="s">
        <v>590</v>
      </c>
      <c r="C263" t="s">
        <v>100</v>
      </c>
      <c r="D263" s="21">
        <v>21207.482</v>
      </c>
      <c r="E263" s="21"/>
      <c r="F263" s="21"/>
      <c r="G263" s="21"/>
      <c r="H263" s="21"/>
      <c r="I263" s="21"/>
      <c r="J263" s="21"/>
      <c r="K263" s="21">
        <v>21207.482</v>
      </c>
    </row>
    <row r="264" spans="2:11" x14ac:dyDescent="0.2">
      <c r="B264" t="s">
        <v>591</v>
      </c>
      <c r="C264" t="s">
        <v>100</v>
      </c>
      <c r="D264" s="21">
        <v>1143.4569999999999</v>
      </c>
      <c r="E264" s="21"/>
      <c r="F264" s="21"/>
      <c r="G264" s="21"/>
      <c r="H264" s="21"/>
      <c r="I264" s="21"/>
      <c r="J264" s="21"/>
      <c r="K264" s="21">
        <v>1143.4569999999999</v>
      </c>
    </row>
    <row r="265" spans="2:11" x14ac:dyDescent="0.2">
      <c r="B265" t="s">
        <v>592</v>
      </c>
      <c r="C265" t="s">
        <v>100</v>
      </c>
      <c r="D265" s="21">
        <v>2236.5070000000001</v>
      </c>
      <c r="E265" s="21"/>
      <c r="F265" s="21"/>
      <c r="G265" s="21"/>
      <c r="H265" s="21"/>
      <c r="I265" s="21"/>
      <c r="J265" s="21"/>
      <c r="K265" s="21">
        <v>2236.5070000000001</v>
      </c>
    </row>
    <row r="266" spans="2:11" x14ac:dyDescent="0.2">
      <c r="B266" t="s">
        <v>593</v>
      </c>
      <c r="C266" t="s">
        <v>100</v>
      </c>
      <c r="D266" s="21">
        <v>543.71600000000001</v>
      </c>
      <c r="E266" s="21"/>
      <c r="F266" s="21"/>
      <c r="G266" s="21"/>
      <c r="H266" s="21"/>
      <c r="I266" s="21"/>
      <c r="J266" s="21"/>
      <c r="K266" s="21">
        <v>543.71600000000001</v>
      </c>
    </row>
    <row r="267" spans="2:11" x14ac:dyDescent="0.2">
      <c r="B267" t="s">
        <v>594</v>
      </c>
      <c r="C267" t="s">
        <v>100</v>
      </c>
      <c r="D267" s="21">
        <v>9942.6719999999987</v>
      </c>
      <c r="E267" s="21"/>
      <c r="F267" s="21"/>
      <c r="G267" s="21"/>
      <c r="H267" s="21"/>
      <c r="I267" s="21"/>
      <c r="J267" s="21"/>
      <c r="K267" s="21">
        <v>9942.6719999999987</v>
      </c>
    </row>
    <row r="268" spans="2:11" x14ac:dyDescent="0.2">
      <c r="B268" t="s">
        <v>595</v>
      </c>
      <c r="C268" t="s">
        <v>100</v>
      </c>
      <c r="D268" s="21">
        <v>16103.240999999998</v>
      </c>
      <c r="E268" s="21"/>
      <c r="F268" s="21"/>
      <c r="G268" s="21"/>
      <c r="H268" s="21"/>
      <c r="I268" s="21"/>
      <c r="J268" s="21"/>
      <c r="K268" s="21">
        <v>16103.240999999998</v>
      </c>
    </row>
    <row r="269" spans="2:11" x14ac:dyDescent="0.2">
      <c r="B269" t="s">
        <v>596</v>
      </c>
      <c r="C269" t="s">
        <v>100</v>
      </c>
      <c r="D269" s="21">
        <v>2162.5169999999998</v>
      </c>
      <c r="E269" s="21"/>
      <c r="F269" s="21"/>
      <c r="G269" s="21"/>
      <c r="H269" s="21"/>
      <c r="I269" s="21"/>
      <c r="J269" s="21"/>
      <c r="K269" s="21">
        <v>2162.5169999999998</v>
      </c>
    </row>
    <row r="270" spans="2:11" x14ac:dyDescent="0.2">
      <c r="B270" t="s">
        <v>597</v>
      </c>
      <c r="C270" t="s">
        <v>100</v>
      </c>
      <c r="D270" s="21">
        <v>3568.3519999999999</v>
      </c>
      <c r="E270" s="21"/>
      <c r="F270" s="21"/>
      <c r="G270" s="21"/>
      <c r="H270" s="21"/>
      <c r="I270" s="21"/>
      <c r="J270" s="21"/>
      <c r="K270" s="21">
        <v>3568.3519999999999</v>
      </c>
    </row>
    <row r="271" spans="2:11" x14ac:dyDescent="0.2">
      <c r="B271" t="s">
        <v>598</v>
      </c>
      <c r="C271" t="s">
        <v>100</v>
      </c>
      <c r="D271" s="21">
        <v>1043.615</v>
      </c>
      <c r="E271" s="21"/>
      <c r="F271" s="21"/>
      <c r="G271" s="21"/>
      <c r="H271" s="21"/>
      <c r="I271" s="21"/>
      <c r="J271" s="21"/>
      <c r="K271" s="21">
        <v>1043.615</v>
      </c>
    </row>
    <row r="272" spans="2:11" x14ac:dyDescent="0.2">
      <c r="B272" t="s">
        <v>599</v>
      </c>
      <c r="C272" t="s">
        <v>100</v>
      </c>
      <c r="D272" s="21">
        <v>7797.4880000000003</v>
      </c>
      <c r="E272" s="21"/>
      <c r="F272" s="21"/>
      <c r="G272" s="21"/>
      <c r="H272" s="21"/>
      <c r="I272" s="21"/>
      <c r="J272" s="21"/>
      <c r="K272" s="21">
        <v>7797.4880000000003</v>
      </c>
    </row>
    <row r="273" spans="2:11" x14ac:dyDescent="0.2">
      <c r="B273" t="s">
        <v>600</v>
      </c>
      <c r="C273" t="s">
        <v>100</v>
      </c>
      <c r="D273" s="21">
        <v>1832.94</v>
      </c>
      <c r="E273" s="21"/>
      <c r="F273" s="21"/>
      <c r="G273" s="21"/>
      <c r="H273" s="21"/>
      <c r="I273" s="21"/>
      <c r="J273" s="21"/>
      <c r="K273" s="21">
        <v>1832.94</v>
      </c>
    </row>
    <row r="274" spans="2:11" x14ac:dyDescent="0.2">
      <c r="B274" t="s">
        <v>601</v>
      </c>
      <c r="C274" t="s">
        <v>100</v>
      </c>
      <c r="D274" s="21">
        <v>8033.9120000000003</v>
      </c>
      <c r="E274" s="21"/>
      <c r="F274" s="21"/>
      <c r="G274" s="21"/>
      <c r="H274" s="21"/>
      <c r="I274" s="21"/>
      <c r="J274" s="21"/>
      <c r="K274" s="21">
        <v>8033.9120000000003</v>
      </c>
    </row>
    <row r="275" spans="2:11" x14ac:dyDescent="0.2">
      <c r="B275" t="s">
        <v>602</v>
      </c>
      <c r="C275" t="s">
        <v>100</v>
      </c>
      <c r="D275" s="21">
        <v>650</v>
      </c>
      <c r="E275" s="21"/>
      <c r="F275" s="21"/>
      <c r="G275" s="21"/>
      <c r="H275" s="21"/>
      <c r="I275" s="21"/>
      <c r="J275" s="21"/>
      <c r="K275" s="21">
        <v>650</v>
      </c>
    </row>
    <row r="276" spans="2:11" x14ac:dyDescent="0.2">
      <c r="B276" t="s">
        <v>603</v>
      </c>
      <c r="C276" t="s">
        <v>100</v>
      </c>
      <c r="D276" s="21">
        <v>9807.93</v>
      </c>
      <c r="E276" s="21"/>
      <c r="F276" s="21"/>
      <c r="G276" s="21"/>
      <c r="H276" s="21"/>
      <c r="I276" s="21"/>
      <c r="J276" s="21"/>
      <c r="K276" s="21">
        <v>9807.93</v>
      </c>
    </row>
    <row r="277" spans="2:11" x14ac:dyDescent="0.2">
      <c r="B277" t="s">
        <v>604</v>
      </c>
      <c r="C277" t="s">
        <v>100</v>
      </c>
      <c r="D277" s="21">
        <v>21336.163</v>
      </c>
      <c r="E277" s="21"/>
      <c r="F277" s="21"/>
      <c r="G277" s="21"/>
      <c r="H277" s="21"/>
      <c r="I277" s="21"/>
      <c r="J277" s="21"/>
      <c r="K277" s="21">
        <v>21336.163</v>
      </c>
    </row>
    <row r="278" spans="2:11" x14ac:dyDescent="0.2">
      <c r="B278" t="s">
        <v>605</v>
      </c>
      <c r="C278" t="s">
        <v>100</v>
      </c>
      <c r="D278" s="21">
        <v>19032.992000000002</v>
      </c>
      <c r="E278" s="21"/>
      <c r="F278" s="21"/>
      <c r="G278" s="21"/>
      <c r="H278" s="21"/>
      <c r="I278" s="21"/>
      <c r="J278" s="21"/>
      <c r="K278" s="21">
        <v>19032.992000000002</v>
      </c>
    </row>
    <row r="279" spans="2:11" x14ac:dyDescent="0.2">
      <c r="B279" t="s">
        <v>606</v>
      </c>
      <c r="C279" t="s">
        <v>100</v>
      </c>
      <c r="D279" s="21">
        <v>8491.0570000000007</v>
      </c>
      <c r="E279" s="21"/>
      <c r="F279" s="21"/>
      <c r="G279" s="21"/>
      <c r="H279" s="21"/>
      <c r="I279" s="21"/>
      <c r="J279" s="21"/>
      <c r="K279" s="21">
        <v>8491.0570000000007</v>
      </c>
    </row>
    <row r="280" spans="2:11" x14ac:dyDescent="0.2">
      <c r="B280" t="s">
        <v>607</v>
      </c>
      <c r="C280" t="s">
        <v>100</v>
      </c>
      <c r="D280" s="21">
        <v>375.30099999999999</v>
      </c>
      <c r="E280" s="21"/>
      <c r="F280" s="21"/>
      <c r="G280" s="21"/>
      <c r="H280" s="21"/>
      <c r="I280" s="21"/>
      <c r="J280" s="21"/>
      <c r="K280" s="21">
        <v>375.30099999999999</v>
      </c>
    </row>
    <row r="281" spans="2:11" x14ac:dyDescent="0.2">
      <c r="B281" t="s">
        <v>608</v>
      </c>
      <c r="C281" t="s">
        <v>100</v>
      </c>
      <c r="D281" s="21">
        <v>4546.3609999999999</v>
      </c>
      <c r="E281" s="21"/>
      <c r="F281" s="21"/>
      <c r="G281" s="21"/>
      <c r="H281" s="21"/>
      <c r="I281" s="21"/>
      <c r="J281" s="21"/>
      <c r="K281" s="21">
        <v>4546.3609999999999</v>
      </c>
    </row>
    <row r="282" spans="2:11" x14ac:dyDescent="0.2">
      <c r="B282" t="s">
        <v>609</v>
      </c>
      <c r="C282" t="s">
        <v>100</v>
      </c>
      <c r="D282" s="21">
        <v>5830.9629999999997</v>
      </c>
      <c r="E282" s="21"/>
      <c r="F282" s="21"/>
      <c r="G282" s="21"/>
      <c r="H282" s="21"/>
      <c r="I282" s="21"/>
      <c r="J282" s="21"/>
      <c r="K282" s="21">
        <v>5830.9629999999997</v>
      </c>
    </row>
    <row r="283" spans="2:11" x14ac:dyDescent="0.2">
      <c r="B283" t="s">
        <v>610</v>
      </c>
      <c r="C283" t="s">
        <v>100</v>
      </c>
      <c r="D283" s="21">
        <v>2149.7660000000001</v>
      </c>
      <c r="E283" s="21"/>
      <c r="F283" s="21"/>
      <c r="G283" s="21"/>
      <c r="H283" s="21"/>
      <c r="I283" s="21"/>
      <c r="J283" s="21"/>
      <c r="K283" s="21">
        <v>2149.7660000000001</v>
      </c>
    </row>
    <row r="284" spans="2:11" x14ac:dyDescent="0.2">
      <c r="B284" t="s">
        <v>611</v>
      </c>
      <c r="C284" t="s">
        <v>100</v>
      </c>
      <c r="D284" s="21">
        <v>9199.3690000000006</v>
      </c>
      <c r="E284" s="21"/>
      <c r="F284" s="21"/>
      <c r="G284" s="21"/>
      <c r="H284" s="21"/>
      <c r="I284" s="21"/>
      <c r="J284" s="21"/>
      <c r="K284" s="21">
        <v>9199.3690000000006</v>
      </c>
    </row>
    <row r="285" spans="2:11" x14ac:dyDescent="0.2">
      <c r="B285" t="s">
        <v>612</v>
      </c>
      <c r="C285" t="s">
        <v>100</v>
      </c>
      <c r="D285" s="21">
        <v>1344.123</v>
      </c>
      <c r="E285" s="21"/>
      <c r="F285" s="21"/>
      <c r="G285" s="21"/>
      <c r="H285" s="21"/>
      <c r="I285" s="21"/>
      <c r="J285" s="21"/>
      <c r="K285" s="21">
        <v>1344.123</v>
      </c>
    </row>
    <row r="286" spans="2:11" x14ac:dyDescent="0.2">
      <c r="B286" t="s">
        <v>613</v>
      </c>
      <c r="C286" t="s">
        <v>100</v>
      </c>
      <c r="D286" s="21">
        <v>207.00700000000001</v>
      </c>
      <c r="E286" s="21"/>
      <c r="F286" s="21"/>
      <c r="G286" s="21"/>
      <c r="H286" s="21"/>
      <c r="I286" s="21"/>
      <c r="J286" s="21"/>
      <c r="K286" s="21">
        <v>207.00700000000001</v>
      </c>
    </row>
    <row r="287" spans="2:11" x14ac:dyDescent="0.2">
      <c r="B287" t="s">
        <v>614</v>
      </c>
      <c r="C287" t="s">
        <v>100</v>
      </c>
      <c r="D287" s="21">
        <v>550</v>
      </c>
      <c r="E287" s="21"/>
      <c r="F287" s="21"/>
      <c r="G287" s="21"/>
      <c r="H287" s="21"/>
      <c r="I287" s="21"/>
      <c r="J287" s="21"/>
      <c r="K287" s="21">
        <v>550</v>
      </c>
    </row>
    <row r="288" spans="2:11" x14ac:dyDescent="0.2">
      <c r="B288" t="s">
        <v>615</v>
      </c>
      <c r="C288" t="s">
        <v>100</v>
      </c>
      <c r="D288" s="21">
        <v>4296.72</v>
      </c>
      <c r="E288" s="21"/>
      <c r="F288" s="21"/>
      <c r="G288" s="21"/>
      <c r="H288" s="21"/>
      <c r="I288" s="21"/>
      <c r="J288" s="21"/>
      <c r="K288" s="21">
        <v>4296.72</v>
      </c>
    </row>
    <row r="289" spans="2:11" x14ac:dyDescent="0.2">
      <c r="B289" t="s">
        <v>616</v>
      </c>
      <c r="C289" t="s">
        <v>100</v>
      </c>
      <c r="D289" s="21">
        <v>1000</v>
      </c>
      <c r="E289" s="21"/>
      <c r="F289" s="21"/>
      <c r="G289" s="21"/>
      <c r="H289" s="21"/>
      <c r="I289" s="21"/>
      <c r="J289" s="21"/>
      <c r="K289" s="21">
        <v>1000</v>
      </c>
    </row>
    <row r="290" spans="2:11" x14ac:dyDescent="0.2">
      <c r="B290" t="s">
        <v>617</v>
      </c>
      <c r="C290" t="s">
        <v>100</v>
      </c>
      <c r="D290" s="21">
        <v>4000</v>
      </c>
      <c r="E290" s="21"/>
      <c r="F290" s="21"/>
      <c r="G290" s="21"/>
      <c r="H290" s="21"/>
      <c r="I290" s="21"/>
      <c r="J290" s="21"/>
      <c r="K290" s="21">
        <v>4000</v>
      </c>
    </row>
    <row r="291" spans="2:11" x14ac:dyDescent="0.2">
      <c r="B291" t="s">
        <v>618</v>
      </c>
      <c r="C291" t="s">
        <v>100</v>
      </c>
      <c r="D291" s="21">
        <v>4175.4459999999999</v>
      </c>
      <c r="E291" s="21"/>
      <c r="F291" s="21"/>
      <c r="G291" s="21"/>
      <c r="H291" s="21"/>
      <c r="I291" s="21"/>
      <c r="J291" s="21"/>
      <c r="K291" s="21">
        <v>4175.4459999999999</v>
      </c>
    </row>
    <row r="292" spans="2:11" x14ac:dyDescent="0.2">
      <c r="B292" t="s">
        <v>619</v>
      </c>
      <c r="C292" t="s">
        <v>100</v>
      </c>
      <c r="D292" s="21">
        <v>6766.8079999999991</v>
      </c>
      <c r="E292" s="21"/>
      <c r="F292" s="21"/>
      <c r="G292" s="21"/>
      <c r="H292" s="21"/>
      <c r="I292" s="21"/>
      <c r="J292" s="21"/>
      <c r="K292" s="21">
        <v>6766.8079999999991</v>
      </c>
    </row>
    <row r="293" spans="2:11" x14ac:dyDescent="0.2">
      <c r="B293" t="s">
        <v>620</v>
      </c>
      <c r="C293" t="s">
        <v>100</v>
      </c>
      <c r="D293" s="21">
        <v>2256.076</v>
      </c>
      <c r="E293" s="21"/>
      <c r="F293" s="21"/>
      <c r="G293" s="21"/>
      <c r="H293" s="21"/>
      <c r="I293" s="21"/>
      <c r="J293" s="21"/>
      <c r="K293" s="21">
        <v>2256.076</v>
      </c>
    </row>
    <row r="294" spans="2:11" x14ac:dyDescent="0.2">
      <c r="B294" t="s">
        <v>621</v>
      </c>
      <c r="C294" t="s">
        <v>100</v>
      </c>
      <c r="D294" s="21">
        <v>2173.076</v>
      </c>
      <c r="E294" s="21"/>
      <c r="F294" s="21"/>
      <c r="G294" s="21"/>
      <c r="H294" s="21"/>
      <c r="I294" s="21"/>
      <c r="J294" s="21"/>
      <c r="K294" s="21">
        <v>2173.076</v>
      </c>
    </row>
    <row r="295" spans="2:11" x14ac:dyDescent="0.2">
      <c r="B295" t="s">
        <v>622</v>
      </c>
      <c r="C295" t="s">
        <v>100</v>
      </c>
      <c r="D295" s="21">
        <v>7124.6630000000005</v>
      </c>
      <c r="E295" s="21"/>
      <c r="F295" s="21"/>
      <c r="G295" s="21"/>
      <c r="H295" s="21"/>
      <c r="I295" s="21"/>
      <c r="J295" s="21"/>
      <c r="K295" s="21">
        <v>7124.6630000000005</v>
      </c>
    </row>
    <row r="296" spans="2:11" x14ac:dyDescent="0.2">
      <c r="B296" t="s">
        <v>623</v>
      </c>
      <c r="C296" t="s">
        <v>100</v>
      </c>
      <c r="D296" s="21">
        <v>1274.2380000000001</v>
      </c>
      <c r="E296" s="21"/>
      <c r="F296" s="21"/>
      <c r="G296" s="21"/>
      <c r="H296" s="21"/>
      <c r="I296" s="21"/>
      <c r="J296" s="21"/>
      <c r="K296" s="21">
        <v>1274.2380000000001</v>
      </c>
    </row>
    <row r="297" spans="2:11" x14ac:dyDescent="0.2">
      <c r="B297" t="s">
        <v>624</v>
      </c>
      <c r="C297" t="s">
        <v>100</v>
      </c>
      <c r="D297" s="21">
        <v>981.61699999999996</v>
      </c>
      <c r="E297" s="21"/>
      <c r="F297" s="21"/>
      <c r="G297" s="21"/>
      <c r="H297" s="21"/>
      <c r="I297" s="21"/>
      <c r="J297" s="21"/>
      <c r="K297" s="21">
        <v>981.61699999999996</v>
      </c>
    </row>
    <row r="298" spans="2:11" x14ac:dyDescent="0.2">
      <c r="B298" t="s">
        <v>625</v>
      </c>
      <c r="C298" t="s">
        <v>100</v>
      </c>
      <c r="D298" s="21">
        <v>5338.0889999999999</v>
      </c>
      <c r="E298" s="21"/>
      <c r="F298" s="21"/>
      <c r="G298" s="21"/>
      <c r="H298" s="21"/>
      <c r="I298" s="21"/>
      <c r="J298" s="21"/>
      <c r="K298" s="21">
        <v>5338.0889999999999</v>
      </c>
    </row>
    <row r="299" spans="2:11" x14ac:dyDescent="0.2">
      <c r="B299" t="s">
        <v>626</v>
      </c>
      <c r="C299" t="s">
        <v>100</v>
      </c>
      <c r="D299" s="21">
        <v>9664.0869999999995</v>
      </c>
      <c r="E299" s="21"/>
      <c r="F299" s="21"/>
      <c r="G299" s="21"/>
      <c r="H299" s="21"/>
      <c r="I299" s="21"/>
      <c r="J299" s="21"/>
      <c r="K299" s="21">
        <v>9664.0869999999995</v>
      </c>
    </row>
    <row r="300" spans="2:11" x14ac:dyDescent="0.2">
      <c r="B300" t="s">
        <v>627</v>
      </c>
      <c r="C300" t="s">
        <v>100</v>
      </c>
      <c r="D300" s="21">
        <v>939.39300000000003</v>
      </c>
      <c r="E300" s="21"/>
      <c r="F300" s="21"/>
      <c r="G300" s="21"/>
      <c r="H300" s="21"/>
      <c r="I300" s="21"/>
      <c r="J300" s="21"/>
      <c r="K300" s="21">
        <v>939.39300000000003</v>
      </c>
    </row>
    <row r="301" spans="2:11" x14ac:dyDescent="0.2">
      <c r="B301" t="s">
        <v>628</v>
      </c>
      <c r="C301" t="s">
        <v>100</v>
      </c>
      <c r="D301" s="21">
        <v>8395.2820000000011</v>
      </c>
      <c r="E301" s="21"/>
      <c r="F301" s="21"/>
      <c r="G301" s="21"/>
      <c r="H301" s="21"/>
      <c r="I301" s="21"/>
      <c r="J301" s="21"/>
      <c r="K301" s="21">
        <v>8395.2820000000011</v>
      </c>
    </row>
    <row r="302" spans="2:11" x14ac:dyDescent="0.2">
      <c r="B302" t="s">
        <v>629</v>
      </c>
      <c r="C302" t="s">
        <v>100</v>
      </c>
      <c r="D302" s="21">
        <v>4353.3890000000001</v>
      </c>
      <c r="E302" s="21"/>
      <c r="F302" s="21"/>
      <c r="G302" s="21"/>
      <c r="H302" s="21"/>
      <c r="I302" s="21"/>
      <c r="J302" s="21"/>
      <c r="K302" s="21">
        <v>4353.3890000000001</v>
      </c>
    </row>
    <row r="303" spans="2:11" x14ac:dyDescent="0.2">
      <c r="B303" t="s">
        <v>630</v>
      </c>
      <c r="C303" t="s">
        <v>100</v>
      </c>
      <c r="D303" s="21">
        <v>11889.641</v>
      </c>
      <c r="E303" s="21"/>
      <c r="F303" s="21"/>
      <c r="G303" s="21"/>
      <c r="H303" s="21"/>
      <c r="I303" s="21"/>
      <c r="J303" s="21"/>
      <c r="K303" s="21">
        <v>11889.641</v>
      </c>
    </row>
    <row r="304" spans="2:11" x14ac:dyDescent="0.2">
      <c r="B304" t="s">
        <v>631</v>
      </c>
      <c r="C304" t="s">
        <v>100</v>
      </c>
      <c r="D304" s="21">
        <v>18709.044999999998</v>
      </c>
      <c r="E304" s="21"/>
      <c r="F304" s="21"/>
      <c r="G304" s="21"/>
      <c r="H304" s="21"/>
      <c r="I304" s="21"/>
      <c r="J304" s="21"/>
      <c r="K304" s="21">
        <v>18709.044999999998</v>
      </c>
    </row>
    <row r="305" spans="2:11" x14ac:dyDescent="0.2">
      <c r="B305" t="s">
        <v>632</v>
      </c>
      <c r="C305" t="s">
        <v>100</v>
      </c>
      <c r="D305" s="21">
        <v>959.28300000000002</v>
      </c>
      <c r="E305" s="21"/>
      <c r="F305" s="21"/>
      <c r="G305" s="21"/>
      <c r="H305" s="21"/>
      <c r="I305" s="21"/>
      <c r="J305" s="21"/>
      <c r="K305" s="21">
        <v>959.28300000000002</v>
      </c>
    </row>
    <row r="306" spans="2:11" x14ac:dyDescent="0.2">
      <c r="B306" t="s">
        <v>633</v>
      </c>
      <c r="C306" t="s">
        <v>100</v>
      </c>
      <c r="D306" s="21">
        <v>7988.7960000000003</v>
      </c>
      <c r="E306" s="21"/>
      <c r="F306" s="21"/>
      <c r="G306" s="21"/>
      <c r="H306" s="21"/>
      <c r="I306" s="21"/>
      <c r="J306" s="21"/>
      <c r="K306" s="21">
        <v>7988.7960000000003</v>
      </c>
    </row>
    <row r="307" spans="2:11" x14ac:dyDescent="0.2">
      <c r="B307" t="s">
        <v>634</v>
      </c>
      <c r="C307" t="s">
        <v>100</v>
      </c>
      <c r="D307" s="21">
        <v>1451.7910000000002</v>
      </c>
      <c r="E307" s="21"/>
      <c r="F307" s="21"/>
      <c r="G307" s="21"/>
      <c r="H307" s="21"/>
      <c r="I307" s="21"/>
      <c r="J307" s="21"/>
      <c r="K307" s="21">
        <v>1451.7910000000002</v>
      </c>
    </row>
    <row r="308" spans="2:11" x14ac:dyDescent="0.2">
      <c r="B308" t="s">
        <v>635</v>
      </c>
      <c r="C308" t="s">
        <v>100</v>
      </c>
      <c r="D308" s="21">
        <v>6142.8870000000006</v>
      </c>
      <c r="E308" s="21"/>
      <c r="F308" s="21"/>
      <c r="G308" s="21"/>
      <c r="H308" s="21"/>
      <c r="I308" s="21"/>
      <c r="J308" s="21"/>
      <c r="K308" s="21">
        <v>6142.8870000000006</v>
      </c>
    </row>
    <row r="309" spans="2:11" x14ac:dyDescent="0.2">
      <c r="B309" t="s">
        <v>636</v>
      </c>
      <c r="C309" t="s">
        <v>100</v>
      </c>
      <c r="D309" s="21">
        <v>12100.136999999999</v>
      </c>
      <c r="E309" s="21"/>
      <c r="F309" s="21"/>
      <c r="G309" s="21"/>
      <c r="H309" s="21"/>
      <c r="I309" s="21"/>
      <c r="J309" s="21"/>
      <c r="K309" s="21">
        <v>12100.136999999999</v>
      </c>
    </row>
    <row r="310" spans="2:11" x14ac:dyDescent="0.2">
      <c r="B310" t="s">
        <v>637</v>
      </c>
      <c r="C310" t="s">
        <v>100</v>
      </c>
      <c r="D310" s="21">
        <v>4465.2179999999998</v>
      </c>
      <c r="E310" s="21"/>
      <c r="F310" s="21"/>
      <c r="G310" s="21"/>
      <c r="H310" s="21"/>
      <c r="I310" s="21"/>
      <c r="J310" s="21"/>
      <c r="K310" s="21">
        <v>4465.2179999999998</v>
      </c>
    </row>
    <row r="311" spans="2:11" x14ac:dyDescent="0.2">
      <c r="B311" t="s">
        <v>638</v>
      </c>
      <c r="C311" t="s">
        <v>100</v>
      </c>
      <c r="D311" s="21">
        <v>3552.241</v>
      </c>
      <c r="E311" s="21"/>
      <c r="F311" s="21"/>
      <c r="G311" s="21"/>
      <c r="H311" s="21"/>
      <c r="I311" s="21"/>
      <c r="J311" s="21"/>
      <c r="K311" s="21">
        <v>3552.241</v>
      </c>
    </row>
    <row r="312" spans="2:11" x14ac:dyDescent="0.2">
      <c r="B312" t="s">
        <v>639</v>
      </c>
      <c r="C312" t="s">
        <v>100</v>
      </c>
      <c r="D312" s="21">
        <v>4260.2569999999996</v>
      </c>
      <c r="E312" s="21"/>
      <c r="F312" s="21"/>
      <c r="G312" s="21"/>
      <c r="H312" s="21"/>
      <c r="I312" s="21"/>
      <c r="J312" s="21"/>
      <c r="K312" s="21">
        <v>4260.2569999999996</v>
      </c>
    </row>
    <row r="313" spans="2:11" x14ac:dyDescent="0.2">
      <c r="B313" t="s">
        <v>640</v>
      </c>
      <c r="C313" t="s">
        <v>100</v>
      </c>
      <c r="D313" s="21">
        <v>2905.6550000000002</v>
      </c>
      <c r="E313" s="21"/>
      <c r="F313" s="21"/>
      <c r="G313" s="21"/>
      <c r="H313" s="21"/>
      <c r="I313" s="21"/>
      <c r="J313" s="21"/>
      <c r="K313" s="21">
        <v>2905.6550000000002</v>
      </c>
    </row>
    <row r="314" spans="2:11" x14ac:dyDescent="0.2">
      <c r="B314" t="s">
        <v>641</v>
      </c>
      <c r="C314" t="s">
        <v>100</v>
      </c>
      <c r="D314" s="21">
        <v>436.32900000000001</v>
      </c>
      <c r="E314" s="21"/>
      <c r="F314" s="21"/>
      <c r="G314" s="21"/>
      <c r="H314" s="21"/>
      <c r="I314" s="21"/>
      <c r="J314" s="21"/>
      <c r="K314" s="21">
        <v>436.32900000000001</v>
      </c>
    </row>
    <row r="315" spans="2:11" x14ac:dyDescent="0.2">
      <c r="B315" t="s">
        <v>642</v>
      </c>
      <c r="C315" t="s">
        <v>100</v>
      </c>
      <c r="D315" s="21">
        <v>546.55399999999997</v>
      </c>
      <c r="E315" s="21"/>
      <c r="F315" s="21"/>
      <c r="G315" s="21"/>
      <c r="H315" s="21"/>
      <c r="I315" s="21"/>
      <c r="J315" s="21"/>
      <c r="K315" s="21">
        <v>546.55399999999997</v>
      </c>
    </row>
    <row r="316" spans="2:11" x14ac:dyDescent="0.2">
      <c r="B316" t="s">
        <v>717</v>
      </c>
      <c r="C316" t="s">
        <v>100</v>
      </c>
      <c r="D316" s="21">
        <v>918.23299999999995</v>
      </c>
      <c r="E316" s="21"/>
      <c r="F316" s="21"/>
      <c r="G316" s="21"/>
      <c r="H316" s="21"/>
      <c r="I316" s="21"/>
      <c r="J316" s="21"/>
      <c r="K316" s="21">
        <v>918.23299999999995</v>
      </c>
    </row>
    <row r="317" spans="2:11" x14ac:dyDescent="0.2">
      <c r="B317" t="s">
        <v>718</v>
      </c>
      <c r="C317" t="s">
        <v>100</v>
      </c>
      <c r="D317" s="21">
        <v>2512.5549999999998</v>
      </c>
      <c r="E317" s="21"/>
      <c r="F317" s="21"/>
      <c r="G317" s="21"/>
      <c r="H317" s="21"/>
      <c r="I317" s="21"/>
      <c r="J317" s="21"/>
      <c r="K317" s="21">
        <v>2512.5549999999998</v>
      </c>
    </row>
    <row r="318" spans="2:11" x14ac:dyDescent="0.2">
      <c r="B318" t="s">
        <v>719</v>
      </c>
      <c r="C318" t="s">
        <v>100</v>
      </c>
      <c r="D318" s="21">
        <v>2539.9459999999999</v>
      </c>
      <c r="E318" s="21"/>
      <c r="F318" s="21"/>
      <c r="G318" s="21"/>
      <c r="H318" s="21"/>
      <c r="I318" s="21"/>
      <c r="J318" s="21"/>
      <c r="K318" s="21">
        <v>2539.9459999999999</v>
      </c>
    </row>
    <row r="319" spans="2:11" x14ac:dyDescent="0.2">
      <c r="B319" t="s">
        <v>748</v>
      </c>
      <c r="C319" t="s">
        <v>100</v>
      </c>
      <c r="D319" s="21">
        <v>1500</v>
      </c>
      <c r="E319" s="21"/>
      <c r="F319" s="21"/>
      <c r="G319" s="21"/>
      <c r="H319" s="21"/>
      <c r="I319" s="21"/>
      <c r="J319" s="21"/>
      <c r="K319" s="21">
        <v>1500</v>
      </c>
    </row>
    <row r="320" spans="2:11" x14ac:dyDescent="0.2">
      <c r="B320" t="s">
        <v>749</v>
      </c>
      <c r="C320" t="s">
        <v>100</v>
      </c>
      <c r="D320" s="21">
        <v>1160.1020000000001</v>
      </c>
      <c r="E320" s="21"/>
      <c r="F320" s="21"/>
      <c r="G320" s="21"/>
      <c r="H320" s="21"/>
      <c r="I320" s="21"/>
      <c r="J320" s="21"/>
      <c r="K320" s="21">
        <v>1160.1020000000001</v>
      </c>
    </row>
    <row r="321" spans="2:11" x14ac:dyDescent="0.2">
      <c r="B321" t="s">
        <v>750</v>
      </c>
      <c r="C321" t="s">
        <v>100</v>
      </c>
      <c r="D321" s="21">
        <v>771.029</v>
      </c>
      <c r="E321" s="21"/>
      <c r="F321" s="21"/>
      <c r="G321" s="21"/>
      <c r="H321" s="21"/>
      <c r="I321" s="21"/>
      <c r="J321" s="21"/>
      <c r="K321" s="21">
        <v>771.029</v>
      </c>
    </row>
    <row r="322" spans="2:11" x14ac:dyDescent="0.2">
      <c r="B322" t="s">
        <v>752</v>
      </c>
      <c r="C322" t="s">
        <v>100</v>
      </c>
      <c r="D322" s="21">
        <v>1020.03</v>
      </c>
      <c r="E322" s="21"/>
      <c r="F322" s="21"/>
      <c r="G322" s="21"/>
      <c r="H322" s="21"/>
      <c r="I322" s="21"/>
      <c r="J322" s="21"/>
      <c r="K322" s="21">
        <v>1020.03</v>
      </c>
    </row>
    <row r="323" spans="2:11" x14ac:dyDescent="0.2">
      <c r="B323" t="s">
        <v>753</v>
      </c>
      <c r="C323" t="s">
        <v>100</v>
      </c>
      <c r="D323" s="21">
        <v>47121.263999999996</v>
      </c>
      <c r="E323" s="21"/>
      <c r="F323" s="21"/>
      <c r="G323" s="21"/>
      <c r="H323" s="21"/>
      <c r="I323" s="21"/>
      <c r="J323" s="21"/>
      <c r="K323" s="21">
        <v>47121.263999999996</v>
      </c>
    </row>
    <row r="324" spans="2:11" x14ac:dyDescent="0.2">
      <c r="B324" t="s">
        <v>754</v>
      </c>
      <c r="C324" t="s">
        <v>100</v>
      </c>
      <c r="D324" s="21">
        <v>2018.5029999999999</v>
      </c>
      <c r="E324" s="21"/>
      <c r="F324" s="21"/>
      <c r="G324" s="21"/>
      <c r="H324" s="21"/>
      <c r="I324" s="21"/>
      <c r="J324" s="21"/>
      <c r="K324" s="21">
        <v>2018.5029999999999</v>
      </c>
    </row>
    <row r="325" spans="2:11" x14ac:dyDescent="0.2">
      <c r="B325" t="s">
        <v>756</v>
      </c>
      <c r="C325" t="s">
        <v>100</v>
      </c>
      <c r="D325" s="21">
        <v>282.80900000000003</v>
      </c>
      <c r="E325" s="21"/>
      <c r="F325" s="21"/>
      <c r="G325" s="21"/>
      <c r="H325" s="21"/>
      <c r="I325" s="21"/>
      <c r="J325" s="21"/>
      <c r="K325" s="21">
        <v>282.80900000000003</v>
      </c>
    </row>
    <row r="326" spans="2:11" x14ac:dyDescent="0.2">
      <c r="B326" t="s">
        <v>724</v>
      </c>
      <c r="C326" t="s">
        <v>100</v>
      </c>
      <c r="D326" s="21">
        <v>3115.2290000000003</v>
      </c>
      <c r="E326" s="21"/>
      <c r="F326" s="21"/>
      <c r="G326" s="21"/>
      <c r="H326" s="21"/>
      <c r="I326" s="21"/>
      <c r="J326" s="21"/>
      <c r="K326" s="21">
        <v>3115.2290000000003</v>
      </c>
    </row>
    <row r="327" spans="2:11" x14ac:dyDescent="0.2">
      <c r="B327" t="s">
        <v>757</v>
      </c>
      <c r="C327" t="s">
        <v>100</v>
      </c>
      <c r="D327" s="21">
        <v>532.88</v>
      </c>
      <c r="E327" s="21"/>
      <c r="F327" s="21"/>
      <c r="G327" s="21"/>
      <c r="H327" s="21"/>
      <c r="I327" s="21"/>
      <c r="J327" s="21"/>
      <c r="K327" s="21">
        <v>532.88</v>
      </c>
    </row>
    <row r="328" spans="2:11" x14ac:dyDescent="0.2">
      <c r="B328" t="s">
        <v>758</v>
      </c>
      <c r="C328" t="s">
        <v>100</v>
      </c>
      <c r="D328" s="21">
        <v>3789.7950000000001</v>
      </c>
      <c r="E328" s="21"/>
      <c r="F328" s="21"/>
      <c r="G328" s="21"/>
      <c r="H328" s="21"/>
      <c r="I328" s="21"/>
      <c r="J328" s="21"/>
      <c r="K328" s="21">
        <v>3789.7950000000001</v>
      </c>
    </row>
    <row r="329" spans="2:11" x14ac:dyDescent="0.2">
      <c r="B329" t="s">
        <v>760</v>
      </c>
      <c r="C329" t="s">
        <v>100</v>
      </c>
      <c r="D329" s="21">
        <v>13121.915000000001</v>
      </c>
      <c r="E329" s="21"/>
      <c r="F329" s="21"/>
      <c r="G329" s="21"/>
      <c r="H329" s="21"/>
      <c r="I329" s="21"/>
      <c r="J329" s="21"/>
      <c r="K329" s="21">
        <v>13121.915000000001</v>
      </c>
    </row>
    <row r="330" spans="2:11" x14ac:dyDescent="0.2">
      <c r="B330" t="s">
        <v>721</v>
      </c>
      <c r="C330" t="s">
        <v>100</v>
      </c>
      <c r="D330" s="21">
        <v>615.20899999999995</v>
      </c>
      <c r="E330" s="21"/>
      <c r="F330" s="21"/>
      <c r="G330" s="21"/>
      <c r="H330" s="21"/>
      <c r="I330" s="21"/>
      <c r="J330" s="21"/>
      <c r="K330" s="21">
        <v>615.20899999999995</v>
      </c>
    </row>
    <row r="331" spans="2:11" x14ac:dyDescent="0.2">
      <c r="B331" t="s">
        <v>722</v>
      </c>
      <c r="C331" t="s">
        <v>100</v>
      </c>
      <c r="D331" s="21">
        <v>1319.692</v>
      </c>
      <c r="E331" s="21"/>
      <c r="F331" s="21"/>
      <c r="G331" s="21"/>
      <c r="H331" s="21"/>
      <c r="I331" s="21"/>
      <c r="J331" s="21"/>
      <c r="K331" s="21">
        <v>1319.692</v>
      </c>
    </row>
    <row r="332" spans="2:11" x14ac:dyDescent="0.2">
      <c r="B332" t="s">
        <v>723</v>
      </c>
      <c r="C332" t="s">
        <v>100</v>
      </c>
      <c r="D332" s="21">
        <v>1914.8409999999999</v>
      </c>
      <c r="E332" s="21"/>
      <c r="F332" s="21"/>
      <c r="G332" s="21"/>
      <c r="H332" s="21"/>
      <c r="I332" s="21"/>
      <c r="J332" s="21"/>
      <c r="K332" s="21">
        <v>1914.8409999999999</v>
      </c>
    </row>
    <row r="333" spans="2:11" x14ac:dyDescent="0.2">
      <c r="B333" t="s">
        <v>725</v>
      </c>
      <c r="C333" t="s">
        <v>100</v>
      </c>
      <c r="D333" s="21">
        <v>1071.664</v>
      </c>
      <c r="E333" s="21"/>
      <c r="F333" s="21"/>
      <c r="G333" s="21"/>
      <c r="H333" s="21"/>
      <c r="I333" s="21"/>
      <c r="J333" s="21"/>
      <c r="K333" s="21">
        <v>1071.664</v>
      </c>
    </row>
    <row r="334" spans="2:11" x14ac:dyDescent="0.2">
      <c r="B334" t="s">
        <v>726</v>
      </c>
      <c r="C334" t="s">
        <v>100</v>
      </c>
      <c r="D334" s="21">
        <v>489.60599999999999</v>
      </c>
      <c r="E334" s="21"/>
      <c r="F334" s="21"/>
      <c r="G334" s="21"/>
      <c r="H334" s="21"/>
      <c r="I334" s="21"/>
      <c r="J334" s="21"/>
      <c r="K334" s="21">
        <v>489.60599999999999</v>
      </c>
    </row>
    <row r="335" spans="2:11" x14ac:dyDescent="0.2">
      <c r="B335" t="s">
        <v>727</v>
      </c>
      <c r="C335" t="s">
        <v>100</v>
      </c>
      <c r="D335" s="21">
        <v>4068.6790000000001</v>
      </c>
      <c r="E335" s="21"/>
      <c r="F335" s="21"/>
      <c r="G335" s="21"/>
      <c r="H335" s="21"/>
      <c r="I335" s="21"/>
      <c r="J335" s="21"/>
      <c r="K335" s="21">
        <v>4068.6790000000001</v>
      </c>
    </row>
    <row r="336" spans="2:11" x14ac:dyDescent="0.2">
      <c r="B336" t="s">
        <v>729</v>
      </c>
      <c r="C336" t="s">
        <v>100</v>
      </c>
      <c r="D336" s="21">
        <v>1664.4749999999999</v>
      </c>
      <c r="E336" s="21"/>
      <c r="F336" s="21"/>
      <c r="G336" s="21"/>
      <c r="H336" s="21"/>
      <c r="I336" s="21"/>
      <c r="J336" s="21"/>
      <c r="K336" s="21">
        <v>1664.4749999999999</v>
      </c>
    </row>
    <row r="337" spans="1:11" x14ac:dyDescent="0.2">
      <c r="B337" t="s">
        <v>730</v>
      </c>
      <c r="C337" t="s">
        <v>100</v>
      </c>
      <c r="D337" s="21">
        <v>1455.9380000000001</v>
      </c>
      <c r="E337" s="21"/>
      <c r="F337" s="21"/>
      <c r="G337" s="21"/>
      <c r="H337" s="21"/>
      <c r="I337" s="21"/>
      <c r="J337" s="21"/>
      <c r="K337" s="21">
        <v>1455.9380000000001</v>
      </c>
    </row>
    <row r="338" spans="1:11" x14ac:dyDescent="0.2">
      <c r="B338" t="s">
        <v>720</v>
      </c>
      <c r="C338" t="s">
        <v>100</v>
      </c>
      <c r="D338" s="21">
        <v>6070.08</v>
      </c>
      <c r="E338" s="21"/>
      <c r="F338" s="21"/>
      <c r="G338" s="21"/>
      <c r="H338" s="21"/>
      <c r="I338" s="21"/>
      <c r="J338" s="21"/>
      <c r="K338" s="21">
        <v>6070.08</v>
      </c>
    </row>
    <row r="339" spans="1:11" x14ac:dyDescent="0.2">
      <c r="B339" t="s">
        <v>731</v>
      </c>
      <c r="C339" t="s">
        <v>100</v>
      </c>
      <c r="D339" s="21">
        <v>2066.2829999999999</v>
      </c>
      <c r="E339" s="21"/>
      <c r="F339" s="21"/>
      <c r="G339" s="21"/>
      <c r="H339" s="21"/>
      <c r="I339" s="21"/>
      <c r="J339" s="21"/>
      <c r="K339" s="21">
        <v>2066.2829999999999</v>
      </c>
    </row>
    <row r="340" spans="1:11" x14ac:dyDescent="0.2">
      <c r="B340" t="s">
        <v>732</v>
      </c>
      <c r="C340" t="s">
        <v>100</v>
      </c>
      <c r="D340" s="21">
        <v>1007.596</v>
      </c>
      <c r="E340" s="21"/>
      <c r="F340" s="21"/>
      <c r="G340" s="21"/>
      <c r="H340" s="21"/>
      <c r="I340" s="21"/>
      <c r="J340" s="21"/>
      <c r="K340" s="21">
        <v>1007.596</v>
      </c>
    </row>
    <row r="341" spans="1:11" x14ac:dyDescent="0.2">
      <c r="B341" t="s">
        <v>733</v>
      </c>
      <c r="C341" t="s">
        <v>100</v>
      </c>
      <c r="D341" s="21">
        <v>3688.2690000000002</v>
      </c>
      <c r="E341" s="21"/>
      <c r="F341" s="21"/>
      <c r="G341" s="21"/>
      <c r="H341" s="21"/>
      <c r="I341" s="21"/>
      <c r="J341" s="21"/>
      <c r="K341" s="21">
        <v>3688.2690000000002</v>
      </c>
    </row>
    <row r="342" spans="1:11" x14ac:dyDescent="0.2">
      <c r="B342" t="s">
        <v>735</v>
      </c>
      <c r="C342" t="s">
        <v>100</v>
      </c>
      <c r="D342" s="21">
        <v>2216.0729999999999</v>
      </c>
      <c r="E342" s="21"/>
      <c r="F342" s="21"/>
      <c r="G342" s="21"/>
      <c r="H342" s="21"/>
      <c r="I342" s="21"/>
      <c r="J342" s="21"/>
      <c r="K342" s="21">
        <v>2216.0729999999999</v>
      </c>
    </row>
    <row r="343" spans="1:11" x14ac:dyDescent="0.2">
      <c r="B343" t="s">
        <v>736</v>
      </c>
      <c r="C343" t="s">
        <v>100</v>
      </c>
      <c r="D343" s="21">
        <v>213</v>
      </c>
      <c r="E343" s="21"/>
      <c r="F343" s="21"/>
      <c r="G343" s="21"/>
      <c r="H343" s="21"/>
      <c r="I343" s="21"/>
      <c r="J343" s="21"/>
      <c r="K343" s="21">
        <v>213</v>
      </c>
    </row>
    <row r="344" spans="1:11" x14ac:dyDescent="0.2">
      <c r="B344" t="s">
        <v>737</v>
      </c>
      <c r="C344" t="s">
        <v>100</v>
      </c>
      <c r="D344" s="21">
        <v>1707.827</v>
      </c>
      <c r="E344" s="21"/>
      <c r="F344" s="21"/>
      <c r="G344" s="21"/>
      <c r="H344" s="21"/>
      <c r="I344" s="21"/>
      <c r="J344" s="21"/>
      <c r="K344" s="21">
        <v>1707.827</v>
      </c>
    </row>
    <row r="345" spans="1:11" x14ac:dyDescent="0.2">
      <c r="B345" t="s">
        <v>738</v>
      </c>
      <c r="C345" t="s">
        <v>100</v>
      </c>
      <c r="D345" s="21">
        <v>3963.97</v>
      </c>
      <c r="E345" s="21"/>
      <c r="F345" s="21"/>
      <c r="G345" s="21"/>
      <c r="H345" s="21"/>
      <c r="I345" s="21"/>
      <c r="J345" s="21"/>
      <c r="K345" s="21">
        <v>3963.97</v>
      </c>
    </row>
    <row r="346" spans="1:11" x14ac:dyDescent="0.2">
      <c r="B346" t="s">
        <v>739</v>
      </c>
      <c r="C346" t="s">
        <v>100</v>
      </c>
      <c r="D346" s="21">
        <v>6058.982</v>
      </c>
      <c r="E346" s="21"/>
      <c r="F346" s="21"/>
      <c r="G346" s="21"/>
      <c r="H346" s="21"/>
      <c r="I346" s="21"/>
      <c r="J346" s="21"/>
      <c r="K346" s="21">
        <v>6058.982</v>
      </c>
    </row>
    <row r="347" spans="1:11" x14ac:dyDescent="0.2">
      <c r="B347" t="s">
        <v>740</v>
      </c>
      <c r="C347" t="s">
        <v>100</v>
      </c>
      <c r="D347" s="21">
        <v>891.95600000000002</v>
      </c>
      <c r="E347" s="21"/>
      <c r="F347" s="21"/>
      <c r="G347" s="21"/>
      <c r="H347" s="21"/>
      <c r="I347" s="21"/>
      <c r="J347" s="21"/>
      <c r="K347" s="21">
        <v>891.95600000000002</v>
      </c>
    </row>
    <row r="348" spans="1:11" x14ac:dyDescent="0.2">
      <c r="B348" t="s">
        <v>741</v>
      </c>
      <c r="C348" t="s">
        <v>100</v>
      </c>
      <c r="D348" s="21">
        <v>1858.5170000000001</v>
      </c>
      <c r="E348" s="21"/>
      <c r="F348" s="21"/>
      <c r="G348" s="21"/>
      <c r="H348" s="21"/>
      <c r="I348" s="21"/>
      <c r="J348" s="21"/>
      <c r="K348" s="21">
        <v>1858.5170000000001</v>
      </c>
    </row>
    <row r="349" spans="1:11" x14ac:dyDescent="0.2">
      <c r="B349" t="s">
        <v>742</v>
      </c>
      <c r="C349" t="s">
        <v>100</v>
      </c>
      <c r="D349" s="21">
        <v>1893.09</v>
      </c>
      <c r="E349" s="21"/>
      <c r="F349" s="21"/>
      <c r="G349" s="21"/>
      <c r="H349" s="21"/>
      <c r="I349" s="21"/>
      <c r="J349" s="21"/>
      <c r="K349" s="21">
        <v>1893.09</v>
      </c>
    </row>
    <row r="350" spans="1:11" x14ac:dyDescent="0.2">
      <c r="A350" t="s">
        <v>761</v>
      </c>
      <c r="B350"/>
      <c r="C350"/>
      <c r="D350" s="21">
        <v>4236039.3509999979</v>
      </c>
      <c r="E350" s="21">
        <v>48450</v>
      </c>
      <c r="F350" s="21">
        <v>56519.354838709674</v>
      </c>
      <c r="G350" s="21">
        <v>115222.5806451613</v>
      </c>
      <c r="H350" s="21">
        <v>453169</v>
      </c>
      <c r="I350" s="21">
        <v>559373.80645161285</v>
      </c>
      <c r="J350" s="21">
        <v>324083.67741935485</v>
      </c>
      <c r="K350" s="21">
        <v>5792857.7703548372</v>
      </c>
    </row>
    <row r="351" spans="1:11" x14ac:dyDescent="0.2">
      <c r="B351"/>
      <c r="C351"/>
    </row>
    <row r="352" spans="1:11" x14ac:dyDescent="0.2">
      <c r="B352"/>
      <c r="C352"/>
    </row>
    <row r="353" spans="2:3" x14ac:dyDescent="0.2">
      <c r="B353"/>
      <c r="C353"/>
    </row>
    <row r="354" spans="2:3" x14ac:dyDescent="0.2">
      <c r="B354"/>
      <c r="C354"/>
    </row>
    <row r="355" spans="2:3" x14ac:dyDescent="0.2">
      <c r="B355"/>
      <c r="C355"/>
    </row>
    <row r="356" spans="2:3" x14ac:dyDescent="0.2">
      <c r="B356"/>
      <c r="C356"/>
    </row>
    <row r="357" spans="2:3" x14ac:dyDescent="0.2">
      <c r="B357"/>
      <c r="C357"/>
    </row>
    <row r="358" spans="2:3" x14ac:dyDescent="0.2">
      <c r="B358"/>
      <c r="C358"/>
    </row>
    <row r="359" spans="2:3" x14ac:dyDescent="0.2">
      <c r="B359"/>
      <c r="C359"/>
    </row>
    <row r="360" spans="2:3" x14ac:dyDescent="0.2">
      <c r="B360"/>
      <c r="C360"/>
    </row>
    <row r="361" spans="2:3" x14ac:dyDescent="0.2">
      <c r="B361"/>
      <c r="C361"/>
    </row>
    <row r="362" spans="2:3" x14ac:dyDescent="0.2">
      <c r="B362"/>
      <c r="C362"/>
    </row>
    <row r="363" spans="2:3" x14ac:dyDescent="0.2">
      <c r="B363"/>
      <c r="C363"/>
    </row>
    <row r="364" spans="2:3" x14ac:dyDescent="0.2">
      <c r="B364"/>
      <c r="C364"/>
    </row>
    <row r="365" spans="2:3" x14ac:dyDescent="0.2">
      <c r="B365"/>
      <c r="C365"/>
    </row>
    <row r="366" spans="2:3" x14ac:dyDescent="0.2">
      <c r="B366"/>
      <c r="C366"/>
    </row>
    <row r="367" spans="2:3" x14ac:dyDescent="0.2">
      <c r="B367"/>
      <c r="C367"/>
    </row>
    <row r="368" spans="2:3" x14ac:dyDescent="0.2">
      <c r="B368"/>
      <c r="C368"/>
    </row>
    <row r="369" spans="2:3" x14ac:dyDescent="0.2">
      <c r="B369"/>
      <c r="C369"/>
    </row>
    <row r="370" spans="2:3" x14ac:dyDescent="0.2">
      <c r="B370"/>
      <c r="C370"/>
    </row>
    <row r="371" spans="2:3" x14ac:dyDescent="0.2">
      <c r="B371"/>
      <c r="C371"/>
    </row>
    <row r="372" spans="2:3" x14ac:dyDescent="0.2">
      <c r="B372"/>
      <c r="C372"/>
    </row>
    <row r="373" spans="2:3" x14ac:dyDescent="0.2">
      <c r="B373"/>
      <c r="C373"/>
    </row>
    <row r="374" spans="2:3" x14ac:dyDescent="0.2">
      <c r="B374"/>
      <c r="C374"/>
    </row>
    <row r="375" spans="2:3" x14ac:dyDescent="0.2">
      <c r="B375"/>
      <c r="C37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E3B59-A5FE-4F52-8A4A-307467E36A19}">
  <sheetPr>
    <tabColor rgb="FFCCFFFF"/>
  </sheetPr>
  <dimension ref="A1"/>
  <sheetViews>
    <sheetView workbookViewId="0">
      <selection activeCell="E330" sqref="E330"/>
    </sheetView>
  </sheetViews>
  <sheetFormatPr baseColWidth="10" defaultColWidth="9.140625"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62540-1A63-5D47-86EE-B3DDDC55161A}">
  <sheetPr>
    <tabColor rgb="FFFFFF00"/>
  </sheetPr>
  <dimension ref="A1:S136"/>
  <sheetViews>
    <sheetView topLeftCell="A46" zoomScale="80" zoomScaleNormal="80" workbookViewId="0">
      <selection activeCell="G86" sqref="G86:G93"/>
    </sheetView>
  </sheetViews>
  <sheetFormatPr baseColWidth="10" defaultColWidth="128.140625" defaultRowHeight="12.75" x14ac:dyDescent="0.2"/>
  <cols>
    <col min="1" max="1" width="9.42578125" style="33" bestFit="1" customWidth="1"/>
    <col min="2" max="2" width="31.7109375" style="33" bestFit="1" customWidth="1"/>
    <col min="3" max="3" width="34.85546875" style="33" bestFit="1" customWidth="1"/>
    <col min="4" max="4" width="23.42578125" style="33" bestFit="1" customWidth="1"/>
    <col min="5" max="5" width="25.140625" style="33" bestFit="1" customWidth="1"/>
    <col min="6" max="6" width="13.140625" style="33" bestFit="1" customWidth="1"/>
    <col min="7" max="7" width="14.5703125" style="410" bestFit="1" customWidth="1"/>
    <col min="8" max="8" width="12.28515625" style="33" bestFit="1" customWidth="1"/>
    <col min="9" max="9" width="20" style="255" bestFit="1" customWidth="1"/>
    <col min="10" max="10" width="12" style="255" bestFit="1" customWidth="1"/>
    <col min="11" max="11" width="13" style="33" bestFit="1" customWidth="1"/>
    <col min="12" max="12" width="22.28515625" style="396" bestFit="1" customWidth="1"/>
    <col min="13" max="13" width="12.7109375" style="33" bestFit="1" customWidth="1"/>
    <col min="14" max="14" width="21.42578125" style="33" bestFit="1" customWidth="1"/>
    <col min="15" max="15" width="13.85546875" style="33" bestFit="1" customWidth="1"/>
    <col min="16" max="16" width="18.42578125" style="33" bestFit="1" customWidth="1"/>
    <col min="17" max="17" width="9.85546875" style="33" bestFit="1" customWidth="1"/>
    <col min="18" max="18" width="10" style="33" bestFit="1" customWidth="1"/>
    <col min="19" max="19" width="10.85546875" style="33" bestFit="1" customWidth="1"/>
    <col min="20" max="16384" width="128.140625" style="33"/>
  </cols>
  <sheetData>
    <row r="1" spans="1:19" x14ac:dyDescent="0.2">
      <c r="A1" s="348" t="s">
        <v>110</v>
      </c>
      <c r="B1" s="348" t="s">
        <v>257</v>
      </c>
      <c r="C1" s="348" t="s">
        <v>254</v>
      </c>
      <c r="D1" s="348" t="s">
        <v>258</v>
      </c>
      <c r="E1" s="348" t="s">
        <v>256</v>
      </c>
      <c r="F1" s="348" t="s">
        <v>28</v>
      </c>
      <c r="G1" s="319" t="s">
        <v>103</v>
      </c>
      <c r="H1" s="311" t="s">
        <v>249</v>
      </c>
      <c r="I1" s="311" t="s">
        <v>260</v>
      </c>
      <c r="J1" s="348" t="s">
        <v>27</v>
      </c>
      <c r="K1" s="348" t="s">
        <v>94</v>
      </c>
      <c r="L1" s="395" t="s">
        <v>236</v>
      </c>
      <c r="M1" s="348" t="s">
        <v>95</v>
      </c>
      <c r="N1" s="348" t="s">
        <v>121</v>
      </c>
      <c r="O1" s="348" t="s">
        <v>230</v>
      </c>
      <c r="P1" s="348" t="s">
        <v>96</v>
      </c>
      <c r="R1" s="348" t="s">
        <v>122</v>
      </c>
      <c r="S1" s="375">
        <f ca="1">TODAY()</f>
        <v>45441</v>
      </c>
    </row>
    <row r="2" spans="1:19" x14ac:dyDescent="0.2">
      <c r="A2" s="33" t="s">
        <v>58</v>
      </c>
      <c r="B2" s="425" t="s">
        <v>1010</v>
      </c>
      <c r="C2" s="33" t="s">
        <v>69</v>
      </c>
      <c r="D2" s="33" t="s">
        <v>67</v>
      </c>
      <c r="E2" s="33" t="s">
        <v>457</v>
      </c>
      <c r="F2" s="33" t="s">
        <v>1</v>
      </c>
      <c r="G2" s="426">
        <v>11752.69</v>
      </c>
      <c r="H2" s="255">
        <f>IF(F2="TND",1,IF(F2="EUR",Vertical_Cash_flow!$C$16,IF(F2="USD",Vertical_Cash_flow!$F$16,0)))</f>
        <v>0.3</v>
      </c>
      <c r="I2" s="255">
        <f t="shared" ref="I2:I4" si="0">G2/H2</f>
        <v>39175.633333333339</v>
      </c>
      <c r="J2" s="33" t="s">
        <v>251</v>
      </c>
      <c r="K2" s="423">
        <v>45282</v>
      </c>
      <c r="L2" s="396">
        <v>90</v>
      </c>
      <c r="M2" s="408">
        <f t="shared" ref="M2:M18" si="1">K2+L2</f>
        <v>45372</v>
      </c>
      <c r="N2" s="411">
        <f t="shared" ref="N2:N4" ca="1" si="2">$S$1-M2</f>
        <v>69</v>
      </c>
      <c r="O2" s="33" t="str">
        <f>VLOOKUP(M2,Mapping!L176:M911,2,0)</f>
        <v>W12_2024</v>
      </c>
      <c r="P2" s="33" t="str">
        <f t="shared" ref="P2:P4" ca="1" si="3">IF(N2="","",IF(N2&lt;0,"Not Due",IF(AND(N2&gt;=0,N2&lt;=30),"up 30 days",IF(AND(N2&gt;30,N2&lt;=60),"30-60 days",IF(AND(N2&gt;60,N2&lt;=90),"60-90 days",IF(AND(N2&gt;90,N2&lt;=120),"90-120 days",IF(AND(N2&gt;120,N2&lt;=180),"120-180 days",IF(AND(N2&gt;180,N2&lt;=360),"180-360 days",IF(N2&gt;360,"more than 360 days","ok")))))))))</f>
        <v>60-90 days</v>
      </c>
    </row>
    <row r="3" spans="1:19" x14ac:dyDescent="0.2">
      <c r="A3" s="33" t="s">
        <v>58</v>
      </c>
      <c r="B3" s="425" t="s">
        <v>1011</v>
      </c>
      <c r="C3" s="33" t="s">
        <v>69</v>
      </c>
      <c r="D3" s="33" t="s">
        <v>67</v>
      </c>
      <c r="E3" s="33" t="s">
        <v>457</v>
      </c>
      <c r="F3" s="33" t="s">
        <v>1</v>
      </c>
      <c r="G3" s="426">
        <v>12472.01</v>
      </c>
      <c r="H3" s="255">
        <f>IF(F3="TND",1,IF(F3="EUR",Vertical_Cash_flow!$C$16,IF(F3="USD",Vertical_Cash_flow!$F$16,0)))</f>
        <v>0.3</v>
      </c>
      <c r="I3" s="255">
        <f t="shared" si="0"/>
        <v>41573.366666666669</v>
      </c>
      <c r="J3" s="33" t="s">
        <v>251</v>
      </c>
      <c r="K3" s="423">
        <v>45282</v>
      </c>
      <c r="L3" s="396">
        <v>90</v>
      </c>
      <c r="M3" s="408">
        <f t="shared" si="1"/>
        <v>45372</v>
      </c>
      <c r="N3" s="411">
        <f t="shared" ca="1" si="2"/>
        <v>69</v>
      </c>
      <c r="O3" s="33" t="str">
        <f>VLOOKUP(M3,Mapping!L177:M912,2,0)</f>
        <v>W12_2024</v>
      </c>
      <c r="P3" s="33" t="str">
        <f t="shared" ca="1" si="3"/>
        <v>60-90 days</v>
      </c>
    </row>
    <row r="4" spans="1:19" x14ac:dyDescent="0.2">
      <c r="A4" s="33" t="s">
        <v>58</v>
      </c>
      <c r="B4" s="425" t="s">
        <v>1012</v>
      </c>
      <c r="C4" s="33" t="s">
        <v>69</v>
      </c>
      <c r="D4" s="33" t="s">
        <v>67</v>
      </c>
      <c r="E4" s="33" t="s">
        <v>457</v>
      </c>
      <c r="F4" s="33" t="s">
        <v>1</v>
      </c>
      <c r="G4" s="426">
        <v>18772.37</v>
      </c>
      <c r="H4" s="255">
        <f>IF(F4="TND",1,IF(F4="EUR",Vertical_Cash_flow!$C$16,IF(F4="USD",Vertical_Cash_flow!$F$16,0)))</f>
        <v>0.3</v>
      </c>
      <c r="I4" s="255">
        <f t="shared" si="0"/>
        <v>62574.566666666666</v>
      </c>
      <c r="J4" s="33" t="s">
        <v>251</v>
      </c>
      <c r="K4" s="423">
        <v>45282</v>
      </c>
      <c r="L4" s="396">
        <v>90</v>
      </c>
      <c r="M4" s="408">
        <f t="shared" si="1"/>
        <v>45372</v>
      </c>
      <c r="N4" s="411">
        <f t="shared" ca="1" si="2"/>
        <v>69</v>
      </c>
      <c r="O4" s="33" t="str">
        <f>VLOOKUP(M4,Mapping!L178:M913,2,0)</f>
        <v>W12_2024</v>
      </c>
      <c r="P4" s="33" t="str">
        <f t="shared" ca="1" si="3"/>
        <v>60-90 days</v>
      </c>
    </row>
    <row r="5" spans="1:19" x14ac:dyDescent="0.2">
      <c r="A5" s="33" t="s">
        <v>58</v>
      </c>
      <c r="B5" s="425" t="s">
        <v>1228</v>
      </c>
      <c r="C5" s="33" t="s">
        <v>69</v>
      </c>
      <c r="D5" s="33" t="s">
        <v>67</v>
      </c>
      <c r="E5" s="33" t="s">
        <v>457</v>
      </c>
      <c r="F5" s="33" t="s">
        <v>1</v>
      </c>
      <c r="G5" s="426">
        <v>15254.03</v>
      </c>
      <c r="H5" s="255">
        <f>IF(F5="TND",1,IF(F5="EUR",Vertical_Cash_flow!$C$16,IF(F5="USD",Vertical_Cash_flow!$F$16,0)))</f>
        <v>0.3</v>
      </c>
      <c r="I5" s="255">
        <f t="shared" ref="I5:I18" si="4">G5/H5</f>
        <v>50846.76666666667</v>
      </c>
      <c r="J5" s="33" t="s">
        <v>251</v>
      </c>
      <c r="K5" s="423">
        <v>45306</v>
      </c>
      <c r="L5" s="396">
        <v>90</v>
      </c>
      <c r="M5" s="408">
        <f t="shared" si="1"/>
        <v>45396</v>
      </c>
      <c r="N5" s="411">
        <f t="shared" ref="N5:N18" ca="1" si="5">$S$1-M5</f>
        <v>45</v>
      </c>
      <c r="O5" s="33" t="str">
        <f>VLOOKUP(M5,Mapping!L179:M914,2,0)</f>
        <v>W16_2024</v>
      </c>
      <c r="P5" s="33" t="str">
        <f t="shared" ref="P5:P18" ca="1" si="6">IF(N5="","",IF(N5&lt;0,"Not Due",IF(AND(N5&gt;=0,N5&lt;=30),"up 30 days",IF(AND(N5&gt;30,N5&lt;=60),"30-60 days",IF(AND(N5&gt;60,N5&lt;=90),"60-90 days",IF(AND(N5&gt;90,N5&lt;=120),"90-120 days",IF(AND(N5&gt;120,N5&lt;=180),"120-180 days",IF(AND(N5&gt;180,N5&lt;=360),"180-360 days",IF(N5&gt;360,"more than 360 days","ok")))))))))</f>
        <v>30-60 days</v>
      </c>
    </row>
    <row r="6" spans="1:19" x14ac:dyDescent="0.2">
      <c r="A6" s="33" t="s">
        <v>58</v>
      </c>
      <c r="B6" s="425" t="s">
        <v>1229</v>
      </c>
      <c r="C6" s="33" t="s">
        <v>69</v>
      </c>
      <c r="D6" s="33" t="s">
        <v>67</v>
      </c>
      <c r="E6" s="33" t="s">
        <v>457</v>
      </c>
      <c r="F6" s="33" t="s">
        <v>1</v>
      </c>
      <c r="G6" s="426">
        <v>15185.23</v>
      </c>
      <c r="H6" s="255">
        <f>IF(F6="TND",1,IF(F6="EUR",Vertical_Cash_flow!$C$16,IF(F6="USD",Vertical_Cash_flow!$F$16,0)))</f>
        <v>0.3</v>
      </c>
      <c r="I6" s="255">
        <f t="shared" si="4"/>
        <v>50617.433333333334</v>
      </c>
      <c r="J6" s="33" t="s">
        <v>251</v>
      </c>
      <c r="K6" s="423">
        <v>45307</v>
      </c>
      <c r="L6" s="396">
        <v>90</v>
      </c>
      <c r="M6" s="408">
        <f t="shared" si="1"/>
        <v>45397</v>
      </c>
      <c r="N6" s="411">
        <f t="shared" ca="1" si="5"/>
        <v>44</v>
      </c>
      <c r="O6" s="33" t="str">
        <f>VLOOKUP(M6,Mapping!L180:M915,2,0)</f>
        <v>W16_2024</v>
      </c>
      <c r="P6" s="33" t="str">
        <f t="shared" ca="1" si="6"/>
        <v>30-60 days</v>
      </c>
    </row>
    <row r="7" spans="1:19" x14ac:dyDescent="0.2">
      <c r="A7" s="33" t="s">
        <v>58</v>
      </c>
      <c r="B7" s="425" t="s">
        <v>1230</v>
      </c>
      <c r="C7" s="33" t="s">
        <v>69</v>
      </c>
      <c r="D7" s="33" t="s">
        <v>67</v>
      </c>
      <c r="E7" s="33" t="s">
        <v>457</v>
      </c>
      <c r="F7" s="33" t="s">
        <v>1</v>
      </c>
      <c r="G7" s="426">
        <v>9387.77</v>
      </c>
      <c r="H7" s="255">
        <f>IF(F7="TND",1,IF(F7="EUR",Vertical_Cash_flow!$C$16,IF(F7="USD",Vertical_Cash_flow!$F$16,0)))</f>
        <v>0.3</v>
      </c>
      <c r="I7" s="255">
        <f t="shared" si="4"/>
        <v>31292.566666666669</v>
      </c>
      <c r="J7" s="33" t="s">
        <v>251</v>
      </c>
      <c r="K7" s="423">
        <v>45307</v>
      </c>
      <c r="L7" s="396">
        <v>90</v>
      </c>
      <c r="M7" s="408">
        <f t="shared" si="1"/>
        <v>45397</v>
      </c>
      <c r="N7" s="411">
        <f t="shared" ca="1" si="5"/>
        <v>44</v>
      </c>
      <c r="O7" s="33" t="str">
        <f>VLOOKUP(M7,Mapping!L181:M916,2,0)</f>
        <v>W16_2024</v>
      </c>
      <c r="P7" s="33" t="str">
        <f t="shared" ca="1" si="6"/>
        <v>30-60 days</v>
      </c>
    </row>
    <row r="8" spans="1:19" s="34" customFormat="1" x14ac:dyDescent="0.2">
      <c r="A8" s="34" t="s">
        <v>58</v>
      </c>
      <c r="B8" s="614" t="s">
        <v>1010</v>
      </c>
      <c r="C8" s="34" t="s">
        <v>69</v>
      </c>
      <c r="D8" s="34" t="s">
        <v>877</v>
      </c>
      <c r="E8" s="34" t="s">
        <v>457</v>
      </c>
      <c r="F8" s="34" t="s">
        <v>1</v>
      </c>
      <c r="G8" s="615">
        <v>11752.69</v>
      </c>
      <c r="H8" s="257">
        <f>IF(F8="TND",1,IF(F8="EUR",Vertical_Cash_flow!$C$16,IF(F8="USD",Vertical_Cash_flow!$F$16,0)))</f>
        <v>0.3</v>
      </c>
      <c r="I8" s="257">
        <f t="shared" si="4"/>
        <v>39175.633333333339</v>
      </c>
      <c r="J8" s="34" t="s">
        <v>252</v>
      </c>
      <c r="K8" s="616">
        <v>45282</v>
      </c>
      <c r="L8" s="424">
        <v>90</v>
      </c>
      <c r="M8" s="409">
        <v>45436</v>
      </c>
      <c r="N8" s="412">
        <f t="shared" ca="1" si="5"/>
        <v>5</v>
      </c>
      <c r="O8" s="34" t="str">
        <f>VLOOKUP(M8,Mapping!L182:M917,2,0)</f>
        <v>W21_2024</v>
      </c>
      <c r="P8" s="34" t="str">
        <f t="shared" ca="1" si="6"/>
        <v>up 30 days</v>
      </c>
    </row>
    <row r="9" spans="1:19" s="34" customFormat="1" x14ac:dyDescent="0.2">
      <c r="A9" s="34" t="s">
        <v>58</v>
      </c>
      <c r="B9" s="614" t="s">
        <v>1011</v>
      </c>
      <c r="C9" s="34" t="s">
        <v>69</v>
      </c>
      <c r="D9" s="34" t="s">
        <v>877</v>
      </c>
      <c r="E9" s="34" t="s">
        <v>457</v>
      </c>
      <c r="F9" s="34" t="s">
        <v>1</v>
      </c>
      <c r="G9" s="615">
        <v>12472.01</v>
      </c>
      <c r="H9" s="257">
        <f>IF(F9="TND",1,IF(F9="EUR",Vertical_Cash_flow!$C$16,IF(F9="USD",Vertical_Cash_flow!$F$16,0)))</f>
        <v>0.3</v>
      </c>
      <c r="I9" s="257">
        <f t="shared" si="4"/>
        <v>41573.366666666669</v>
      </c>
      <c r="J9" s="34" t="s">
        <v>252</v>
      </c>
      <c r="K9" s="616">
        <v>45282</v>
      </c>
      <c r="L9" s="424">
        <v>90</v>
      </c>
      <c r="M9" s="409">
        <v>45436</v>
      </c>
      <c r="N9" s="412">
        <f t="shared" ca="1" si="5"/>
        <v>5</v>
      </c>
      <c r="O9" s="34" t="str">
        <f>VLOOKUP(M9,Mapping!L183:M918,2,0)</f>
        <v>W21_2024</v>
      </c>
      <c r="P9" s="34" t="str">
        <f t="shared" ca="1" si="6"/>
        <v>up 30 days</v>
      </c>
    </row>
    <row r="10" spans="1:19" s="34" customFormat="1" x14ac:dyDescent="0.2">
      <c r="A10" s="34" t="s">
        <v>58</v>
      </c>
      <c r="B10" s="614" t="s">
        <v>1012</v>
      </c>
      <c r="C10" s="34" t="s">
        <v>69</v>
      </c>
      <c r="D10" s="34" t="s">
        <v>877</v>
      </c>
      <c r="E10" s="34" t="s">
        <v>457</v>
      </c>
      <c r="F10" s="34" t="s">
        <v>1</v>
      </c>
      <c r="G10" s="615">
        <v>18772.37</v>
      </c>
      <c r="H10" s="257">
        <f>IF(F10="TND",1,IF(F10="EUR",Vertical_Cash_flow!$C$16,IF(F10="USD",Vertical_Cash_flow!$F$16,0)))</f>
        <v>0.3</v>
      </c>
      <c r="I10" s="257">
        <f t="shared" si="4"/>
        <v>62574.566666666666</v>
      </c>
      <c r="J10" s="34" t="s">
        <v>252</v>
      </c>
      <c r="K10" s="616">
        <v>45282</v>
      </c>
      <c r="L10" s="424">
        <v>90</v>
      </c>
      <c r="M10" s="409">
        <v>45436</v>
      </c>
      <c r="N10" s="412">
        <f t="shared" ca="1" si="5"/>
        <v>5</v>
      </c>
      <c r="O10" s="34" t="str">
        <f>VLOOKUP(M10,Mapping!L184:M919,2,0)</f>
        <v>W21_2024</v>
      </c>
      <c r="P10" s="34" t="str">
        <f t="shared" ca="1" si="6"/>
        <v>up 30 days</v>
      </c>
    </row>
    <row r="11" spans="1:19" s="34" customFormat="1" x14ac:dyDescent="0.2">
      <c r="A11" s="34" t="s">
        <v>58</v>
      </c>
      <c r="B11" s="614" t="s">
        <v>1228</v>
      </c>
      <c r="C11" s="34" t="s">
        <v>69</v>
      </c>
      <c r="D11" s="34" t="s">
        <v>877</v>
      </c>
      <c r="E11" s="34" t="s">
        <v>457</v>
      </c>
      <c r="F11" s="34" t="s">
        <v>1</v>
      </c>
      <c r="G11" s="615">
        <v>15254.03</v>
      </c>
      <c r="H11" s="257">
        <f>IF(F11="TND",1,IF(F11="EUR",Vertical_Cash_flow!$C$16,IF(F11="USD",Vertical_Cash_flow!$F$16,0)))</f>
        <v>0.3</v>
      </c>
      <c r="I11" s="257">
        <f t="shared" ref="I11:I13" si="7">G11/H11</f>
        <v>50846.76666666667</v>
      </c>
      <c r="J11" s="34" t="s">
        <v>252</v>
      </c>
      <c r="K11" s="616">
        <v>45306</v>
      </c>
      <c r="L11" s="424">
        <v>90</v>
      </c>
      <c r="M11" s="409">
        <v>45436</v>
      </c>
      <c r="N11" s="412">
        <f t="shared" ref="N11:N13" ca="1" si="8">$S$1-M11</f>
        <v>5</v>
      </c>
      <c r="O11" s="34" t="str">
        <f>VLOOKUP(M11,Mapping!L185:M920,2,0)</f>
        <v>W21_2024</v>
      </c>
      <c r="P11" s="34" t="str">
        <f t="shared" ref="P11:P13" ca="1" si="9">IF(N11="","",IF(N11&lt;0,"Not Due",IF(AND(N11&gt;=0,N11&lt;=30),"up 30 days",IF(AND(N11&gt;30,N11&lt;=60),"30-60 days",IF(AND(N11&gt;60,N11&lt;=90),"60-90 days",IF(AND(N11&gt;90,N11&lt;=120),"90-120 days",IF(AND(N11&gt;120,N11&lt;=180),"120-180 days",IF(AND(N11&gt;180,N11&lt;=360),"180-360 days",IF(N11&gt;360,"more than 360 days","ok")))))))))</f>
        <v>up 30 days</v>
      </c>
    </row>
    <row r="12" spans="1:19" s="34" customFormat="1" x14ac:dyDescent="0.2">
      <c r="A12" s="34" t="s">
        <v>58</v>
      </c>
      <c r="B12" s="614" t="s">
        <v>1229</v>
      </c>
      <c r="C12" s="34" t="s">
        <v>69</v>
      </c>
      <c r="D12" s="34" t="s">
        <v>877</v>
      </c>
      <c r="E12" s="34" t="s">
        <v>457</v>
      </c>
      <c r="F12" s="34" t="s">
        <v>1</v>
      </c>
      <c r="G12" s="615">
        <v>15185.23</v>
      </c>
      <c r="H12" s="257">
        <f>IF(F12="TND",1,IF(F12="EUR",Vertical_Cash_flow!$C$16,IF(F12="USD",Vertical_Cash_flow!$F$16,0)))</f>
        <v>0.3</v>
      </c>
      <c r="I12" s="257">
        <f t="shared" si="7"/>
        <v>50617.433333333334</v>
      </c>
      <c r="J12" s="34" t="s">
        <v>252</v>
      </c>
      <c r="K12" s="616">
        <v>45307</v>
      </c>
      <c r="L12" s="424">
        <v>90</v>
      </c>
      <c r="M12" s="409">
        <v>45436</v>
      </c>
      <c r="N12" s="412">
        <f t="shared" ca="1" si="8"/>
        <v>5</v>
      </c>
      <c r="O12" s="34" t="str">
        <f>VLOOKUP(M12,Mapping!L186:M921,2,0)</f>
        <v>W21_2024</v>
      </c>
      <c r="P12" s="34" t="str">
        <f t="shared" ca="1" si="9"/>
        <v>up 30 days</v>
      </c>
    </row>
    <row r="13" spans="1:19" s="34" customFormat="1" x14ac:dyDescent="0.2">
      <c r="A13" s="34" t="s">
        <v>58</v>
      </c>
      <c r="B13" s="614" t="s">
        <v>1230</v>
      </c>
      <c r="C13" s="34" t="s">
        <v>69</v>
      </c>
      <c r="D13" s="34" t="s">
        <v>877</v>
      </c>
      <c r="E13" s="34" t="s">
        <v>457</v>
      </c>
      <c r="F13" s="34" t="s">
        <v>1</v>
      </c>
      <c r="G13" s="615">
        <v>9387.77</v>
      </c>
      <c r="H13" s="257">
        <f>IF(F13="TND",1,IF(F13="EUR",Vertical_Cash_flow!$C$16,IF(F13="USD",Vertical_Cash_flow!$F$16,0)))</f>
        <v>0.3</v>
      </c>
      <c r="I13" s="257">
        <f t="shared" si="7"/>
        <v>31292.566666666669</v>
      </c>
      <c r="J13" s="34" t="s">
        <v>252</v>
      </c>
      <c r="K13" s="616">
        <v>45307</v>
      </c>
      <c r="L13" s="424">
        <v>90</v>
      </c>
      <c r="M13" s="409">
        <v>45436</v>
      </c>
      <c r="N13" s="412">
        <f t="shared" ca="1" si="8"/>
        <v>5</v>
      </c>
      <c r="O13" s="34" t="str">
        <f>VLOOKUP(M13,Mapping!L187:M922,2,0)</f>
        <v>W21_2024</v>
      </c>
      <c r="P13" s="34" t="str">
        <f t="shared" ca="1" si="9"/>
        <v>up 30 days</v>
      </c>
    </row>
    <row r="14" spans="1:19" x14ac:dyDescent="0.2">
      <c r="A14" s="33" t="s">
        <v>58</v>
      </c>
      <c r="B14" s="425" t="s">
        <v>1231</v>
      </c>
      <c r="C14" s="33" t="s">
        <v>69</v>
      </c>
      <c r="D14" s="33" t="s">
        <v>67</v>
      </c>
      <c r="E14" s="33" t="s">
        <v>457</v>
      </c>
      <c r="F14" s="33" t="s">
        <v>1</v>
      </c>
      <c r="G14" s="426">
        <v>9330.75</v>
      </c>
      <c r="H14" s="255">
        <f>IF(F14="TND",1,IF(F14="EUR",Vertical_Cash_flow!$C$16,IF(F14="USD",Vertical_Cash_flow!$F$16,0)))</f>
        <v>0.3</v>
      </c>
      <c r="I14" s="255">
        <f t="shared" si="4"/>
        <v>31102.5</v>
      </c>
      <c r="J14" s="33" t="s">
        <v>251</v>
      </c>
      <c r="K14" s="423">
        <v>45317</v>
      </c>
      <c r="L14" s="396">
        <v>90</v>
      </c>
      <c r="M14" s="408">
        <f t="shared" si="1"/>
        <v>45407</v>
      </c>
      <c r="N14" s="411">
        <f t="shared" ca="1" si="5"/>
        <v>34</v>
      </c>
      <c r="O14" s="33" t="str">
        <f>VLOOKUP(M14,Mapping!L182:M917,2,0)</f>
        <v>W17_2024</v>
      </c>
      <c r="P14" s="33" t="str">
        <f t="shared" ca="1" si="6"/>
        <v>30-60 days</v>
      </c>
    </row>
    <row r="15" spans="1:19" x14ac:dyDescent="0.2">
      <c r="A15" s="33" t="s">
        <v>58</v>
      </c>
      <c r="B15" s="425" t="s">
        <v>1232</v>
      </c>
      <c r="C15" s="33" t="s">
        <v>69</v>
      </c>
      <c r="D15" s="33" t="s">
        <v>67</v>
      </c>
      <c r="E15" s="33" t="s">
        <v>457</v>
      </c>
      <c r="F15" s="33" t="s">
        <v>1</v>
      </c>
      <c r="G15" s="426">
        <v>9722.19</v>
      </c>
      <c r="H15" s="255">
        <f>IF(F15="TND",1,IF(F15="EUR",Vertical_Cash_flow!$C$16,IF(F15="USD",Vertical_Cash_flow!$F$16,0)))</f>
        <v>0.3</v>
      </c>
      <c r="I15" s="255">
        <f t="shared" si="4"/>
        <v>32407.300000000003</v>
      </c>
      <c r="J15" s="33" t="s">
        <v>251</v>
      </c>
      <c r="K15" s="423">
        <v>45320</v>
      </c>
      <c r="L15" s="396">
        <v>90</v>
      </c>
      <c r="M15" s="408">
        <f t="shared" si="1"/>
        <v>45410</v>
      </c>
      <c r="N15" s="411">
        <f t="shared" ca="1" si="5"/>
        <v>31</v>
      </c>
      <c r="O15" s="33" t="str">
        <f>VLOOKUP(M15,Mapping!L183:M918,2,0)</f>
        <v>W18_2024</v>
      </c>
      <c r="P15" s="33" t="str">
        <f t="shared" ca="1" si="6"/>
        <v>30-60 days</v>
      </c>
    </row>
    <row r="16" spans="1:19" x14ac:dyDescent="0.2">
      <c r="A16" s="33" t="s">
        <v>58</v>
      </c>
      <c r="B16" s="425" t="s">
        <v>1233</v>
      </c>
      <c r="C16" s="33" t="s">
        <v>69</v>
      </c>
      <c r="D16" s="33" t="s">
        <v>67</v>
      </c>
      <c r="E16" s="33" t="s">
        <v>457</v>
      </c>
      <c r="F16" s="33" t="s">
        <v>1</v>
      </c>
      <c r="G16" s="426">
        <v>9433.83</v>
      </c>
      <c r="H16" s="255">
        <f>IF(F16="TND",1,IF(F16="EUR",Vertical_Cash_flow!$C$16,IF(F16="USD",Vertical_Cash_flow!$F$16,0)))</f>
        <v>0.3</v>
      </c>
      <c r="I16" s="255">
        <f t="shared" si="4"/>
        <v>31446.100000000002</v>
      </c>
      <c r="J16" s="33" t="s">
        <v>251</v>
      </c>
      <c r="K16" s="423">
        <v>45320</v>
      </c>
      <c r="L16" s="396">
        <v>90</v>
      </c>
      <c r="M16" s="408">
        <f t="shared" si="1"/>
        <v>45410</v>
      </c>
      <c r="N16" s="411">
        <f t="shared" ca="1" si="5"/>
        <v>31</v>
      </c>
      <c r="O16" s="33" t="str">
        <f>VLOOKUP(M16,Mapping!L184:M919,2,0)</f>
        <v>W18_2024</v>
      </c>
      <c r="P16" s="33" t="str">
        <f t="shared" ca="1" si="6"/>
        <v>30-60 days</v>
      </c>
    </row>
    <row r="17" spans="1:16" x14ac:dyDescent="0.2">
      <c r="A17" s="33" t="s">
        <v>58</v>
      </c>
      <c r="B17" s="425" t="s">
        <v>1234</v>
      </c>
      <c r="C17" s="33" t="s">
        <v>69</v>
      </c>
      <c r="D17" s="33" t="s">
        <v>67</v>
      </c>
      <c r="E17" s="33" t="s">
        <v>457</v>
      </c>
      <c r="F17" s="33" t="s">
        <v>1</v>
      </c>
      <c r="G17" s="426">
        <v>14130.08</v>
      </c>
      <c r="H17" s="255">
        <f>IF(F17="TND",1,IF(F17="EUR",Vertical_Cash_flow!$C$16,IF(F17="USD",Vertical_Cash_flow!$F$16,0)))</f>
        <v>0.3</v>
      </c>
      <c r="I17" s="255">
        <f t="shared" si="4"/>
        <v>47100.26666666667</v>
      </c>
      <c r="J17" s="33" t="s">
        <v>251</v>
      </c>
      <c r="K17" s="423">
        <v>45321</v>
      </c>
      <c r="L17" s="396">
        <v>90</v>
      </c>
      <c r="M17" s="408">
        <f t="shared" si="1"/>
        <v>45411</v>
      </c>
      <c r="N17" s="411">
        <f t="shared" ca="1" si="5"/>
        <v>30</v>
      </c>
      <c r="O17" s="33" t="str">
        <f>VLOOKUP(M17,Mapping!L185:M920,2,0)</f>
        <v>W18_2024</v>
      </c>
      <c r="P17" s="33" t="str">
        <f t="shared" ca="1" si="6"/>
        <v>up 30 days</v>
      </c>
    </row>
    <row r="18" spans="1:16" x14ac:dyDescent="0.2">
      <c r="A18" s="33" t="s">
        <v>58</v>
      </c>
      <c r="B18" s="425" t="s">
        <v>1235</v>
      </c>
      <c r="C18" s="33" t="s">
        <v>69</v>
      </c>
      <c r="D18" s="33" t="s">
        <v>67</v>
      </c>
      <c r="E18" s="33" t="s">
        <v>457</v>
      </c>
      <c r="F18" s="33" t="s">
        <v>1</v>
      </c>
      <c r="G18" s="426">
        <v>17743.580000000002</v>
      </c>
      <c r="H18" s="255">
        <f>IF(F18="TND",1,IF(F18="EUR",Vertical_Cash_flow!$C$16,IF(F18="USD",Vertical_Cash_flow!$F$16,0)))</f>
        <v>0.3</v>
      </c>
      <c r="I18" s="255">
        <f t="shared" si="4"/>
        <v>59145.266666666677</v>
      </c>
      <c r="J18" s="33" t="s">
        <v>251</v>
      </c>
      <c r="K18" s="423">
        <v>45322</v>
      </c>
      <c r="L18" s="396">
        <v>90</v>
      </c>
      <c r="M18" s="408">
        <f t="shared" si="1"/>
        <v>45412</v>
      </c>
      <c r="N18" s="411">
        <f t="shared" ca="1" si="5"/>
        <v>29</v>
      </c>
      <c r="O18" s="33" t="str">
        <f>VLOOKUP(M18,Mapping!L186:M921,2,0)</f>
        <v>W18_2024</v>
      </c>
      <c r="P18" s="33" t="str">
        <f t="shared" ca="1" si="6"/>
        <v>up 30 days</v>
      </c>
    </row>
    <row r="19" spans="1:16" x14ac:dyDescent="0.2">
      <c r="A19" s="33" t="s">
        <v>58</v>
      </c>
      <c r="B19" s="425" t="s">
        <v>1466</v>
      </c>
      <c r="C19" s="33" t="s">
        <v>69</v>
      </c>
      <c r="D19" s="33" t="s">
        <v>67</v>
      </c>
      <c r="E19" s="33" t="s">
        <v>457</v>
      </c>
      <c r="F19" s="33" t="s">
        <v>1</v>
      </c>
      <c r="G19" s="426">
        <v>9655.6299999999992</v>
      </c>
      <c r="H19" s="255">
        <f>IF(F19="TND",1,IF(F19="EUR",Vertical_Cash_flow!$C$16,IF(F19="USD",Vertical_Cash_flow!$F$16,0)))</f>
        <v>0.3</v>
      </c>
      <c r="I19" s="255">
        <f t="shared" ref="I19:I26" si="10">G19/H19</f>
        <v>32185.433333333331</v>
      </c>
      <c r="J19" s="33" t="s">
        <v>251</v>
      </c>
      <c r="K19" s="423">
        <v>45341</v>
      </c>
      <c r="L19" s="396">
        <v>90</v>
      </c>
      <c r="M19" s="408">
        <f t="shared" ref="M19:M26" si="11">K19+L19</f>
        <v>45431</v>
      </c>
      <c r="N19" s="411">
        <f t="shared" ref="N19:N26" ca="1" si="12">$S$1-M19</f>
        <v>10</v>
      </c>
      <c r="O19" s="33" t="str">
        <f>VLOOKUP(M19,Mapping!L187:M922,2,0)</f>
        <v>W21_2024</v>
      </c>
      <c r="P19" s="33" t="str">
        <f t="shared" ref="P19:P26" ca="1" si="13">IF(N19="","",IF(N19&lt;0,"Not Due",IF(AND(N19&gt;=0,N19&lt;=30),"up 30 days",IF(AND(N19&gt;30,N19&lt;=60),"30-60 days",IF(AND(N19&gt;60,N19&lt;=90),"60-90 days",IF(AND(N19&gt;90,N19&lt;=120),"90-120 days",IF(AND(N19&gt;120,N19&lt;=180),"120-180 days",IF(AND(N19&gt;180,N19&lt;=360),"180-360 days",IF(N19&gt;360,"more than 360 days","ok")))))))))</f>
        <v>up 30 days</v>
      </c>
    </row>
    <row r="20" spans="1:16" s="34" customFormat="1" x14ac:dyDescent="0.2">
      <c r="A20" s="34" t="s">
        <v>58</v>
      </c>
      <c r="B20" s="614" t="s">
        <v>1231</v>
      </c>
      <c r="C20" s="34" t="s">
        <v>69</v>
      </c>
      <c r="D20" s="34" t="s">
        <v>877</v>
      </c>
      <c r="E20" s="34" t="s">
        <v>457</v>
      </c>
      <c r="F20" s="34" t="s">
        <v>1</v>
      </c>
      <c r="G20" s="615">
        <v>9330.75</v>
      </c>
      <c r="H20" s="257">
        <f>IF(F20="TND",1,IF(F20="EUR",Vertical_Cash_flow!$C$16,IF(F20="USD",Vertical_Cash_flow!$F$16,0)))</f>
        <v>0.3</v>
      </c>
      <c r="I20" s="257">
        <f t="shared" si="10"/>
        <v>31102.5</v>
      </c>
      <c r="J20" s="34" t="s">
        <v>252</v>
      </c>
      <c r="K20" s="616">
        <v>45317</v>
      </c>
      <c r="L20" s="424">
        <v>90</v>
      </c>
      <c r="M20" s="409">
        <v>45443</v>
      </c>
      <c r="N20" s="412">
        <f t="shared" ca="1" si="12"/>
        <v>-2</v>
      </c>
      <c r="O20" s="34" t="str">
        <f>VLOOKUP(M20,Mapping!L188:M923,2,0)</f>
        <v>W22_2024</v>
      </c>
      <c r="P20" s="34" t="str">
        <f t="shared" ca="1" si="13"/>
        <v>Not Due</v>
      </c>
    </row>
    <row r="21" spans="1:16" s="34" customFormat="1" x14ac:dyDescent="0.2">
      <c r="A21" s="34" t="s">
        <v>58</v>
      </c>
      <c r="B21" s="614" t="s">
        <v>1232</v>
      </c>
      <c r="C21" s="34" t="s">
        <v>69</v>
      </c>
      <c r="D21" s="34" t="s">
        <v>877</v>
      </c>
      <c r="E21" s="34" t="s">
        <v>457</v>
      </c>
      <c r="F21" s="34" t="s">
        <v>1</v>
      </c>
      <c r="G21" s="615">
        <v>9722.19</v>
      </c>
      <c r="H21" s="257">
        <f>IF(F21="TND",1,IF(F21="EUR",Vertical_Cash_flow!$C$16,IF(F21="USD",Vertical_Cash_flow!$F$16,0)))</f>
        <v>0.3</v>
      </c>
      <c r="I21" s="257">
        <f t="shared" si="10"/>
        <v>32407.300000000003</v>
      </c>
      <c r="J21" s="34" t="s">
        <v>252</v>
      </c>
      <c r="K21" s="616">
        <v>45320</v>
      </c>
      <c r="L21" s="424">
        <v>90</v>
      </c>
      <c r="M21" s="409">
        <v>45443</v>
      </c>
      <c r="N21" s="412">
        <f t="shared" ca="1" si="12"/>
        <v>-2</v>
      </c>
      <c r="O21" s="34" t="str">
        <f>VLOOKUP(M21,Mapping!L189:M924,2,0)</f>
        <v>W22_2024</v>
      </c>
      <c r="P21" s="34" t="str">
        <f t="shared" ca="1" si="13"/>
        <v>Not Due</v>
      </c>
    </row>
    <row r="22" spans="1:16" s="34" customFormat="1" x14ac:dyDescent="0.2">
      <c r="A22" s="34" t="s">
        <v>58</v>
      </c>
      <c r="B22" s="614" t="s">
        <v>1233</v>
      </c>
      <c r="C22" s="34" t="s">
        <v>69</v>
      </c>
      <c r="D22" s="34" t="s">
        <v>877</v>
      </c>
      <c r="E22" s="34" t="s">
        <v>457</v>
      </c>
      <c r="F22" s="34" t="s">
        <v>1</v>
      </c>
      <c r="G22" s="615">
        <v>9433.83</v>
      </c>
      <c r="H22" s="257">
        <f>IF(F22="TND",1,IF(F22="EUR",Vertical_Cash_flow!$C$16,IF(F22="USD",Vertical_Cash_flow!$F$16,0)))</f>
        <v>0.3</v>
      </c>
      <c r="I22" s="257">
        <f t="shared" si="10"/>
        <v>31446.100000000002</v>
      </c>
      <c r="J22" s="34" t="s">
        <v>252</v>
      </c>
      <c r="K22" s="616">
        <v>45320</v>
      </c>
      <c r="L22" s="424">
        <v>90</v>
      </c>
      <c r="M22" s="409">
        <v>45443</v>
      </c>
      <c r="N22" s="412">
        <f t="shared" ca="1" si="12"/>
        <v>-2</v>
      </c>
      <c r="O22" s="34" t="str">
        <f>VLOOKUP(M22,Mapping!L190:M925,2,0)</f>
        <v>W22_2024</v>
      </c>
      <c r="P22" s="34" t="str">
        <f t="shared" ca="1" si="13"/>
        <v>Not Due</v>
      </c>
    </row>
    <row r="23" spans="1:16" s="34" customFormat="1" x14ac:dyDescent="0.2">
      <c r="A23" s="34" t="s">
        <v>58</v>
      </c>
      <c r="B23" s="614" t="s">
        <v>1234</v>
      </c>
      <c r="C23" s="34" t="s">
        <v>69</v>
      </c>
      <c r="D23" s="34" t="s">
        <v>877</v>
      </c>
      <c r="E23" s="34" t="s">
        <v>457</v>
      </c>
      <c r="F23" s="34" t="s">
        <v>1</v>
      </c>
      <c r="G23" s="615">
        <v>14130.08</v>
      </c>
      <c r="H23" s="257">
        <f>IF(F23="TND",1,IF(F23="EUR",Vertical_Cash_flow!$C$16,IF(F23="USD",Vertical_Cash_flow!$F$16,0)))</f>
        <v>0.3</v>
      </c>
      <c r="I23" s="257">
        <f t="shared" si="10"/>
        <v>47100.26666666667</v>
      </c>
      <c r="J23" s="34" t="s">
        <v>252</v>
      </c>
      <c r="K23" s="616">
        <v>45321</v>
      </c>
      <c r="L23" s="424">
        <v>90</v>
      </c>
      <c r="M23" s="409">
        <v>45443</v>
      </c>
      <c r="N23" s="412">
        <f t="shared" ca="1" si="12"/>
        <v>-2</v>
      </c>
      <c r="O23" s="34" t="str">
        <f>VLOOKUP(M23,Mapping!L191:M926,2,0)</f>
        <v>W22_2024</v>
      </c>
      <c r="P23" s="34" t="str">
        <f t="shared" ca="1" si="13"/>
        <v>Not Due</v>
      </c>
    </row>
    <row r="24" spans="1:16" s="34" customFormat="1" x14ac:dyDescent="0.2">
      <c r="A24" s="34" t="s">
        <v>58</v>
      </c>
      <c r="B24" s="614" t="s">
        <v>1235</v>
      </c>
      <c r="C24" s="34" t="s">
        <v>69</v>
      </c>
      <c r="D24" s="34" t="s">
        <v>877</v>
      </c>
      <c r="E24" s="34" t="s">
        <v>457</v>
      </c>
      <c r="F24" s="34" t="s">
        <v>1</v>
      </c>
      <c r="G24" s="615">
        <v>17743.580000000002</v>
      </c>
      <c r="H24" s="257">
        <f>IF(F24="TND",1,IF(F24="EUR",Vertical_Cash_flow!$C$16,IF(F24="USD",Vertical_Cash_flow!$F$16,0)))</f>
        <v>0.3</v>
      </c>
      <c r="I24" s="257">
        <f t="shared" si="10"/>
        <v>59145.266666666677</v>
      </c>
      <c r="J24" s="34" t="s">
        <v>252</v>
      </c>
      <c r="K24" s="616">
        <v>45322</v>
      </c>
      <c r="L24" s="424">
        <v>90</v>
      </c>
      <c r="M24" s="409">
        <v>45443</v>
      </c>
      <c r="N24" s="412">
        <f t="shared" ca="1" si="12"/>
        <v>-2</v>
      </c>
      <c r="O24" s="34" t="str">
        <f>VLOOKUP(M24,Mapping!L192:M927,2,0)</f>
        <v>W22_2024</v>
      </c>
      <c r="P24" s="34" t="str">
        <f t="shared" ca="1" si="13"/>
        <v>Not Due</v>
      </c>
    </row>
    <row r="25" spans="1:16" s="34" customFormat="1" x14ac:dyDescent="0.2">
      <c r="A25" s="34" t="s">
        <v>58</v>
      </c>
      <c r="B25" s="614" t="s">
        <v>1466</v>
      </c>
      <c r="C25" s="34" t="s">
        <v>69</v>
      </c>
      <c r="D25" s="34" t="s">
        <v>877</v>
      </c>
      <c r="E25" s="34" t="s">
        <v>457</v>
      </c>
      <c r="F25" s="34" t="s">
        <v>1</v>
      </c>
      <c r="G25" s="615">
        <v>9655.6299999999992</v>
      </c>
      <c r="H25" s="257">
        <f>IF(F25="TND",1,IF(F25="EUR",Vertical_Cash_flow!$C$16,IF(F25="USD",Vertical_Cash_flow!$F$16,0)))</f>
        <v>0.3</v>
      </c>
      <c r="I25" s="257">
        <f t="shared" ref="I25" si="14">G25/H25</f>
        <v>32185.433333333331</v>
      </c>
      <c r="J25" s="34" t="s">
        <v>252</v>
      </c>
      <c r="K25" s="616">
        <v>45341</v>
      </c>
      <c r="L25" s="424">
        <v>90</v>
      </c>
      <c r="M25" s="409">
        <v>45443</v>
      </c>
      <c r="N25" s="412">
        <f t="shared" ref="N25" ca="1" si="15">$S$1-M25</f>
        <v>-2</v>
      </c>
      <c r="O25" s="34" t="str">
        <f>VLOOKUP(M25,Mapping!L193:M928,2,0)</f>
        <v>W22_2024</v>
      </c>
      <c r="P25" s="34" t="str">
        <f t="shared" ref="P25" ca="1" si="16">IF(N25="","",IF(N25&lt;0,"Not Due",IF(AND(N25&gt;=0,N25&lt;=30),"up 30 days",IF(AND(N25&gt;30,N25&lt;=60),"30-60 days",IF(AND(N25&gt;60,N25&lt;=90),"60-90 days",IF(AND(N25&gt;90,N25&lt;=120),"90-120 days",IF(AND(N25&gt;120,N25&lt;=180),"120-180 days",IF(AND(N25&gt;180,N25&lt;=360),"180-360 days",IF(N25&gt;360,"more than 360 days","ok")))))))))</f>
        <v>Not Due</v>
      </c>
    </row>
    <row r="26" spans="1:16" x14ac:dyDescent="0.2">
      <c r="A26" s="33" t="s">
        <v>58</v>
      </c>
      <c r="B26" s="425" t="s">
        <v>1467</v>
      </c>
      <c r="C26" s="33" t="s">
        <v>69</v>
      </c>
      <c r="D26" s="33" t="s">
        <v>67</v>
      </c>
      <c r="E26" s="33" t="s">
        <v>457</v>
      </c>
      <c r="F26" s="33" t="s">
        <v>1</v>
      </c>
      <c r="G26" s="426">
        <v>9330.75</v>
      </c>
      <c r="H26" s="255">
        <f>IF(F26="TND",1,IF(F26="EUR",Vertical_Cash_flow!$C$16,IF(F26="USD",Vertical_Cash_flow!$F$16,0)))</f>
        <v>0.3</v>
      </c>
      <c r="I26" s="255">
        <f t="shared" si="10"/>
        <v>31102.5</v>
      </c>
      <c r="J26" s="33" t="s">
        <v>251</v>
      </c>
      <c r="K26" s="423">
        <v>45342</v>
      </c>
      <c r="L26" s="396">
        <v>90</v>
      </c>
      <c r="M26" s="408">
        <f t="shared" si="11"/>
        <v>45432</v>
      </c>
      <c r="N26" s="411">
        <f t="shared" ca="1" si="12"/>
        <v>9</v>
      </c>
      <c r="O26" s="33" t="str">
        <f>VLOOKUP(M26,Mapping!L188:M923,2,0)</f>
        <v>W21_2024</v>
      </c>
      <c r="P26" s="33" t="str">
        <f t="shared" ca="1" si="13"/>
        <v>up 30 days</v>
      </c>
    </row>
    <row r="27" spans="1:16" x14ac:dyDescent="0.2">
      <c r="A27" s="33" t="s">
        <v>58</v>
      </c>
      <c r="B27" s="425" t="s">
        <v>2313</v>
      </c>
      <c r="C27" s="33" t="s">
        <v>69</v>
      </c>
      <c r="D27" s="33" t="s">
        <v>67</v>
      </c>
      <c r="E27" s="33" t="s">
        <v>457</v>
      </c>
      <c r="F27" s="33" t="s">
        <v>1</v>
      </c>
      <c r="G27" s="426">
        <v>9653.02</v>
      </c>
      <c r="H27" s="255">
        <f>IF(F27="TND",1,IF(F27="EUR",Vertical_Cash_flow!$C$16,IF(F27="USD",Vertical_Cash_flow!$F$16,0)))</f>
        <v>0.3</v>
      </c>
      <c r="I27" s="255">
        <f t="shared" ref="I27:I28" si="17">G27/H27</f>
        <v>32176.733333333337</v>
      </c>
      <c r="J27" s="33" t="s">
        <v>251</v>
      </c>
      <c r="K27" s="423">
        <v>45344</v>
      </c>
      <c r="L27" s="396">
        <v>90</v>
      </c>
      <c r="M27" s="408">
        <f t="shared" ref="M27:M28" si="18">K27+L27</f>
        <v>45434</v>
      </c>
      <c r="N27" s="411">
        <f t="shared" ref="N27:N28" ca="1" si="19">$S$1-M27</f>
        <v>7</v>
      </c>
      <c r="O27" s="33" t="str">
        <f>VLOOKUP(M27,Mapping!L189:M924,2,0)</f>
        <v>W21_2024</v>
      </c>
      <c r="P27" s="33" t="str">
        <f t="shared" ref="P27:P28" ca="1" si="20">IF(N27="","",IF(N27&lt;0,"Not Due",IF(AND(N27&gt;=0,N27&lt;=30),"up 30 days",IF(AND(N27&gt;30,N27&lt;=60),"30-60 days",IF(AND(N27&gt;60,N27&lt;=90),"60-90 days",IF(AND(N27&gt;90,N27&lt;=120),"90-120 days",IF(AND(N27&gt;120,N27&lt;=180),"120-180 days",IF(AND(N27&gt;180,N27&lt;=360),"180-360 days",IF(N27&gt;360,"more than 360 days","ok")))))))))</f>
        <v>up 30 days</v>
      </c>
    </row>
    <row r="28" spans="1:16" x14ac:dyDescent="0.2">
      <c r="A28" s="33" t="s">
        <v>58</v>
      </c>
      <c r="B28" s="425" t="s">
        <v>2314</v>
      </c>
      <c r="C28" s="33" t="s">
        <v>69</v>
      </c>
      <c r="D28" s="33" t="s">
        <v>67</v>
      </c>
      <c r="E28" s="33" t="s">
        <v>457</v>
      </c>
      <c r="F28" s="33" t="s">
        <v>1</v>
      </c>
      <c r="G28" s="426">
        <v>13562.88</v>
      </c>
      <c r="H28" s="255">
        <f>IF(F28="TND",1,IF(F28="EUR",Vertical_Cash_flow!$C$16,IF(F28="USD",Vertical_Cash_flow!$F$16,0)))</f>
        <v>0.3</v>
      </c>
      <c r="I28" s="255">
        <f t="shared" si="17"/>
        <v>45209.599999999999</v>
      </c>
      <c r="J28" s="33" t="s">
        <v>251</v>
      </c>
      <c r="K28" s="423">
        <v>45352</v>
      </c>
      <c r="L28" s="396">
        <v>90</v>
      </c>
      <c r="M28" s="408">
        <f t="shared" si="18"/>
        <v>45442</v>
      </c>
      <c r="N28" s="411">
        <f t="shared" ca="1" si="19"/>
        <v>-1</v>
      </c>
      <c r="O28" s="33" t="str">
        <f>VLOOKUP(M28,Mapping!L190:M925,2,0)</f>
        <v>W22_2024</v>
      </c>
      <c r="P28" s="33" t="str">
        <f t="shared" ca="1" si="20"/>
        <v>Not Due</v>
      </c>
    </row>
    <row r="29" spans="1:16" x14ac:dyDescent="0.2">
      <c r="A29" s="33" t="s">
        <v>58</v>
      </c>
      <c r="B29" s="425" t="s">
        <v>2985</v>
      </c>
      <c r="C29" s="33" t="s">
        <v>69</v>
      </c>
      <c r="D29" s="33" t="s">
        <v>67</v>
      </c>
      <c r="E29" s="33" t="s">
        <v>457</v>
      </c>
      <c r="F29" s="33" t="s">
        <v>1</v>
      </c>
      <c r="G29" s="426">
        <v>9258.32</v>
      </c>
      <c r="H29" s="255">
        <f>IF(F29="TND",1,IF(F29="EUR",Vertical_Cash_flow!$C$16,IF(F29="USD",Vertical_Cash_flow!$F$16,0)))</f>
        <v>0.3</v>
      </c>
      <c r="I29" s="255">
        <f t="shared" ref="I29:I39" si="21">G29/H29</f>
        <v>30861.066666666666</v>
      </c>
      <c r="J29" s="33" t="s">
        <v>251</v>
      </c>
      <c r="K29" s="423">
        <v>45353</v>
      </c>
      <c r="L29" s="396">
        <v>90</v>
      </c>
      <c r="M29" s="408">
        <f t="shared" ref="M29:M39" si="22">K29+L29</f>
        <v>45443</v>
      </c>
      <c r="N29" s="411">
        <f t="shared" ref="N29:N39" ca="1" si="23">$S$1-M29</f>
        <v>-2</v>
      </c>
      <c r="O29" s="33" t="str">
        <f>VLOOKUP(M29,Mapping!L191:M926,2,0)</f>
        <v>W22_2024</v>
      </c>
      <c r="P29" s="33" t="str">
        <f t="shared" ref="P29:P39" ca="1" si="24">IF(N29="","",IF(N29&lt;0,"Not Due",IF(AND(N29&gt;=0,N29&lt;=30),"up 30 days",IF(AND(N29&gt;30,N29&lt;=60),"30-60 days",IF(AND(N29&gt;60,N29&lt;=90),"60-90 days",IF(AND(N29&gt;90,N29&lt;=120),"90-120 days",IF(AND(N29&gt;120,N29&lt;=180),"120-180 days",IF(AND(N29&gt;180,N29&lt;=360),"180-360 days",IF(N29&gt;360,"more than 360 days","ok")))))))))</f>
        <v>Not Due</v>
      </c>
    </row>
    <row r="30" spans="1:16" x14ac:dyDescent="0.2">
      <c r="A30" s="33" t="s">
        <v>58</v>
      </c>
      <c r="B30" s="425" t="s">
        <v>2986</v>
      </c>
      <c r="C30" s="33" t="s">
        <v>69</v>
      </c>
      <c r="D30" s="33" t="s">
        <v>67</v>
      </c>
      <c r="E30" s="33" t="s">
        <v>457</v>
      </c>
      <c r="F30" s="33" t="s">
        <v>1</v>
      </c>
      <c r="G30" s="426">
        <v>13948.03</v>
      </c>
      <c r="H30" s="255">
        <f>IF(F30="TND",1,IF(F30="EUR",Vertical_Cash_flow!$C$16,IF(F30="USD",Vertical_Cash_flow!$F$16,0)))</f>
        <v>0.3</v>
      </c>
      <c r="I30" s="255">
        <f t="shared" si="21"/>
        <v>46493.433333333334</v>
      </c>
      <c r="J30" s="33" t="s">
        <v>251</v>
      </c>
      <c r="K30" s="423">
        <v>45354</v>
      </c>
      <c r="L30" s="396">
        <v>90</v>
      </c>
      <c r="M30" s="408">
        <f t="shared" si="22"/>
        <v>45444</v>
      </c>
      <c r="N30" s="411">
        <f t="shared" ca="1" si="23"/>
        <v>-3</v>
      </c>
      <c r="O30" s="33" t="str">
        <f>VLOOKUP(M30,Mapping!L192:M927,2,0)</f>
        <v>W23_2024</v>
      </c>
      <c r="P30" s="33" t="str">
        <f t="shared" ca="1" si="24"/>
        <v>Not Due</v>
      </c>
    </row>
    <row r="31" spans="1:16" x14ac:dyDescent="0.2">
      <c r="A31" s="33" t="s">
        <v>58</v>
      </c>
      <c r="B31" s="425" t="s">
        <v>2987</v>
      </c>
      <c r="C31" s="33" t="s">
        <v>69</v>
      </c>
      <c r="D31" s="33" t="s">
        <v>67</v>
      </c>
      <c r="E31" s="33" t="s">
        <v>457</v>
      </c>
      <c r="F31" s="33" t="s">
        <v>1</v>
      </c>
      <c r="G31" s="426">
        <v>8967.94</v>
      </c>
      <c r="H31" s="255">
        <f>IF(F31="TND",1,IF(F31="EUR",Vertical_Cash_flow!$C$16,IF(F31="USD",Vertical_Cash_flow!$F$16,0)))</f>
        <v>0.3</v>
      </c>
      <c r="I31" s="255">
        <f t="shared" si="21"/>
        <v>29893.133333333335</v>
      </c>
      <c r="J31" s="33" t="s">
        <v>251</v>
      </c>
      <c r="K31" s="423">
        <v>45355</v>
      </c>
      <c r="L31" s="396">
        <v>90</v>
      </c>
      <c r="M31" s="408">
        <f t="shared" si="22"/>
        <v>45445</v>
      </c>
      <c r="N31" s="411">
        <f t="shared" ca="1" si="23"/>
        <v>-4</v>
      </c>
      <c r="O31" s="33" t="str">
        <f>VLOOKUP(M31,Mapping!L193:M928,2,0)</f>
        <v>W23_2024</v>
      </c>
      <c r="P31" s="33" t="str">
        <f t="shared" ca="1" si="24"/>
        <v>Not Due</v>
      </c>
    </row>
    <row r="32" spans="1:16" s="34" customFormat="1" x14ac:dyDescent="0.2">
      <c r="A32" s="34" t="s">
        <v>58</v>
      </c>
      <c r="B32" s="614" t="s">
        <v>1467</v>
      </c>
      <c r="C32" s="34" t="s">
        <v>69</v>
      </c>
      <c r="D32" s="34" t="s">
        <v>877</v>
      </c>
      <c r="E32" s="34" t="s">
        <v>457</v>
      </c>
      <c r="F32" s="34" t="s">
        <v>1</v>
      </c>
      <c r="G32" s="615">
        <v>9330.75</v>
      </c>
      <c r="H32" s="257">
        <f>IF(F32="TND",1,IF(F32="EUR",Vertical_Cash_flow!$C$16,IF(F32="USD",Vertical_Cash_flow!$F$16,0)))</f>
        <v>0.3</v>
      </c>
      <c r="I32" s="257">
        <f t="shared" si="21"/>
        <v>31102.5</v>
      </c>
      <c r="J32" s="34" t="s">
        <v>252</v>
      </c>
      <c r="K32" s="616">
        <v>45342</v>
      </c>
      <c r="L32" s="424">
        <v>90</v>
      </c>
      <c r="M32" s="409">
        <v>45457</v>
      </c>
      <c r="N32" s="412">
        <f t="shared" ca="1" si="23"/>
        <v>-16</v>
      </c>
      <c r="O32" s="34" t="str">
        <f>VLOOKUP(M32,Mapping!L194:M929,2,0)</f>
        <v>W24_2024</v>
      </c>
      <c r="P32" s="34" t="str">
        <f t="shared" ca="1" si="24"/>
        <v>Not Due</v>
      </c>
    </row>
    <row r="33" spans="1:17" s="34" customFormat="1" x14ac:dyDescent="0.2">
      <c r="A33" s="34" t="s">
        <v>58</v>
      </c>
      <c r="B33" s="614" t="s">
        <v>2313</v>
      </c>
      <c r="C33" s="34" t="s">
        <v>69</v>
      </c>
      <c r="D33" s="34" t="s">
        <v>877</v>
      </c>
      <c r="E33" s="34" t="s">
        <v>457</v>
      </c>
      <c r="F33" s="34" t="s">
        <v>1</v>
      </c>
      <c r="G33" s="615">
        <v>9653.02</v>
      </c>
      <c r="H33" s="257">
        <f>IF(F33="TND",1,IF(F33="EUR",Vertical_Cash_flow!$C$16,IF(F33="USD",Vertical_Cash_flow!$F$16,0)))</f>
        <v>0.3</v>
      </c>
      <c r="I33" s="257">
        <f t="shared" si="21"/>
        <v>32176.733333333337</v>
      </c>
      <c r="J33" s="34" t="s">
        <v>252</v>
      </c>
      <c r="K33" s="616">
        <v>45344</v>
      </c>
      <c r="L33" s="424">
        <v>90</v>
      </c>
      <c r="M33" s="409">
        <v>45457</v>
      </c>
      <c r="N33" s="412">
        <f t="shared" ca="1" si="23"/>
        <v>-16</v>
      </c>
      <c r="O33" s="34" t="str">
        <f>VLOOKUP(M33,Mapping!L195:M930,2,0)</f>
        <v>W24_2024</v>
      </c>
      <c r="P33" s="34" t="str">
        <f t="shared" ca="1" si="24"/>
        <v>Not Due</v>
      </c>
    </row>
    <row r="34" spans="1:17" s="34" customFormat="1" x14ac:dyDescent="0.2">
      <c r="A34" s="34" t="s">
        <v>58</v>
      </c>
      <c r="B34" s="614" t="s">
        <v>2314</v>
      </c>
      <c r="C34" s="34" t="s">
        <v>69</v>
      </c>
      <c r="D34" s="34" t="s">
        <v>877</v>
      </c>
      <c r="E34" s="34" t="s">
        <v>457</v>
      </c>
      <c r="F34" s="34" t="s">
        <v>1</v>
      </c>
      <c r="G34" s="615">
        <v>13562.88</v>
      </c>
      <c r="H34" s="257">
        <f>IF(F34="TND",1,IF(F34="EUR",Vertical_Cash_flow!$C$16,IF(F34="USD",Vertical_Cash_flow!$F$16,0)))</f>
        <v>0.3</v>
      </c>
      <c r="I34" s="257">
        <f t="shared" si="21"/>
        <v>45209.599999999999</v>
      </c>
      <c r="J34" s="34" t="s">
        <v>252</v>
      </c>
      <c r="K34" s="616">
        <v>45352</v>
      </c>
      <c r="L34" s="424">
        <v>90</v>
      </c>
      <c r="M34" s="409">
        <v>45457</v>
      </c>
      <c r="N34" s="412">
        <f t="shared" ca="1" si="23"/>
        <v>-16</v>
      </c>
      <c r="O34" s="34" t="str">
        <f>VLOOKUP(M34,Mapping!L196:M931,2,0)</f>
        <v>W24_2024</v>
      </c>
      <c r="P34" s="34" t="str">
        <f t="shared" ca="1" si="24"/>
        <v>Not Due</v>
      </c>
    </row>
    <row r="35" spans="1:17" s="34" customFormat="1" x14ac:dyDescent="0.2">
      <c r="A35" s="34" t="s">
        <v>58</v>
      </c>
      <c r="B35" s="614" t="s">
        <v>2985</v>
      </c>
      <c r="C35" s="34" t="s">
        <v>69</v>
      </c>
      <c r="D35" s="34" t="s">
        <v>877</v>
      </c>
      <c r="E35" s="34" t="s">
        <v>457</v>
      </c>
      <c r="F35" s="34" t="s">
        <v>1</v>
      </c>
      <c r="G35" s="615">
        <v>9258.32</v>
      </c>
      <c r="H35" s="257">
        <f>IF(F35="TND",1,IF(F35="EUR",Vertical_Cash_flow!$C$16,IF(F35="USD",Vertical_Cash_flow!$F$16,0)))</f>
        <v>0.3</v>
      </c>
      <c r="I35" s="257">
        <f t="shared" ref="I35:I37" si="25">G35/H35</f>
        <v>30861.066666666666</v>
      </c>
      <c r="J35" s="34" t="s">
        <v>252</v>
      </c>
      <c r="K35" s="616">
        <v>45353</v>
      </c>
      <c r="L35" s="424">
        <v>90</v>
      </c>
      <c r="M35" s="409">
        <v>45457</v>
      </c>
      <c r="N35" s="412">
        <f t="shared" ref="N35:N37" ca="1" si="26">$S$1-M35</f>
        <v>-16</v>
      </c>
      <c r="O35" s="34" t="str">
        <f>VLOOKUP(M35,Mapping!L197:M932,2,0)</f>
        <v>W24_2024</v>
      </c>
      <c r="P35" s="34" t="str">
        <f t="shared" ref="P35:P37" ca="1" si="27">IF(N35="","",IF(N35&lt;0,"Not Due",IF(AND(N35&gt;=0,N35&lt;=30),"up 30 days",IF(AND(N35&gt;30,N35&lt;=60),"30-60 days",IF(AND(N35&gt;60,N35&lt;=90),"60-90 days",IF(AND(N35&gt;90,N35&lt;=120),"90-120 days",IF(AND(N35&gt;120,N35&lt;=180),"120-180 days",IF(AND(N35&gt;180,N35&lt;=360),"180-360 days",IF(N35&gt;360,"more than 360 days","ok")))))))))</f>
        <v>Not Due</v>
      </c>
    </row>
    <row r="36" spans="1:17" s="34" customFormat="1" x14ac:dyDescent="0.2">
      <c r="A36" s="34" t="s">
        <v>58</v>
      </c>
      <c r="B36" s="614" t="s">
        <v>2986</v>
      </c>
      <c r="C36" s="34" t="s">
        <v>69</v>
      </c>
      <c r="D36" s="34" t="s">
        <v>877</v>
      </c>
      <c r="E36" s="34" t="s">
        <v>457</v>
      </c>
      <c r="F36" s="34" t="s">
        <v>1</v>
      </c>
      <c r="G36" s="615">
        <v>13948.03</v>
      </c>
      <c r="H36" s="257">
        <f>IF(F36="TND",1,IF(F36="EUR",Vertical_Cash_flow!$C$16,IF(F36="USD",Vertical_Cash_flow!$F$16,0)))</f>
        <v>0.3</v>
      </c>
      <c r="I36" s="257">
        <f t="shared" si="25"/>
        <v>46493.433333333334</v>
      </c>
      <c r="J36" s="34" t="s">
        <v>252</v>
      </c>
      <c r="K36" s="616">
        <v>45354</v>
      </c>
      <c r="L36" s="424">
        <v>90</v>
      </c>
      <c r="M36" s="409">
        <v>45457</v>
      </c>
      <c r="N36" s="412">
        <f t="shared" ca="1" si="26"/>
        <v>-16</v>
      </c>
      <c r="O36" s="34" t="str">
        <f>VLOOKUP(M36,Mapping!L198:M933,2,0)</f>
        <v>W24_2024</v>
      </c>
      <c r="P36" s="34" t="str">
        <f t="shared" ca="1" si="27"/>
        <v>Not Due</v>
      </c>
    </row>
    <row r="37" spans="1:17" s="34" customFormat="1" x14ac:dyDescent="0.2">
      <c r="A37" s="34" t="s">
        <v>58</v>
      </c>
      <c r="B37" s="614" t="s">
        <v>2987</v>
      </c>
      <c r="C37" s="34" t="s">
        <v>69</v>
      </c>
      <c r="D37" s="34" t="s">
        <v>877</v>
      </c>
      <c r="E37" s="34" t="s">
        <v>457</v>
      </c>
      <c r="F37" s="34" t="s">
        <v>1</v>
      </c>
      <c r="G37" s="615">
        <v>8967.94</v>
      </c>
      <c r="H37" s="257">
        <f>IF(F37="TND",1,IF(F37="EUR",Vertical_Cash_flow!$C$16,IF(F37="USD",Vertical_Cash_flow!$F$16,0)))</f>
        <v>0.3</v>
      </c>
      <c r="I37" s="257">
        <f t="shared" si="25"/>
        <v>29893.133333333335</v>
      </c>
      <c r="J37" s="34" t="s">
        <v>252</v>
      </c>
      <c r="K37" s="616">
        <v>45355</v>
      </c>
      <c r="L37" s="424">
        <v>90</v>
      </c>
      <c r="M37" s="409">
        <v>45457</v>
      </c>
      <c r="N37" s="412">
        <f t="shared" ca="1" si="26"/>
        <v>-16</v>
      </c>
      <c r="O37" s="34" t="str">
        <f>VLOOKUP(M37,Mapping!L199:M934,2,0)</f>
        <v>W24_2024</v>
      </c>
      <c r="P37" s="34" t="str">
        <f t="shared" ca="1" si="27"/>
        <v>Not Due</v>
      </c>
    </row>
    <row r="38" spans="1:17" x14ac:dyDescent="0.2">
      <c r="A38" s="33" t="s">
        <v>58</v>
      </c>
      <c r="B38" s="425" t="s">
        <v>2988</v>
      </c>
      <c r="C38" s="33" t="s">
        <v>69</v>
      </c>
      <c r="D38" s="33" t="s">
        <v>67</v>
      </c>
      <c r="E38" s="33" t="s">
        <v>457</v>
      </c>
      <c r="F38" s="33" t="s">
        <v>1</v>
      </c>
      <c r="G38" s="426">
        <v>8869.33</v>
      </c>
      <c r="H38" s="255">
        <f>IF(F38="TND",1,IF(F38="EUR",Vertical_Cash_flow!$C$16,IF(F38="USD",Vertical_Cash_flow!$F$16,0)))</f>
        <v>0.3</v>
      </c>
      <c r="I38" s="255">
        <f t="shared" si="21"/>
        <v>29564.433333333334</v>
      </c>
      <c r="J38" s="33" t="s">
        <v>251</v>
      </c>
      <c r="K38" s="423">
        <v>45356</v>
      </c>
      <c r="L38" s="396">
        <v>90</v>
      </c>
      <c r="M38" s="408">
        <f t="shared" si="22"/>
        <v>45446</v>
      </c>
      <c r="N38" s="411">
        <f t="shared" ca="1" si="23"/>
        <v>-5</v>
      </c>
      <c r="O38" s="33" t="str">
        <f>VLOOKUP(M38,Mapping!L194:M929,2,0)</f>
        <v>W23_2024</v>
      </c>
      <c r="P38" s="33" t="str">
        <f t="shared" ca="1" si="24"/>
        <v>Not Due</v>
      </c>
    </row>
    <row r="39" spans="1:17" x14ac:dyDescent="0.2">
      <c r="A39" s="33" t="s">
        <v>58</v>
      </c>
      <c r="B39" s="425" t="s">
        <v>2989</v>
      </c>
      <c r="C39" s="33" t="s">
        <v>69</v>
      </c>
      <c r="D39" s="33" t="s">
        <v>67</v>
      </c>
      <c r="E39" s="33" t="s">
        <v>457</v>
      </c>
      <c r="F39" s="33" t="s">
        <v>1</v>
      </c>
      <c r="G39" s="426">
        <v>10661.43</v>
      </c>
      <c r="H39" s="255">
        <f>IF(F39="TND",1,IF(F39="EUR",Vertical_Cash_flow!$C$16,IF(F39="USD",Vertical_Cash_flow!$F$16,0)))</f>
        <v>0.3</v>
      </c>
      <c r="I39" s="255">
        <f t="shared" si="21"/>
        <v>35538.100000000006</v>
      </c>
      <c r="J39" s="33" t="s">
        <v>251</v>
      </c>
      <c r="K39" s="423">
        <v>45357</v>
      </c>
      <c r="L39" s="396">
        <v>90</v>
      </c>
      <c r="M39" s="408">
        <f t="shared" si="22"/>
        <v>45447</v>
      </c>
      <c r="N39" s="411">
        <f t="shared" ca="1" si="23"/>
        <v>-6</v>
      </c>
      <c r="O39" s="33" t="str">
        <f>VLOOKUP(M39,Mapping!L195:M930,2,0)</f>
        <v>W23_2024</v>
      </c>
      <c r="P39" s="33" t="str">
        <f t="shared" ca="1" si="24"/>
        <v>Not Due</v>
      </c>
    </row>
    <row r="40" spans="1:17" x14ac:dyDescent="0.2">
      <c r="A40" s="33" t="s">
        <v>58</v>
      </c>
      <c r="B40" s="425" t="s">
        <v>2990</v>
      </c>
      <c r="C40" s="33" t="s">
        <v>69</v>
      </c>
      <c r="D40" s="33" t="s">
        <v>67</v>
      </c>
      <c r="E40" s="33" t="s">
        <v>457</v>
      </c>
      <c r="F40" s="33" t="s">
        <v>1</v>
      </c>
      <c r="G40" s="426">
        <v>20972.91</v>
      </c>
      <c r="H40" s="255">
        <f>IF(F40="TND",1,IF(F40="EUR",Vertical_Cash_flow!$C$16,IF(F40="USD",Vertical_Cash_flow!$F$16,0)))</f>
        <v>0.3</v>
      </c>
      <c r="I40" s="255">
        <f t="shared" ref="I40:I42" si="28">G40/H40</f>
        <v>69909.7</v>
      </c>
      <c r="J40" s="33" t="s">
        <v>251</v>
      </c>
      <c r="K40" s="423">
        <v>45358</v>
      </c>
      <c r="L40" s="396">
        <v>90</v>
      </c>
      <c r="M40" s="408">
        <f t="shared" ref="M40" si="29">K40+L40</f>
        <v>45448</v>
      </c>
      <c r="N40" s="411">
        <f t="shared" ref="N40:N42" ca="1" si="30">$S$1-M40</f>
        <v>-7</v>
      </c>
      <c r="O40" s="33" t="str">
        <f>VLOOKUP(M40,Mapping!L196:M931,2,0)</f>
        <v>W23_2024</v>
      </c>
      <c r="P40" s="33" t="str">
        <f t="shared" ref="P40:P42" ca="1" si="31">IF(N40="","",IF(N40&lt;0,"Not Due",IF(AND(N40&gt;=0,N40&lt;=30),"up 30 days",IF(AND(N40&gt;30,N40&lt;=60),"30-60 days",IF(AND(N40&gt;60,N40&lt;=90),"60-90 days",IF(AND(N40&gt;90,N40&lt;=120),"90-120 days",IF(AND(N40&gt;120,N40&lt;=180),"120-180 days",IF(AND(N40&gt;180,N40&lt;=360),"180-360 days",IF(N40&gt;360,"more than 360 days","ok")))))))))</f>
        <v>Not Due</v>
      </c>
    </row>
    <row r="41" spans="1:17" s="34" customFormat="1" x14ac:dyDescent="0.2">
      <c r="A41" s="34" t="s">
        <v>58</v>
      </c>
      <c r="B41" s="614" t="s">
        <v>2988</v>
      </c>
      <c r="C41" s="34" t="s">
        <v>69</v>
      </c>
      <c r="D41" s="34" t="s">
        <v>877</v>
      </c>
      <c r="E41" s="34" t="s">
        <v>457</v>
      </c>
      <c r="F41" s="34" t="s">
        <v>1</v>
      </c>
      <c r="G41" s="615">
        <v>8869.33</v>
      </c>
      <c r="H41" s="257">
        <f>IF(F41="TND",1,IF(F41="EUR",Vertical_Cash_flow!$C$16,IF(F41="USD",Vertical_Cash_flow!$F$16,0)))</f>
        <v>0.3</v>
      </c>
      <c r="I41" s="257">
        <f t="shared" si="28"/>
        <v>29564.433333333334</v>
      </c>
      <c r="J41" s="34" t="s">
        <v>251</v>
      </c>
      <c r="K41" s="616">
        <v>45356</v>
      </c>
      <c r="L41" s="424">
        <v>90</v>
      </c>
      <c r="M41" s="409">
        <v>45473</v>
      </c>
      <c r="N41" s="412">
        <f t="shared" ca="1" si="30"/>
        <v>-32</v>
      </c>
      <c r="O41" s="34" t="str">
        <f>VLOOKUP(M41,Mapping!L197:M932,2,0)</f>
        <v>W27_2024</v>
      </c>
      <c r="P41" s="34" t="str">
        <f t="shared" ca="1" si="31"/>
        <v>Not Due</v>
      </c>
    </row>
    <row r="42" spans="1:17" s="34" customFormat="1" x14ac:dyDescent="0.2">
      <c r="A42" s="34" t="s">
        <v>58</v>
      </c>
      <c r="B42" s="614" t="s">
        <v>2989</v>
      </c>
      <c r="C42" s="34" t="s">
        <v>69</v>
      </c>
      <c r="D42" s="34" t="s">
        <v>877</v>
      </c>
      <c r="E42" s="34" t="s">
        <v>457</v>
      </c>
      <c r="F42" s="34" t="s">
        <v>1</v>
      </c>
      <c r="G42" s="615">
        <v>10661.43</v>
      </c>
      <c r="H42" s="257">
        <f>IF(F42="TND",1,IF(F42="EUR",Vertical_Cash_flow!$C$16,IF(F42="USD",Vertical_Cash_flow!$F$16,0)))</f>
        <v>0.3</v>
      </c>
      <c r="I42" s="257">
        <f t="shared" si="28"/>
        <v>35538.100000000006</v>
      </c>
      <c r="J42" s="34" t="s">
        <v>251</v>
      </c>
      <c r="K42" s="616">
        <v>45357</v>
      </c>
      <c r="L42" s="424">
        <v>90</v>
      </c>
      <c r="M42" s="409">
        <v>45473</v>
      </c>
      <c r="N42" s="412">
        <f t="shared" ca="1" si="30"/>
        <v>-32</v>
      </c>
      <c r="O42" s="34" t="str">
        <f>VLOOKUP(M42,Mapping!L198:M933,2,0)</f>
        <v>W27_2024</v>
      </c>
      <c r="P42" s="34" t="str">
        <f t="shared" ca="1" si="31"/>
        <v>Not Due</v>
      </c>
    </row>
    <row r="43" spans="1:17" s="34" customFormat="1" x14ac:dyDescent="0.2">
      <c r="A43" s="34" t="s">
        <v>58</v>
      </c>
      <c r="B43" s="614" t="s">
        <v>2990</v>
      </c>
      <c r="C43" s="34" t="s">
        <v>69</v>
      </c>
      <c r="D43" s="34" t="s">
        <v>877</v>
      </c>
      <c r="E43" s="34" t="s">
        <v>457</v>
      </c>
      <c r="F43" s="34" t="s">
        <v>1</v>
      </c>
      <c r="G43" s="615">
        <v>20972.91</v>
      </c>
      <c r="H43" s="257">
        <f>IF(F43="TND",1,IF(F43="EUR",Vertical_Cash_flow!$C$16,IF(F43="USD",Vertical_Cash_flow!$F$16,0)))</f>
        <v>0.3</v>
      </c>
      <c r="I43" s="257">
        <f t="shared" ref="I43" si="32">G43/H43</f>
        <v>69909.7</v>
      </c>
      <c r="J43" s="34" t="s">
        <v>251</v>
      </c>
      <c r="K43" s="616">
        <v>45358</v>
      </c>
      <c r="L43" s="424">
        <v>90</v>
      </c>
      <c r="M43" s="409">
        <v>45473</v>
      </c>
      <c r="N43" s="412">
        <f t="shared" ref="N43" ca="1" si="33">$S$1-M43</f>
        <v>-32</v>
      </c>
      <c r="O43" s="34" t="str">
        <f>VLOOKUP(M43,Mapping!L199:M934,2,0)</f>
        <v>W27_2024</v>
      </c>
      <c r="P43" s="34" t="str">
        <f t="shared" ref="P43" ca="1" si="34">IF(N43="","",IF(N43&lt;0,"Not Due",IF(AND(N43&gt;=0,N43&lt;=30),"up 30 days",IF(AND(N43&gt;30,N43&lt;=60),"30-60 days",IF(AND(N43&gt;60,N43&lt;=90),"60-90 days",IF(AND(N43&gt;90,N43&lt;=120),"90-120 days",IF(AND(N43&gt;120,N43&lt;=180),"120-180 days",IF(AND(N43&gt;180,N43&lt;=360),"180-360 days",IF(N43&gt;360,"more than 360 days","ok")))))))))</f>
        <v>Not Due</v>
      </c>
    </row>
    <row r="44" spans="1:17" x14ac:dyDescent="0.2">
      <c r="A44" s="33" t="s">
        <v>58</v>
      </c>
      <c r="B44" s="425" t="s">
        <v>2315</v>
      </c>
      <c r="C44" s="33" t="s">
        <v>69</v>
      </c>
      <c r="D44" s="33" t="s">
        <v>67</v>
      </c>
      <c r="E44" s="33" t="s">
        <v>458</v>
      </c>
      <c r="F44" s="33" t="s">
        <v>1</v>
      </c>
      <c r="G44" s="426">
        <v>37055.11</v>
      </c>
      <c r="H44" s="255">
        <f>IF(F44="TND",1,IF(F44="EUR",Vertical_Cash_flow!$C$16,IF(F44="USD",Vertical_Cash_flow!$F$16,0)))</f>
        <v>0.3</v>
      </c>
      <c r="I44" s="255">
        <f t="shared" ref="I44" si="35">G44/H44</f>
        <v>123517.03333333334</v>
      </c>
      <c r="J44" s="33" t="s">
        <v>251</v>
      </c>
      <c r="K44" s="423">
        <v>45373</v>
      </c>
      <c r="L44" s="396">
        <v>90</v>
      </c>
      <c r="M44" s="408">
        <f t="shared" ref="M44" si="36">L44+K44</f>
        <v>45463</v>
      </c>
      <c r="N44" s="411">
        <f ca="1">$S$1-M44</f>
        <v>-22</v>
      </c>
      <c r="O44" s="33" t="str">
        <f>VLOOKUP(M44,Mapping!L192:M927,2,0)</f>
        <v>W25_2024</v>
      </c>
      <c r="P44" s="33" t="str">
        <f t="shared" ref="P44" ca="1" si="37">IF(N44="","",IF(N44&lt;0,"Not Due",IF(AND(N44&gt;=0,N44&lt;=30),"up 30 days",IF(AND(N44&gt;30,N44&lt;=60),"30-60 days",IF(AND(N44&gt;60,N44&lt;=90),"60-90 days",IF(AND(N44&gt;90,N44&lt;=120),"90-120 days",IF(AND(N44&gt;120,N44&lt;=180),"120-180 days",IF(AND(N44&gt;180,N44&lt;=360),"180-360 days",IF(N44&gt;360,"more than 360 days","ok")))))))))</f>
        <v>Not Due</v>
      </c>
    </row>
    <row r="45" spans="1:17" x14ac:dyDescent="0.2">
      <c r="A45" s="33" t="s">
        <v>58</v>
      </c>
      <c r="B45" s="425" t="s">
        <v>2991</v>
      </c>
      <c r="C45" s="33" t="s">
        <v>66</v>
      </c>
      <c r="D45" s="33" t="s">
        <v>3402</v>
      </c>
      <c r="E45" s="33" t="s">
        <v>813</v>
      </c>
      <c r="F45" s="33" t="s">
        <v>1</v>
      </c>
      <c r="G45" s="617">
        <v>192789.41</v>
      </c>
      <c r="H45" s="255">
        <f>IF(F45="TND",1,IF(F45="EUR",Vertical_Cash_flow!$C$16,IF(F45="USD",Vertical_Cash_flow!$F$16,0)))</f>
        <v>0.3</v>
      </c>
      <c r="I45" s="255">
        <f t="shared" ref="I45:I47" si="38">G45/H45</f>
        <v>642631.3666666667</v>
      </c>
      <c r="J45" s="33" t="s">
        <v>251</v>
      </c>
      <c r="K45" s="423">
        <v>45383</v>
      </c>
      <c r="L45" s="396">
        <v>7</v>
      </c>
      <c r="M45" s="408">
        <v>45436</v>
      </c>
      <c r="N45" s="411">
        <f t="shared" ref="N45:N47" ca="1" si="39">$S$1-M45</f>
        <v>5</v>
      </c>
      <c r="O45" s="33" t="str">
        <f>VLOOKUP(M45,Mapping!L130:M1101,2,0)</f>
        <v>W21_2024</v>
      </c>
      <c r="P45" s="33" t="str">
        <f t="shared" ref="P45:P47" ca="1" si="40">IF(N45="","",IF(N45&lt;0,"Not Due",IF(AND(N45&gt;=0,N45&lt;=30),"up 30 days",IF(AND(N45&gt;30,N45&lt;=60),"30-60 days",IF(AND(N45&gt;60,N45&lt;=90),"60-90 days",IF(AND(N45&gt;90,N45&lt;=120),"90-120 days",IF(AND(N45&gt;120,N45&lt;=180),"120-180 days",IF(AND(N45&gt;180,N45&lt;=360),"180-360 days",IF(N45&gt;360,"more than 360 days","ok")))))))))</f>
        <v>up 30 days</v>
      </c>
      <c r="Q45" s="348"/>
    </row>
    <row r="46" spans="1:17" x14ac:dyDescent="0.2">
      <c r="A46" s="33" t="s">
        <v>58</v>
      </c>
      <c r="B46" s="425" t="s">
        <v>2991</v>
      </c>
      <c r="C46" s="33" t="s">
        <v>66</v>
      </c>
      <c r="D46" s="33" t="s">
        <v>3402</v>
      </c>
      <c r="E46" s="33" t="s">
        <v>813</v>
      </c>
      <c r="F46" s="33" t="s">
        <v>1</v>
      </c>
      <c r="G46" s="617">
        <v>196143.94</v>
      </c>
      <c r="H46" s="255">
        <f>IF(F46="TND",1,IF(F46="EUR",Vertical_Cash_flow!$C$16,IF(F46="USD",Vertical_Cash_flow!$F$16,0)))</f>
        <v>0.3</v>
      </c>
      <c r="I46" s="255">
        <f t="shared" si="38"/>
        <v>653813.13333333342</v>
      </c>
      <c r="J46" s="33" t="s">
        <v>251</v>
      </c>
      <c r="K46" s="423">
        <v>45383</v>
      </c>
      <c r="L46" s="396">
        <v>7</v>
      </c>
      <c r="M46" s="408">
        <v>45432</v>
      </c>
      <c r="N46" s="411">
        <f t="shared" ca="1" si="39"/>
        <v>9</v>
      </c>
      <c r="O46" s="33" t="str">
        <f>VLOOKUP(M46,Mapping!L131:M1102,2,0)</f>
        <v>W21_2024</v>
      </c>
      <c r="P46" s="33" t="str">
        <f t="shared" ca="1" si="40"/>
        <v>up 30 days</v>
      </c>
      <c r="Q46" s="348"/>
    </row>
    <row r="47" spans="1:17" x14ac:dyDescent="0.2">
      <c r="A47" s="33" t="s">
        <v>58</v>
      </c>
      <c r="B47" s="425" t="s">
        <v>2991</v>
      </c>
      <c r="C47" s="33" t="s">
        <v>66</v>
      </c>
      <c r="D47" s="33" t="s">
        <v>3402</v>
      </c>
      <c r="E47" s="33" t="s">
        <v>813</v>
      </c>
      <c r="F47" s="33" t="s">
        <v>1</v>
      </c>
      <c r="G47" s="617">
        <v>198737.03</v>
      </c>
      <c r="H47" s="255">
        <f>IF(F47="TND",1,IF(F47="EUR",Vertical_Cash_flow!$C$16,IF(F47="USD",Vertical_Cash_flow!$F$16,0)))</f>
        <v>0.3</v>
      </c>
      <c r="I47" s="255">
        <f t="shared" si="38"/>
        <v>662456.76666666672</v>
      </c>
      <c r="J47" s="33" t="s">
        <v>251</v>
      </c>
      <c r="K47" s="423">
        <v>45383</v>
      </c>
      <c r="L47" s="396">
        <v>7</v>
      </c>
      <c r="M47" s="408">
        <v>45444</v>
      </c>
      <c r="N47" s="411">
        <f t="shared" ca="1" si="39"/>
        <v>-3</v>
      </c>
      <c r="O47" s="33" t="str">
        <f>VLOOKUP(M47,Mapping!L132:M1103,2,0)</f>
        <v>W23_2024</v>
      </c>
      <c r="P47" s="33" t="str">
        <f t="shared" ca="1" si="40"/>
        <v>Not Due</v>
      </c>
      <c r="Q47" s="348"/>
    </row>
    <row r="48" spans="1:17" x14ac:dyDescent="0.2">
      <c r="A48" s="33" t="s">
        <v>58</v>
      </c>
      <c r="B48" s="425" t="s">
        <v>2991</v>
      </c>
      <c r="C48" s="33" t="s">
        <v>66</v>
      </c>
      <c r="D48" s="33" t="s">
        <v>3402</v>
      </c>
      <c r="E48" s="33" t="s">
        <v>813</v>
      </c>
      <c r="F48" s="33" t="s">
        <v>1</v>
      </c>
      <c r="G48" s="617">
        <v>198737.03</v>
      </c>
      <c r="H48" s="255">
        <f>IF(F48="TND",1,IF(F48="EUR",Vertical_Cash_flow!$C$16,IF(F48="USD",Vertical_Cash_flow!$F$16,0)))</f>
        <v>0.3</v>
      </c>
      <c r="I48" s="255">
        <f t="shared" ref="I48" si="41">G48/H48</f>
        <v>662456.76666666672</v>
      </c>
      <c r="J48" s="33" t="s">
        <v>251</v>
      </c>
      <c r="K48" s="423">
        <v>45383</v>
      </c>
      <c r="L48" s="396">
        <v>7</v>
      </c>
      <c r="M48" s="408">
        <v>45444</v>
      </c>
      <c r="N48" s="411">
        <f t="shared" ref="N48:N49" ca="1" si="42">$S$1-M48</f>
        <v>-3</v>
      </c>
      <c r="O48" s="33" t="str">
        <f>VLOOKUP(M48,Mapping!L133:M1104,2,0)</f>
        <v>W23_2024</v>
      </c>
      <c r="P48" s="33" t="str">
        <f t="shared" ref="P48:P49" ca="1" si="43">IF(N48="","",IF(N48&lt;0,"Not Due",IF(AND(N48&gt;=0,N48&lt;=30),"up 30 days",IF(AND(N48&gt;30,N48&lt;=60),"30-60 days",IF(AND(N48&gt;60,N48&lt;=90),"60-90 days",IF(AND(N48&gt;90,N48&lt;=120),"90-120 days",IF(AND(N48&gt;120,N48&lt;=180),"120-180 days",IF(AND(N48&gt;180,N48&lt;=360),"180-360 days",IF(N48&gt;360,"more than 360 days","ok")))))))))</f>
        <v>Not Due</v>
      </c>
      <c r="Q48" s="348"/>
    </row>
    <row r="49" spans="1:19" x14ac:dyDescent="0.2">
      <c r="A49" s="33" t="s">
        <v>58</v>
      </c>
      <c r="B49" s="425" t="s">
        <v>1013</v>
      </c>
      <c r="C49" s="33" t="s">
        <v>66</v>
      </c>
      <c r="D49" s="33" t="s">
        <v>1013</v>
      </c>
      <c r="E49" s="33" t="s">
        <v>813</v>
      </c>
      <c r="F49" s="33" t="s">
        <v>1</v>
      </c>
      <c r="G49" s="617">
        <v>249796.92</v>
      </c>
      <c r="H49" s="255">
        <f>IF(F49="TND",1,IF(F49="EUR",Vertical_Cash_flow!$C$16,IF(F49="USD",Vertical_Cash_flow!$F$16,0)))</f>
        <v>0.3</v>
      </c>
      <c r="I49" s="255">
        <f t="shared" ref="I49" si="44">G49/H49</f>
        <v>832656.4</v>
      </c>
      <c r="J49" s="33" t="s">
        <v>251</v>
      </c>
      <c r="K49" s="423">
        <v>45282</v>
      </c>
      <c r="L49" s="396">
        <v>7</v>
      </c>
      <c r="M49" s="408">
        <v>45421</v>
      </c>
      <c r="N49" s="411">
        <f t="shared" ca="1" si="42"/>
        <v>20</v>
      </c>
      <c r="O49" s="33" t="str">
        <f>VLOOKUP(M49,Mapping!L134:M1105,2,0)</f>
        <v>W19_2024</v>
      </c>
      <c r="P49" s="33" t="str">
        <f t="shared" ca="1" si="43"/>
        <v>up 30 days</v>
      </c>
      <c r="Q49" s="348"/>
    </row>
    <row r="50" spans="1:19" x14ac:dyDescent="0.2">
      <c r="A50" s="33" t="s">
        <v>58</v>
      </c>
      <c r="B50" s="618" t="s">
        <v>2316</v>
      </c>
      <c r="C50" s="33" t="s">
        <v>69</v>
      </c>
      <c r="D50" s="33" t="s">
        <v>67</v>
      </c>
      <c r="E50" s="33" t="s">
        <v>458</v>
      </c>
      <c r="F50" s="33" t="s">
        <v>1</v>
      </c>
      <c r="G50" s="619">
        <v>3131.9</v>
      </c>
      <c r="H50" s="255">
        <f>IF(F50="TND",1,IF(F50="EUR",Vertical_Cash_flow!$C$16,IF(F50="USD",Vertical_Cash_flow!$F$16,0)))</f>
        <v>0.3</v>
      </c>
      <c r="I50" s="255">
        <f t="shared" ref="I50" si="45">G50/H50</f>
        <v>10439.666666666668</v>
      </c>
      <c r="J50" s="33" t="s">
        <v>251</v>
      </c>
      <c r="K50" s="620">
        <v>45357</v>
      </c>
      <c r="L50" s="396">
        <v>60</v>
      </c>
      <c r="M50" s="408">
        <f t="shared" ref="M50" si="46">K50+L50</f>
        <v>45417</v>
      </c>
      <c r="N50" s="411">
        <f t="shared" ref="N50:N51" ca="1" si="47">$S$1-M50</f>
        <v>24</v>
      </c>
      <c r="O50" s="33" t="str">
        <f>VLOOKUP(M50,Mapping!L133:M1104,2,0)</f>
        <v>W19_2024</v>
      </c>
      <c r="P50" s="33" t="str">
        <f t="shared" ref="P50:P51" ca="1" si="48">IF(N50="","",IF(N50&lt;0,"Not Due",IF(AND(N50&gt;=0,N50&lt;=30),"up 30 days",IF(AND(N50&gt;30,N50&lt;=60),"30-60 days",IF(AND(N50&gt;60,N50&lt;=90),"60-90 days",IF(AND(N50&gt;90,N50&lt;=120),"90-120 days",IF(AND(N50&gt;120,N50&lt;=180),"120-180 days",IF(AND(N50&gt;180,N50&lt;=360),"180-360 days",IF(N50&gt;360,"more than 360 days","ok")))))))))</f>
        <v>up 30 days</v>
      </c>
    </row>
    <row r="51" spans="1:19" x14ac:dyDescent="0.2">
      <c r="A51" s="33" t="s">
        <v>58</v>
      </c>
      <c r="B51" s="618" t="s">
        <v>1236</v>
      </c>
      <c r="C51" s="33" t="s">
        <v>69</v>
      </c>
      <c r="D51" s="33" t="s">
        <v>67</v>
      </c>
      <c r="E51" s="33" t="s">
        <v>457</v>
      </c>
      <c r="F51" s="33" t="s">
        <v>1</v>
      </c>
      <c r="G51" s="619">
        <v>15468.9</v>
      </c>
      <c r="H51" s="255">
        <f>IF(F51="TND",1,IF(F51="EUR",Vertical_Cash_flow!$C$16,IF(F51="USD",Vertical_Cash_flow!$F$16,0)))</f>
        <v>0.3</v>
      </c>
      <c r="I51" s="255">
        <f t="shared" ref="I51" si="49">G51/H51</f>
        <v>51563</v>
      </c>
      <c r="J51" s="33" t="s">
        <v>251</v>
      </c>
      <c r="K51" s="620">
        <v>45271</v>
      </c>
      <c r="L51" s="396">
        <v>90</v>
      </c>
      <c r="M51" s="408">
        <v>45422</v>
      </c>
      <c r="N51" s="411">
        <f t="shared" ca="1" si="47"/>
        <v>19</v>
      </c>
      <c r="O51" s="33" t="str">
        <f>VLOOKUP(M51,Mapping!L134:M869,2,0)</f>
        <v>W19_2024</v>
      </c>
      <c r="P51" s="33" t="str">
        <f t="shared" ca="1" si="48"/>
        <v>up 30 days</v>
      </c>
    </row>
    <row r="52" spans="1:19" x14ac:dyDescent="0.2">
      <c r="A52" s="33" t="s">
        <v>58</v>
      </c>
      <c r="B52" s="618" t="s">
        <v>1236</v>
      </c>
      <c r="C52" s="33" t="s">
        <v>69</v>
      </c>
      <c r="D52" s="33" t="s">
        <v>67</v>
      </c>
      <c r="E52" s="33" t="s">
        <v>457</v>
      </c>
      <c r="F52" s="33" t="s">
        <v>1</v>
      </c>
      <c r="G52" s="619">
        <v>7248.15</v>
      </c>
      <c r="H52" s="255">
        <f>IF(F52="TND",1,IF(F52="EUR",Vertical_Cash_flow!$C$16,IF(F52="USD",Vertical_Cash_flow!$F$16,0)))</f>
        <v>0.3</v>
      </c>
      <c r="I52" s="255">
        <f t="shared" ref="I52" si="50">G52/H52</f>
        <v>24160.5</v>
      </c>
      <c r="J52" s="33" t="s">
        <v>251</v>
      </c>
      <c r="K52" s="620">
        <v>45341</v>
      </c>
      <c r="L52" s="396">
        <v>90</v>
      </c>
      <c r="M52" s="408">
        <v>45422</v>
      </c>
      <c r="N52" s="411">
        <f t="shared" ref="N52:N53" ca="1" si="51">$S$1-M52</f>
        <v>19</v>
      </c>
      <c r="O52" s="33" t="str">
        <f>VLOOKUP(M52,Mapping!L135:M1009,2,0)</f>
        <v>W19_2024</v>
      </c>
      <c r="P52" s="33" t="str">
        <f t="shared" ref="P52:P53" ca="1" si="52">IF(N52="","",IF(N52&lt;0,"Not Due",IF(AND(N52&gt;=0,N52&lt;=30),"up 30 days",IF(AND(N52&gt;30,N52&lt;=60),"30-60 days",IF(AND(N52&gt;60,N52&lt;=90),"60-90 days",IF(AND(N52&gt;90,N52&lt;=120),"90-120 days",IF(AND(N52&gt;120,N52&lt;=180),"120-180 days",IF(AND(N52&gt;180,N52&lt;=360),"180-360 days",IF(N52&gt;360,"more than 360 days","ok")))))))))</f>
        <v>up 30 days</v>
      </c>
    </row>
    <row r="53" spans="1:19" x14ac:dyDescent="0.2">
      <c r="A53" s="33" t="s">
        <v>58</v>
      </c>
      <c r="B53" s="618" t="s">
        <v>1468</v>
      </c>
      <c r="C53" s="33" t="s">
        <v>69</v>
      </c>
      <c r="D53" s="33" t="s">
        <v>67</v>
      </c>
      <c r="E53" s="33" t="s">
        <v>457</v>
      </c>
      <c r="F53" s="33" t="s">
        <v>1</v>
      </c>
      <c r="G53" s="410">
        <v>7628.4</v>
      </c>
      <c r="H53" s="255">
        <f>IF(F53="TND",1,IF(F53="EUR",Vertical_Cash_flow!$C$16,IF(F53="USD",Vertical_Cash_flow!$F$16,0)))</f>
        <v>0.3</v>
      </c>
      <c r="I53" s="255">
        <f t="shared" ref="I53" si="53">G53/H53</f>
        <v>25428</v>
      </c>
      <c r="J53" s="33" t="s">
        <v>251</v>
      </c>
      <c r="K53" s="620">
        <v>45341</v>
      </c>
      <c r="L53" s="396">
        <v>90</v>
      </c>
      <c r="M53" s="408">
        <v>45422</v>
      </c>
      <c r="N53" s="411">
        <f t="shared" ca="1" si="51"/>
        <v>19</v>
      </c>
      <c r="O53" s="33" t="str">
        <f>VLOOKUP(M53,Mapping!L136:M1010,2,0)</f>
        <v>W19_2024</v>
      </c>
      <c r="P53" s="33" t="str">
        <f t="shared" ca="1" si="52"/>
        <v>up 30 days</v>
      </c>
    </row>
    <row r="54" spans="1:19" x14ac:dyDescent="0.2">
      <c r="A54" s="34" t="s">
        <v>58</v>
      </c>
      <c r="B54" s="34" t="s">
        <v>681</v>
      </c>
      <c r="C54" s="34" t="s">
        <v>66</v>
      </c>
      <c r="D54" s="621" t="s">
        <v>55</v>
      </c>
      <c r="E54" s="34" t="s">
        <v>2992</v>
      </c>
      <c r="F54" s="34" t="s">
        <v>35</v>
      </c>
      <c r="G54" s="427">
        <f t="shared" ref="G54:G61" si="54">50000*6.1*1.19*0.99</f>
        <v>359320.5</v>
      </c>
      <c r="H54" s="257">
        <f>IF(F54="TND",1,IF(F54="EUR",Vertical_Cash_flow!$C$16,IF(F54="USD",Vertical_Cash_flow!$F$16,0)))</f>
        <v>1</v>
      </c>
      <c r="I54" s="257">
        <f t="shared" ref="I54:I61" si="55">G54/H54</f>
        <v>359320.5</v>
      </c>
      <c r="J54" s="34" t="s">
        <v>252</v>
      </c>
      <c r="K54" s="622">
        <v>45432</v>
      </c>
      <c r="L54" s="424">
        <v>0</v>
      </c>
      <c r="M54" s="622">
        <v>45436</v>
      </c>
      <c r="N54" s="412">
        <f t="shared" ref="N54:N61" ca="1" si="56">$S$1-M54</f>
        <v>5</v>
      </c>
      <c r="O54" s="34" t="str">
        <f>VLOOKUP(M54,Mapping!L142:M1016,2,0)</f>
        <v>W21_2024</v>
      </c>
      <c r="P54" s="34" t="str">
        <f t="shared" ref="P54:P61" ca="1" si="57">IF(N54="","",IF(N54&lt;0,"Not Due",IF(AND(N54&gt;=0,N54&lt;=30),"up 30 days",IF(AND(N54&gt;30,N54&lt;=60),"30-60 days",IF(AND(N54&gt;60,N54&lt;=90),"60-90 days",IF(AND(N54&gt;90,N54&lt;=120),"90-120 days",IF(AND(N54&gt;120,N54&lt;=180),"120-180 days",IF(AND(N54&gt;180,N54&lt;=360),"180-360 days",IF(N54&gt;360,"more than 360 days","ok")))))))))</f>
        <v>up 30 days</v>
      </c>
      <c r="Q54" s="34"/>
      <c r="R54" s="34"/>
      <c r="S54" s="34"/>
    </row>
    <row r="55" spans="1:19" x14ac:dyDescent="0.2">
      <c r="A55" s="34" t="s">
        <v>58</v>
      </c>
      <c r="B55" s="34" t="s">
        <v>681</v>
      </c>
      <c r="C55" s="34" t="s">
        <v>66</v>
      </c>
      <c r="D55" s="621" t="s">
        <v>55</v>
      </c>
      <c r="E55" s="34" t="s">
        <v>2992</v>
      </c>
      <c r="F55" s="34" t="s">
        <v>35</v>
      </c>
      <c r="G55" s="427">
        <f t="shared" si="54"/>
        <v>359320.5</v>
      </c>
      <c r="H55" s="257">
        <f>IF(F55="TND",1,IF(F55="EUR",Vertical_Cash_flow!$C$16,IF(F55="USD",Vertical_Cash_flow!$F$16,0)))</f>
        <v>1</v>
      </c>
      <c r="I55" s="257">
        <f t="shared" si="55"/>
        <v>359320.5</v>
      </c>
      <c r="J55" s="34" t="s">
        <v>252</v>
      </c>
      <c r="K55" s="622">
        <v>45439</v>
      </c>
      <c r="L55" s="424">
        <v>0</v>
      </c>
      <c r="M55" s="622">
        <v>45443</v>
      </c>
      <c r="N55" s="412">
        <f t="shared" ca="1" si="56"/>
        <v>-2</v>
      </c>
      <c r="O55" s="34" t="str">
        <f>VLOOKUP(M55,Mapping!L145:M1019,2,0)</f>
        <v>W22_2024</v>
      </c>
      <c r="P55" s="34" t="str">
        <f t="shared" ca="1" si="57"/>
        <v>Not Due</v>
      </c>
      <c r="Q55" s="34"/>
      <c r="R55" s="34"/>
      <c r="S55" s="34"/>
    </row>
    <row r="56" spans="1:19" x14ac:dyDescent="0.2">
      <c r="A56" s="34" t="s">
        <v>58</v>
      </c>
      <c r="B56" s="34" t="s">
        <v>681</v>
      </c>
      <c r="C56" s="34" t="s">
        <v>66</v>
      </c>
      <c r="D56" s="621" t="s">
        <v>55</v>
      </c>
      <c r="E56" s="34" t="s">
        <v>2992</v>
      </c>
      <c r="F56" s="34" t="s">
        <v>35</v>
      </c>
      <c r="G56" s="427">
        <f t="shared" si="54"/>
        <v>359320.5</v>
      </c>
      <c r="H56" s="257">
        <f>IF(F56="TND",1,IF(F56="EUR",Vertical_Cash_flow!$C$16,IF(F56="USD",Vertical_Cash_flow!$F$16,0)))</f>
        <v>1</v>
      </c>
      <c r="I56" s="257">
        <f t="shared" si="55"/>
        <v>359320.5</v>
      </c>
      <c r="J56" s="34" t="s">
        <v>252</v>
      </c>
      <c r="K56" s="622">
        <v>45446</v>
      </c>
      <c r="L56" s="424">
        <v>0</v>
      </c>
      <c r="M56" s="622">
        <v>45450</v>
      </c>
      <c r="N56" s="412">
        <f t="shared" ca="1" si="56"/>
        <v>-9</v>
      </c>
      <c r="O56" s="34" t="str">
        <f>VLOOKUP(M56,Mapping!L148:M1022,2,0)</f>
        <v>W23_2024</v>
      </c>
      <c r="P56" s="34" t="str">
        <f t="shared" ca="1" si="57"/>
        <v>Not Due</v>
      </c>
      <c r="Q56" s="34"/>
      <c r="R56" s="34"/>
      <c r="S56" s="34"/>
    </row>
    <row r="57" spans="1:19" x14ac:dyDescent="0.2">
      <c r="A57" s="34" t="s">
        <v>58</v>
      </c>
      <c r="B57" s="34" t="s">
        <v>681</v>
      </c>
      <c r="C57" s="34" t="s">
        <v>66</v>
      </c>
      <c r="D57" s="621" t="s">
        <v>55</v>
      </c>
      <c r="E57" s="34" t="s">
        <v>2992</v>
      </c>
      <c r="F57" s="34" t="s">
        <v>35</v>
      </c>
      <c r="G57" s="427">
        <f t="shared" si="54"/>
        <v>359320.5</v>
      </c>
      <c r="H57" s="257">
        <f>IF(F57="TND",1,IF(F57="EUR",Vertical_Cash_flow!$C$16,IF(F57="USD",Vertical_Cash_flow!$F$16,0)))</f>
        <v>1</v>
      </c>
      <c r="I57" s="257">
        <f t="shared" si="55"/>
        <v>359320.5</v>
      </c>
      <c r="J57" s="34" t="s">
        <v>252</v>
      </c>
      <c r="K57" s="622">
        <v>45453</v>
      </c>
      <c r="L57" s="424">
        <v>0</v>
      </c>
      <c r="M57" s="622">
        <v>45457</v>
      </c>
      <c r="N57" s="412">
        <f t="shared" ca="1" si="56"/>
        <v>-16</v>
      </c>
      <c r="O57" s="34" t="str">
        <f>VLOOKUP(M57,Mapping!L151:M1025,2,0)</f>
        <v>W24_2024</v>
      </c>
      <c r="P57" s="34" t="str">
        <f t="shared" ca="1" si="57"/>
        <v>Not Due</v>
      </c>
      <c r="Q57" s="34"/>
      <c r="R57" s="34"/>
      <c r="S57" s="34"/>
    </row>
    <row r="58" spans="1:19" x14ac:dyDescent="0.2">
      <c r="A58" s="34" t="s">
        <v>58</v>
      </c>
      <c r="B58" s="34" t="s">
        <v>681</v>
      </c>
      <c r="C58" s="34" t="s">
        <v>66</v>
      </c>
      <c r="D58" s="621" t="s">
        <v>55</v>
      </c>
      <c r="E58" s="34" t="s">
        <v>2992</v>
      </c>
      <c r="F58" s="34" t="s">
        <v>35</v>
      </c>
      <c r="G58" s="427">
        <f t="shared" si="54"/>
        <v>359320.5</v>
      </c>
      <c r="H58" s="257">
        <f>IF(F58="TND",1,IF(F58="EUR",Vertical_Cash_flow!$C$16,IF(F58="USD",Vertical_Cash_flow!$F$16,0)))</f>
        <v>1</v>
      </c>
      <c r="I58" s="257">
        <f t="shared" si="55"/>
        <v>359320.5</v>
      </c>
      <c r="J58" s="34" t="s">
        <v>252</v>
      </c>
      <c r="K58" s="622">
        <v>45460</v>
      </c>
      <c r="L58" s="424">
        <v>0</v>
      </c>
      <c r="M58" s="622">
        <v>45464</v>
      </c>
      <c r="N58" s="412">
        <f t="shared" ca="1" si="56"/>
        <v>-23</v>
      </c>
      <c r="O58" s="34" t="str">
        <f>VLOOKUP(M58,Mapping!L154:M1028,2,0)</f>
        <v>W25_2024</v>
      </c>
      <c r="P58" s="34" t="str">
        <f t="shared" ca="1" si="57"/>
        <v>Not Due</v>
      </c>
      <c r="Q58" s="34"/>
      <c r="R58" s="34"/>
      <c r="S58" s="34"/>
    </row>
    <row r="59" spans="1:19" x14ac:dyDescent="0.2">
      <c r="A59" s="34" t="s">
        <v>58</v>
      </c>
      <c r="B59" s="34" t="s">
        <v>681</v>
      </c>
      <c r="C59" s="34" t="s">
        <v>66</v>
      </c>
      <c r="D59" s="621" t="s">
        <v>55</v>
      </c>
      <c r="E59" s="34" t="s">
        <v>2992</v>
      </c>
      <c r="F59" s="34" t="s">
        <v>35</v>
      </c>
      <c r="G59" s="427">
        <f t="shared" si="54"/>
        <v>359320.5</v>
      </c>
      <c r="H59" s="257">
        <f>IF(F59="TND",1,IF(F59="EUR",Vertical_Cash_flow!$C$16,IF(F59="USD",Vertical_Cash_flow!$F$16,0)))</f>
        <v>1</v>
      </c>
      <c r="I59" s="257">
        <f t="shared" si="55"/>
        <v>359320.5</v>
      </c>
      <c r="J59" s="34" t="s">
        <v>252</v>
      </c>
      <c r="K59" s="622">
        <v>45467</v>
      </c>
      <c r="L59" s="424">
        <v>0</v>
      </c>
      <c r="M59" s="622">
        <v>45471</v>
      </c>
      <c r="N59" s="412">
        <f t="shared" ca="1" si="56"/>
        <v>-30</v>
      </c>
      <c r="O59" s="34" t="str">
        <f>VLOOKUP(M59,Mapping!L155:M1029,2,0)</f>
        <v>W26_2024</v>
      </c>
      <c r="P59" s="34" t="str">
        <f t="shared" ca="1" si="57"/>
        <v>Not Due</v>
      </c>
      <c r="Q59" s="34"/>
      <c r="R59" s="34"/>
      <c r="S59" s="34"/>
    </row>
    <row r="60" spans="1:19" x14ac:dyDescent="0.2">
      <c r="A60" s="34" t="s">
        <v>58</v>
      </c>
      <c r="B60" s="34" t="s">
        <v>681</v>
      </c>
      <c r="C60" s="34" t="s">
        <v>66</v>
      </c>
      <c r="D60" s="621" t="s">
        <v>55</v>
      </c>
      <c r="E60" s="34" t="s">
        <v>2992</v>
      </c>
      <c r="F60" s="34" t="s">
        <v>35</v>
      </c>
      <c r="G60" s="427">
        <f t="shared" si="54"/>
        <v>359320.5</v>
      </c>
      <c r="H60" s="257">
        <f>IF(F60="TND",1,IF(F60="EUR",Vertical_Cash_flow!$C$16,IF(F60="USD",Vertical_Cash_flow!$F$16,0)))</f>
        <v>1</v>
      </c>
      <c r="I60" s="257">
        <f t="shared" ref="I60" si="58">G60/H60</f>
        <v>359320.5</v>
      </c>
      <c r="J60" s="34" t="s">
        <v>252</v>
      </c>
      <c r="K60" s="622">
        <v>45474</v>
      </c>
      <c r="L60" s="424">
        <v>0</v>
      </c>
      <c r="M60" s="622">
        <v>45478</v>
      </c>
      <c r="N60" s="412">
        <f t="shared" ref="N60" ca="1" si="59">$S$1-M60</f>
        <v>-37</v>
      </c>
      <c r="O60" s="34" t="str">
        <f>VLOOKUP(M60,Mapping!L156:M1030,2,0)</f>
        <v>W27_2024</v>
      </c>
      <c r="P60" s="34" t="str">
        <f t="shared" ref="P60" ca="1" si="60">IF(N60="","",IF(N60&lt;0,"Not Due",IF(AND(N60&gt;=0,N60&lt;=30),"up 30 days",IF(AND(N60&gt;30,N60&lt;=60),"30-60 days",IF(AND(N60&gt;60,N60&lt;=90),"60-90 days",IF(AND(N60&gt;90,N60&lt;=120),"90-120 days",IF(AND(N60&gt;120,N60&lt;=180),"120-180 days",IF(AND(N60&gt;180,N60&lt;=360),"180-360 days",IF(N60&gt;360,"more than 360 days","ok")))))))))</f>
        <v>Not Due</v>
      </c>
      <c r="Q60" s="34"/>
      <c r="R60" s="34"/>
      <c r="S60" s="34"/>
    </row>
    <row r="61" spans="1:19" x14ac:dyDescent="0.2">
      <c r="A61" s="34" t="s">
        <v>58</v>
      </c>
      <c r="B61" s="34" t="s">
        <v>681</v>
      </c>
      <c r="C61" s="34" t="s">
        <v>66</v>
      </c>
      <c r="D61" s="621" t="s">
        <v>55</v>
      </c>
      <c r="E61" s="34" t="s">
        <v>2992</v>
      </c>
      <c r="F61" s="34" t="s">
        <v>35</v>
      </c>
      <c r="G61" s="427">
        <f t="shared" si="54"/>
        <v>359320.5</v>
      </c>
      <c r="H61" s="257">
        <f>IF(F61="TND",1,IF(F61="EUR",Vertical_Cash_flow!$C$16,IF(F61="USD",Vertical_Cash_flow!$F$16,0)))</f>
        <v>1</v>
      </c>
      <c r="I61" s="257">
        <f t="shared" si="55"/>
        <v>359320.5</v>
      </c>
      <c r="J61" s="34" t="s">
        <v>252</v>
      </c>
      <c r="K61" s="622">
        <v>45481</v>
      </c>
      <c r="L61" s="424">
        <v>0</v>
      </c>
      <c r="M61" s="622">
        <v>45485</v>
      </c>
      <c r="N61" s="412">
        <f t="shared" ca="1" si="56"/>
        <v>-44</v>
      </c>
      <c r="O61" s="34" t="str">
        <f>VLOOKUP(M61,Mapping!L157:M1031,2,0)</f>
        <v>W28_2024</v>
      </c>
      <c r="P61" s="34" t="str">
        <f t="shared" ca="1" si="57"/>
        <v>Not Due</v>
      </c>
      <c r="Q61" s="34"/>
      <c r="R61" s="34"/>
      <c r="S61" s="34"/>
    </row>
    <row r="62" spans="1:19" ht="12" customHeight="1" x14ac:dyDescent="0.2">
      <c r="A62" s="34" t="s">
        <v>58</v>
      </c>
      <c r="B62" s="34" t="s">
        <v>681</v>
      </c>
      <c r="C62" s="34" t="s">
        <v>66</v>
      </c>
      <c r="D62" s="34" t="s">
        <v>3399</v>
      </c>
      <c r="E62" s="34" t="s">
        <v>682</v>
      </c>
      <c r="F62" s="34" t="s">
        <v>35</v>
      </c>
      <c r="G62" s="427">
        <f>30000*2.2*1.19*0.99</f>
        <v>77754.600000000006</v>
      </c>
      <c r="H62" s="257">
        <f>IF(F62="TND",1,IF(F62="EUR",Vertical_Cash_flow!$C$16,IF(F62="USD",Vertical_Cash_flow!$F$16,0)))</f>
        <v>1</v>
      </c>
      <c r="I62" s="257">
        <f t="shared" ref="I62:I93" si="61">G62/H62</f>
        <v>77754.600000000006</v>
      </c>
      <c r="J62" s="34" t="s">
        <v>252</v>
      </c>
      <c r="K62" s="622">
        <v>45432</v>
      </c>
      <c r="L62" s="424">
        <f t="shared" ref="L62:L93" si="62">M62-K62</f>
        <v>4</v>
      </c>
      <c r="M62" s="622">
        <v>45436</v>
      </c>
      <c r="N62" s="412">
        <f t="shared" ref="N62:N93" ca="1" si="63">$S$1-M62</f>
        <v>5</v>
      </c>
      <c r="O62" s="34" t="str">
        <f>VLOOKUP(M62,Mapping!L138:M1012,2,0)</f>
        <v>W21_2024</v>
      </c>
      <c r="P62" s="34" t="str">
        <f t="shared" ref="P62:P93" ca="1" si="64">IF(N62="","",IF(N62&lt;0,"Not Due",IF(AND(N62&gt;=0,N62&lt;=30),"up 30 days",IF(AND(N62&gt;30,N62&lt;=60),"30-60 days",IF(AND(N62&gt;60,N62&lt;=90),"60-90 days",IF(AND(N62&gt;90,N62&lt;=120),"90-120 days",IF(AND(N62&gt;120,N62&lt;=180),"120-180 days",IF(AND(N62&gt;180,N62&lt;=360),"180-360 days",IF(N62&gt;360,"more than 360 days","ok")))))))))</f>
        <v>up 30 days</v>
      </c>
      <c r="Q62" s="34"/>
      <c r="R62" s="34"/>
      <c r="S62" s="34"/>
    </row>
    <row r="63" spans="1:19" x14ac:dyDescent="0.2">
      <c r="A63" s="34" t="s">
        <v>58</v>
      </c>
      <c r="B63" s="34" t="s">
        <v>681</v>
      </c>
      <c r="C63" s="34" t="s">
        <v>66</v>
      </c>
      <c r="D63" s="34" t="s">
        <v>3399</v>
      </c>
      <c r="E63" s="34" t="s">
        <v>682</v>
      </c>
      <c r="F63" s="34" t="s">
        <v>35</v>
      </c>
      <c r="G63" s="427">
        <f t="shared" ref="G63:G69" si="65">30000*2.2*1.19*0.99</f>
        <v>77754.600000000006</v>
      </c>
      <c r="H63" s="257">
        <f>IF(F63="TND",1,IF(F63="EUR",Vertical_Cash_flow!$C$16,IF(F63="USD",Vertical_Cash_flow!$F$16,0)))</f>
        <v>1</v>
      </c>
      <c r="I63" s="257">
        <f t="shared" si="61"/>
        <v>77754.600000000006</v>
      </c>
      <c r="J63" s="34" t="s">
        <v>252</v>
      </c>
      <c r="K63" s="622">
        <v>45439</v>
      </c>
      <c r="L63" s="424">
        <f t="shared" si="62"/>
        <v>4</v>
      </c>
      <c r="M63" s="622">
        <v>45443</v>
      </c>
      <c r="N63" s="412">
        <f t="shared" ca="1" si="63"/>
        <v>-2</v>
      </c>
      <c r="O63" s="34" t="str">
        <f>VLOOKUP(M63,Mapping!L142:M1016,2,0)</f>
        <v>W22_2024</v>
      </c>
      <c r="P63" s="34" t="str">
        <f t="shared" ca="1" si="64"/>
        <v>Not Due</v>
      </c>
      <c r="Q63" s="34"/>
      <c r="R63" s="34"/>
      <c r="S63" s="34"/>
    </row>
    <row r="64" spans="1:19" ht="12" customHeight="1" x14ac:dyDescent="0.2">
      <c r="A64" s="34" t="s">
        <v>58</v>
      </c>
      <c r="B64" s="34" t="s">
        <v>681</v>
      </c>
      <c r="C64" s="34" t="s">
        <v>66</v>
      </c>
      <c r="D64" s="34" t="s">
        <v>3399</v>
      </c>
      <c r="E64" s="34" t="s">
        <v>682</v>
      </c>
      <c r="F64" s="34" t="s">
        <v>35</v>
      </c>
      <c r="G64" s="427">
        <f t="shared" si="65"/>
        <v>77754.600000000006</v>
      </c>
      <c r="H64" s="257">
        <f>IF(F64="TND",1,IF(F64="EUR",Vertical_Cash_flow!$C$16,IF(F64="USD",Vertical_Cash_flow!$F$16,0)))</f>
        <v>1</v>
      </c>
      <c r="I64" s="257">
        <f t="shared" si="61"/>
        <v>77754.600000000006</v>
      </c>
      <c r="J64" s="34" t="s">
        <v>252</v>
      </c>
      <c r="K64" s="622">
        <v>45446</v>
      </c>
      <c r="L64" s="424">
        <f t="shared" si="62"/>
        <v>4</v>
      </c>
      <c r="M64" s="622">
        <v>45450</v>
      </c>
      <c r="N64" s="412">
        <f t="shared" ca="1" si="63"/>
        <v>-9</v>
      </c>
      <c r="O64" s="34" t="str">
        <f>VLOOKUP(M64,Mapping!L138:M1012,2,0)</f>
        <v>W23_2024</v>
      </c>
      <c r="P64" s="34" t="str">
        <f t="shared" ca="1" si="64"/>
        <v>Not Due</v>
      </c>
      <c r="Q64" s="34"/>
      <c r="R64" s="34"/>
      <c r="S64" s="34"/>
    </row>
    <row r="65" spans="1:19" x14ac:dyDescent="0.2">
      <c r="A65" s="34" t="s">
        <v>58</v>
      </c>
      <c r="B65" s="34" t="s">
        <v>681</v>
      </c>
      <c r="C65" s="34" t="s">
        <v>66</v>
      </c>
      <c r="D65" s="34" t="s">
        <v>3399</v>
      </c>
      <c r="E65" s="34" t="s">
        <v>682</v>
      </c>
      <c r="F65" s="34" t="s">
        <v>35</v>
      </c>
      <c r="G65" s="427">
        <f t="shared" si="65"/>
        <v>77754.600000000006</v>
      </c>
      <c r="H65" s="257">
        <f>IF(F65="TND",1,IF(F65="EUR",Vertical_Cash_flow!$C$16,IF(F65="USD",Vertical_Cash_flow!$F$16,0)))</f>
        <v>1</v>
      </c>
      <c r="I65" s="257">
        <f t="shared" si="61"/>
        <v>77754.600000000006</v>
      </c>
      <c r="J65" s="34" t="s">
        <v>252</v>
      </c>
      <c r="K65" s="622">
        <v>45453</v>
      </c>
      <c r="L65" s="424">
        <f t="shared" si="62"/>
        <v>4</v>
      </c>
      <c r="M65" s="622">
        <v>45457</v>
      </c>
      <c r="N65" s="412">
        <f t="shared" ca="1" si="63"/>
        <v>-16</v>
      </c>
      <c r="O65" s="34" t="str">
        <f>VLOOKUP(M65,Mapping!L142:M1016,2,0)</f>
        <v>W24_2024</v>
      </c>
      <c r="P65" s="34" t="str">
        <f t="shared" ca="1" si="64"/>
        <v>Not Due</v>
      </c>
      <c r="Q65" s="34"/>
      <c r="R65" s="34"/>
      <c r="S65" s="34"/>
    </row>
    <row r="66" spans="1:19" ht="12" customHeight="1" x14ac:dyDescent="0.2">
      <c r="A66" s="34" t="s">
        <v>58</v>
      </c>
      <c r="B66" s="34" t="s">
        <v>681</v>
      </c>
      <c r="C66" s="34" t="s">
        <v>66</v>
      </c>
      <c r="D66" s="34" t="s">
        <v>3399</v>
      </c>
      <c r="E66" s="34" t="s">
        <v>682</v>
      </c>
      <c r="F66" s="34" t="s">
        <v>35</v>
      </c>
      <c r="G66" s="427">
        <f t="shared" si="65"/>
        <v>77754.600000000006</v>
      </c>
      <c r="H66" s="257">
        <f>IF(F66="TND",1,IF(F66="EUR",Vertical_Cash_flow!$C$16,IF(F66="USD",Vertical_Cash_flow!$F$16,0)))</f>
        <v>1</v>
      </c>
      <c r="I66" s="257">
        <f t="shared" si="61"/>
        <v>77754.600000000006</v>
      </c>
      <c r="J66" s="34" t="s">
        <v>252</v>
      </c>
      <c r="K66" s="622">
        <v>45460</v>
      </c>
      <c r="L66" s="424">
        <f t="shared" si="62"/>
        <v>4</v>
      </c>
      <c r="M66" s="622">
        <v>45464</v>
      </c>
      <c r="N66" s="412">
        <f t="shared" ca="1" si="63"/>
        <v>-23</v>
      </c>
      <c r="O66" s="34" t="str">
        <f>VLOOKUP(M66,Mapping!L146:M1020,2,0)</f>
        <v>W25_2024</v>
      </c>
      <c r="P66" s="34" t="str">
        <f t="shared" ca="1" si="64"/>
        <v>Not Due</v>
      </c>
      <c r="Q66" s="34"/>
      <c r="R66" s="34"/>
      <c r="S66" s="34"/>
    </row>
    <row r="67" spans="1:19" x14ac:dyDescent="0.2">
      <c r="A67" s="34" t="s">
        <v>58</v>
      </c>
      <c r="B67" s="34" t="s">
        <v>681</v>
      </c>
      <c r="C67" s="34" t="s">
        <v>66</v>
      </c>
      <c r="D67" s="34" t="s">
        <v>3399</v>
      </c>
      <c r="E67" s="34" t="s">
        <v>682</v>
      </c>
      <c r="F67" s="34" t="s">
        <v>35</v>
      </c>
      <c r="G67" s="427">
        <f t="shared" si="65"/>
        <v>77754.600000000006</v>
      </c>
      <c r="H67" s="257">
        <f>IF(F67="TND",1,IF(F67="EUR",Vertical_Cash_flow!$C$16,IF(F67="USD",Vertical_Cash_flow!$F$16,0)))</f>
        <v>1</v>
      </c>
      <c r="I67" s="257">
        <f t="shared" si="61"/>
        <v>77754.600000000006</v>
      </c>
      <c r="J67" s="34" t="s">
        <v>252</v>
      </c>
      <c r="K67" s="622">
        <v>45467</v>
      </c>
      <c r="L67" s="424">
        <f t="shared" si="62"/>
        <v>4</v>
      </c>
      <c r="M67" s="622">
        <v>45471</v>
      </c>
      <c r="N67" s="412">
        <f t="shared" ca="1" si="63"/>
        <v>-30</v>
      </c>
      <c r="O67" s="34" t="str">
        <f>VLOOKUP(M67,Mapping!L150:M1024,2,0)</f>
        <v>W26_2024</v>
      </c>
      <c r="P67" s="34" t="str">
        <f t="shared" ca="1" si="64"/>
        <v>Not Due</v>
      </c>
      <c r="Q67" s="34"/>
      <c r="R67" s="34"/>
      <c r="S67" s="34"/>
    </row>
    <row r="68" spans="1:19" ht="12" customHeight="1" x14ac:dyDescent="0.2">
      <c r="A68" s="34" t="s">
        <v>58</v>
      </c>
      <c r="B68" s="34" t="s">
        <v>681</v>
      </c>
      <c r="C68" s="34" t="s">
        <v>66</v>
      </c>
      <c r="D68" s="34" t="s">
        <v>3399</v>
      </c>
      <c r="E68" s="34" t="s">
        <v>682</v>
      </c>
      <c r="F68" s="34" t="s">
        <v>35</v>
      </c>
      <c r="G68" s="427">
        <f t="shared" si="65"/>
        <v>77754.600000000006</v>
      </c>
      <c r="H68" s="257">
        <f>IF(F68="TND",1,IF(F68="EUR",Vertical_Cash_flow!$C$16,IF(F68="USD",Vertical_Cash_flow!$F$16,0)))</f>
        <v>1</v>
      </c>
      <c r="I68" s="257">
        <f t="shared" si="61"/>
        <v>77754.600000000006</v>
      </c>
      <c r="J68" s="34" t="s">
        <v>252</v>
      </c>
      <c r="K68" s="622">
        <v>45474</v>
      </c>
      <c r="L68" s="424">
        <f t="shared" si="62"/>
        <v>4</v>
      </c>
      <c r="M68" s="622">
        <v>45478</v>
      </c>
      <c r="N68" s="412">
        <f t="shared" ca="1" si="63"/>
        <v>-37</v>
      </c>
      <c r="O68" s="34" t="str">
        <f>VLOOKUP(M68,Mapping!L154:M1028,2,0)</f>
        <v>W27_2024</v>
      </c>
      <c r="P68" s="34" t="str">
        <f t="shared" ca="1" si="64"/>
        <v>Not Due</v>
      </c>
      <c r="Q68" s="34"/>
      <c r="R68" s="34"/>
      <c r="S68" s="34"/>
    </row>
    <row r="69" spans="1:19" ht="12" customHeight="1" x14ac:dyDescent="0.2">
      <c r="A69" s="34" t="s">
        <v>58</v>
      </c>
      <c r="B69" s="34" t="s">
        <v>681</v>
      </c>
      <c r="C69" s="34" t="s">
        <v>66</v>
      </c>
      <c r="D69" s="34" t="s">
        <v>3399</v>
      </c>
      <c r="E69" s="34" t="s">
        <v>682</v>
      </c>
      <c r="F69" s="34" t="s">
        <v>35</v>
      </c>
      <c r="G69" s="427">
        <f t="shared" si="65"/>
        <v>77754.600000000006</v>
      </c>
      <c r="H69" s="257">
        <f>IF(F69="TND",1,IF(F69="EUR",Vertical_Cash_flow!$C$16,IF(F69="USD",Vertical_Cash_flow!$F$16,0)))</f>
        <v>1</v>
      </c>
      <c r="I69" s="257">
        <f t="shared" si="61"/>
        <v>77754.600000000006</v>
      </c>
      <c r="J69" s="34" t="s">
        <v>252</v>
      </c>
      <c r="K69" s="622">
        <v>45481</v>
      </c>
      <c r="L69" s="424">
        <f t="shared" si="62"/>
        <v>4</v>
      </c>
      <c r="M69" s="622">
        <v>45485</v>
      </c>
      <c r="N69" s="412">
        <f t="shared" ca="1" si="63"/>
        <v>-44</v>
      </c>
      <c r="O69" s="34" t="str">
        <f>VLOOKUP(M69,Mapping!L155:M1029,2,0)</f>
        <v>W28_2024</v>
      </c>
      <c r="P69" s="34" t="str">
        <f t="shared" ca="1" si="64"/>
        <v>Not Due</v>
      </c>
      <c r="Q69" s="34"/>
      <c r="R69" s="34"/>
      <c r="S69" s="34"/>
    </row>
    <row r="70" spans="1:19" x14ac:dyDescent="0.2">
      <c r="A70" s="34" t="s">
        <v>58</v>
      </c>
      <c r="B70" s="34" t="s">
        <v>681</v>
      </c>
      <c r="C70" s="34" t="s">
        <v>66</v>
      </c>
      <c r="D70" s="34" t="s">
        <v>3403</v>
      </c>
      <c r="E70" s="34" t="s">
        <v>682</v>
      </c>
      <c r="F70" s="34" t="s">
        <v>35</v>
      </c>
      <c r="G70" s="427">
        <f t="shared" ref="G70:G77" si="66">30000*2.2*1.19*0.99</f>
        <v>77754.600000000006</v>
      </c>
      <c r="H70" s="257">
        <f>IF(F70="TND",1,IF(F70="EUR",Vertical_Cash_flow!$C$16,IF(F70="USD",Vertical_Cash_flow!$F$16,0)))</f>
        <v>1</v>
      </c>
      <c r="I70" s="257">
        <f t="shared" si="61"/>
        <v>77754.600000000006</v>
      </c>
      <c r="J70" s="34" t="s">
        <v>252</v>
      </c>
      <c r="K70" s="622">
        <v>45432</v>
      </c>
      <c r="L70" s="424">
        <f t="shared" si="62"/>
        <v>4</v>
      </c>
      <c r="M70" s="622">
        <v>45436</v>
      </c>
      <c r="N70" s="412">
        <f t="shared" ca="1" si="63"/>
        <v>5</v>
      </c>
      <c r="O70" s="34" t="str">
        <f>VLOOKUP(M70,Mapping!L137:M1011,2,0)</f>
        <v>W21_2024</v>
      </c>
      <c r="P70" s="34" t="str">
        <f t="shared" ca="1" si="64"/>
        <v>up 30 days</v>
      </c>
      <c r="Q70" s="34"/>
      <c r="R70" s="34"/>
      <c r="S70" s="34"/>
    </row>
    <row r="71" spans="1:19" ht="12" customHeight="1" x14ac:dyDescent="0.2">
      <c r="A71" s="34" t="s">
        <v>58</v>
      </c>
      <c r="B71" s="34" t="s">
        <v>681</v>
      </c>
      <c r="C71" s="34" t="s">
        <v>66</v>
      </c>
      <c r="D71" s="34" t="s">
        <v>3403</v>
      </c>
      <c r="E71" s="34" t="s">
        <v>682</v>
      </c>
      <c r="F71" s="34" t="s">
        <v>35</v>
      </c>
      <c r="G71" s="427">
        <f t="shared" si="66"/>
        <v>77754.600000000006</v>
      </c>
      <c r="H71" s="257">
        <f>IF(F71="TND",1,IF(F71="EUR",Vertical_Cash_flow!$C$16,IF(F71="USD",Vertical_Cash_flow!$F$16,0)))</f>
        <v>1</v>
      </c>
      <c r="I71" s="257">
        <f t="shared" si="61"/>
        <v>77754.600000000006</v>
      </c>
      <c r="J71" s="34" t="s">
        <v>252</v>
      </c>
      <c r="K71" s="622">
        <v>45439</v>
      </c>
      <c r="L71" s="424">
        <f t="shared" si="62"/>
        <v>4</v>
      </c>
      <c r="M71" s="622">
        <v>45443</v>
      </c>
      <c r="N71" s="412">
        <f t="shared" ca="1" si="63"/>
        <v>-2</v>
      </c>
      <c r="O71" s="34" t="str">
        <f>VLOOKUP(M71,Mapping!L141:M1015,2,0)</f>
        <v>W22_2024</v>
      </c>
      <c r="P71" s="34" t="str">
        <f t="shared" ca="1" si="64"/>
        <v>Not Due</v>
      </c>
      <c r="Q71" s="34"/>
      <c r="R71" s="34"/>
      <c r="S71" s="34"/>
    </row>
    <row r="72" spans="1:19" x14ac:dyDescent="0.2">
      <c r="A72" s="34" t="s">
        <v>58</v>
      </c>
      <c r="B72" s="34" t="s">
        <v>681</v>
      </c>
      <c r="C72" s="34" t="s">
        <v>66</v>
      </c>
      <c r="D72" s="34" t="s">
        <v>3403</v>
      </c>
      <c r="E72" s="34" t="s">
        <v>682</v>
      </c>
      <c r="F72" s="34" t="s">
        <v>35</v>
      </c>
      <c r="G72" s="427">
        <f t="shared" si="66"/>
        <v>77754.600000000006</v>
      </c>
      <c r="H72" s="257">
        <f>IF(F72="TND",1,IF(F72="EUR",Vertical_Cash_flow!$C$16,IF(F72="USD",Vertical_Cash_flow!$F$16,0)))</f>
        <v>1</v>
      </c>
      <c r="I72" s="257">
        <f t="shared" si="61"/>
        <v>77754.600000000006</v>
      </c>
      <c r="J72" s="34" t="s">
        <v>252</v>
      </c>
      <c r="K72" s="622">
        <v>45446</v>
      </c>
      <c r="L72" s="424">
        <f t="shared" si="62"/>
        <v>4</v>
      </c>
      <c r="M72" s="622">
        <v>45450</v>
      </c>
      <c r="N72" s="412">
        <f t="shared" ca="1" si="63"/>
        <v>-9</v>
      </c>
      <c r="O72" s="34" t="str">
        <f>VLOOKUP(M72,Mapping!L137:M1011,2,0)</f>
        <v>W23_2024</v>
      </c>
      <c r="P72" s="34" t="str">
        <f t="shared" ca="1" si="64"/>
        <v>Not Due</v>
      </c>
      <c r="Q72" s="34"/>
      <c r="R72" s="34"/>
      <c r="S72" s="34"/>
    </row>
    <row r="73" spans="1:19" ht="12" customHeight="1" x14ac:dyDescent="0.2">
      <c r="A73" s="34" t="s">
        <v>58</v>
      </c>
      <c r="B73" s="34" t="s">
        <v>681</v>
      </c>
      <c r="C73" s="34" t="s">
        <v>66</v>
      </c>
      <c r="D73" s="34" t="s">
        <v>3403</v>
      </c>
      <c r="E73" s="34" t="s">
        <v>682</v>
      </c>
      <c r="F73" s="34" t="s">
        <v>35</v>
      </c>
      <c r="G73" s="427">
        <f t="shared" si="66"/>
        <v>77754.600000000006</v>
      </c>
      <c r="H73" s="257">
        <f>IF(F73="TND",1,IF(F73="EUR",Vertical_Cash_flow!$C$16,IF(F73="USD",Vertical_Cash_flow!$F$16,0)))</f>
        <v>1</v>
      </c>
      <c r="I73" s="257">
        <f t="shared" si="61"/>
        <v>77754.600000000006</v>
      </c>
      <c r="J73" s="34" t="s">
        <v>252</v>
      </c>
      <c r="K73" s="622">
        <v>45453</v>
      </c>
      <c r="L73" s="424">
        <f t="shared" si="62"/>
        <v>4</v>
      </c>
      <c r="M73" s="622">
        <v>45457</v>
      </c>
      <c r="N73" s="412">
        <f t="shared" ca="1" si="63"/>
        <v>-16</v>
      </c>
      <c r="O73" s="34" t="str">
        <f>VLOOKUP(M73,Mapping!L141:M1015,2,0)</f>
        <v>W24_2024</v>
      </c>
      <c r="P73" s="34" t="str">
        <f t="shared" ca="1" si="64"/>
        <v>Not Due</v>
      </c>
      <c r="Q73" s="34"/>
      <c r="R73" s="34"/>
      <c r="S73" s="34"/>
    </row>
    <row r="74" spans="1:19" x14ac:dyDescent="0.2">
      <c r="A74" s="34" t="s">
        <v>58</v>
      </c>
      <c r="B74" s="34" t="s">
        <v>681</v>
      </c>
      <c r="C74" s="34" t="s">
        <v>66</v>
      </c>
      <c r="D74" s="34" t="s">
        <v>3403</v>
      </c>
      <c r="E74" s="34" t="s">
        <v>682</v>
      </c>
      <c r="F74" s="34" t="s">
        <v>35</v>
      </c>
      <c r="G74" s="427">
        <f t="shared" si="66"/>
        <v>77754.600000000006</v>
      </c>
      <c r="H74" s="257">
        <f>IF(F74="TND",1,IF(F74="EUR",Vertical_Cash_flow!$C$16,IF(F74="USD",Vertical_Cash_flow!$F$16,0)))</f>
        <v>1</v>
      </c>
      <c r="I74" s="257">
        <f t="shared" si="61"/>
        <v>77754.600000000006</v>
      </c>
      <c r="J74" s="34" t="s">
        <v>252</v>
      </c>
      <c r="K74" s="622">
        <v>45460</v>
      </c>
      <c r="L74" s="424">
        <f t="shared" si="62"/>
        <v>4</v>
      </c>
      <c r="M74" s="622">
        <v>45464</v>
      </c>
      <c r="N74" s="412">
        <f t="shared" ca="1" si="63"/>
        <v>-23</v>
      </c>
      <c r="O74" s="34" t="str">
        <f>VLOOKUP(M74,Mapping!L145:M1019,2,0)</f>
        <v>W25_2024</v>
      </c>
      <c r="P74" s="34" t="str">
        <f t="shared" ca="1" si="64"/>
        <v>Not Due</v>
      </c>
      <c r="Q74" s="34"/>
      <c r="R74" s="34"/>
      <c r="S74" s="34"/>
    </row>
    <row r="75" spans="1:19" ht="12" customHeight="1" x14ac:dyDescent="0.2">
      <c r="A75" s="34" t="s">
        <v>58</v>
      </c>
      <c r="B75" s="34" t="s">
        <v>681</v>
      </c>
      <c r="C75" s="34" t="s">
        <v>66</v>
      </c>
      <c r="D75" s="34" t="s">
        <v>3403</v>
      </c>
      <c r="E75" s="34" t="s">
        <v>682</v>
      </c>
      <c r="F75" s="34" t="s">
        <v>35</v>
      </c>
      <c r="G75" s="427">
        <f t="shared" si="66"/>
        <v>77754.600000000006</v>
      </c>
      <c r="H75" s="257">
        <f>IF(F75="TND",1,IF(F75="EUR",Vertical_Cash_flow!$C$16,IF(F75="USD",Vertical_Cash_flow!$F$16,0)))</f>
        <v>1</v>
      </c>
      <c r="I75" s="257">
        <f t="shared" si="61"/>
        <v>77754.600000000006</v>
      </c>
      <c r="J75" s="34" t="s">
        <v>252</v>
      </c>
      <c r="K75" s="622">
        <v>45467</v>
      </c>
      <c r="L75" s="424">
        <f t="shared" si="62"/>
        <v>4</v>
      </c>
      <c r="M75" s="622">
        <v>45471</v>
      </c>
      <c r="N75" s="412">
        <f t="shared" ca="1" si="63"/>
        <v>-30</v>
      </c>
      <c r="O75" s="34" t="str">
        <f>VLOOKUP(M75,Mapping!L149:M1023,2,0)</f>
        <v>W26_2024</v>
      </c>
      <c r="P75" s="34" t="str">
        <f t="shared" ca="1" si="64"/>
        <v>Not Due</v>
      </c>
      <c r="Q75" s="34"/>
      <c r="R75" s="34"/>
      <c r="S75" s="34"/>
    </row>
    <row r="76" spans="1:19" x14ac:dyDescent="0.2">
      <c r="A76" s="34" t="s">
        <v>58</v>
      </c>
      <c r="B76" s="34" t="s">
        <v>681</v>
      </c>
      <c r="C76" s="34" t="s">
        <v>66</v>
      </c>
      <c r="D76" s="34" t="s">
        <v>3403</v>
      </c>
      <c r="E76" s="34" t="s">
        <v>682</v>
      </c>
      <c r="F76" s="34" t="s">
        <v>35</v>
      </c>
      <c r="G76" s="427">
        <f t="shared" si="66"/>
        <v>77754.600000000006</v>
      </c>
      <c r="H76" s="257">
        <f>IF(F76="TND",1,IF(F76="EUR",Vertical_Cash_flow!$C$16,IF(F76="USD",Vertical_Cash_flow!$F$16,0)))</f>
        <v>1</v>
      </c>
      <c r="I76" s="257">
        <f t="shared" si="61"/>
        <v>77754.600000000006</v>
      </c>
      <c r="J76" s="34" t="s">
        <v>252</v>
      </c>
      <c r="K76" s="622">
        <v>45474</v>
      </c>
      <c r="L76" s="424">
        <f t="shared" si="62"/>
        <v>4</v>
      </c>
      <c r="M76" s="622">
        <v>45478</v>
      </c>
      <c r="N76" s="412">
        <f t="shared" ca="1" si="63"/>
        <v>-37</v>
      </c>
      <c r="O76" s="34" t="str">
        <f>VLOOKUP(M76,Mapping!L153:M1027,2,0)</f>
        <v>W27_2024</v>
      </c>
      <c r="P76" s="34" t="str">
        <f t="shared" ca="1" si="64"/>
        <v>Not Due</v>
      </c>
      <c r="Q76" s="34"/>
      <c r="R76" s="34"/>
      <c r="S76" s="34"/>
    </row>
    <row r="77" spans="1:19" x14ac:dyDescent="0.2">
      <c r="A77" s="34" t="s">
        <v>58</v>
      </c>
      <c r="B77" s="34" t="s">
        <v>681</v>
      </c>
      <c r="C77" s="34" t="s">
        <v>66</v>
      </c>
      <c r="D77" s="34" t="s">
        <v>3403</v>
      </c>
      <c r="E77" s="34" t="s">
        <v>682</v>
      </c>
      <c r="F77" s="34" t="s">
        <v>35</v>
      </c>
      <c r="G77" s="427">
        <f t="shared" si="66"/>
        <v>77754.600000000006</v>
      </c>
      <c r="H77" s="257">
        <f>IF(F77="TND",1,IF(F77="EUR",Vertical_Cash_flow!$C$16,IF(F77="USD",Vertical_Cash_flow!$F$16,0)))</f>
        <v>1</v>
      </c>
      <c r="I77" s="257">
        <f t="shared" si="61"/>
        <v>77754.600000000006</v>
      </c>
      <c r="J77" s="34" t="s">
        <v>252</v>
      </c>
      <c r="K77" s="622">
        <v>45481</v>
      </c>
      <c r="L77" s="424">
        <f t="shared" si="62"/>
        <v>4</v>
      </c>
      <c r="M77" s="622">
        <v>45485</v>
      </c>
      <c r="N77" s="412">
        <f t="shared" ca="1" si="63"/>
        <v>-44</v>
      </c>
      <c r="O77" s="34" t="str">
        <f>VLOOKUP(M77,Mapping!L154:M1028,2,0)</f>
        <v>W28_2024</v>
      </c>
      <c r="P77" s="34" t="str">
        <f t="shared" ca="1" si="64"/>
        <v>Not Due</v>
      </c>
      <c r="Q77" s="34"/>
      <c r="R77" s="34"/>
      <c r="S77" s="34"/>
    </row>
    <row r="78" spans="1:19" ht="12" customHeight="1" x14ac:dyDescent="0.2">
      <c r="A78" s="34" t="s">
        <v>58</v>
      </c>
      <c r="B78" s="34" t="s">
        <v>681</v>
      </c>
      <c r="C78" s="34" t="s">
        <v>66</v>
      </c>
      <c r="D78" s="34" t="s">
        <v>3401</v>
      </c>
      <c r="E78" s="34" t="s">
        <v>682</v>
      </c>
      <c r="F78" s="34" t="s">
        <v>35</v>
      </c>
      <c r="G78" s="427">
        <f t="shared" ref="G78:G85" si="67">25000*2.2*1.19*0.99</f>
        <v>64795.500000000007</v>
      </c>
      <c r="H78" s="257">
        <f>IF(F78="TND",1,IF(F78="EUR",Vertical_Cash_flow!$C$16,IF(F78="USD",Vertical_Cash_flow!$F$16,0)))</f>
        <v>1</v>
      </c>
      <c r="I78" s="257">
        <f t="shared" si="61"/>
        <v>64795.500000000007</v>
      </c>
      <c r="J78" s="34" t="s">
        <v>252</v>
      </c>
      <c r="K78" s="622">
        <v>45432</v>
      </c>
      <c r="L78" s="424">
        <f t="shared" si="62"/>
        <v>4</v>
      </c>
      <c r="M78" s="622">
        <v>45436</v>
      </c>
      <c r="N78" s="412">
        <f t="shared" ca="1" si="63"/>
        <v>5</v>
      </c>
      <c r="O78" s="34" t="str">
        <f>VLOOKUP(M78,Mapping!L139:M1013,2,0)</f>
        <v>W21_2024</v>
      </c>
      <c r="P78" s="34" t="str">
        <f t="shared" ca="1" si="64"/>
        <v>up 30 days</v>
      </c>
      <c r="Q78" s="34"/>
      <c r="R78" s="34"/>
      <c r="S78" s="34"/>
    </row>
    <row r="79" spans="1:19" x14ac:dyDescent="0.2">
      <c r="A79" s="34" t="s">
        <v>58</v>
      </c>
      <c r="B79" s="34" t="s">
        <v>681</v>
      </c>
      <c r="C79" s="34" t="s">
        <v>66</v>
      </c>
      <c r="D79" s="34" t="s">
        <v>3401</v>
      </c>
      <c r="E79" s="34" t="s">
        <v>682</v>
      </c>
      <c r="F79" s="34" t="s">
        <v>35</v>
      </c>
      <c r="G79" s="427">
        <f t="shared" si="67"/>
        <v>64795.500000000007</v>
      </c>
      <c r="H79" s="257">
        <f>IF(F79="TND",1,IF(F79="EUR",Vertical_Cash_flow!$C$16,IF(F79="USD",Vertical_Cash_flow!$F$16,0)))</f>
        <v>1</v>
      </c>
      <c r="I79" s="257">
        <f t="shared" si="61"/>
        <v>64795.500000000007</v>
      </c>
      <c r="J79" s="34" t="s">
        <v>252</v>
      </c>
      <c r="K79" s="622">
        <v>45439</v>
      </c>
      <c r="L79" s="424">
        <f t="shared" si="62"/>
        <v>4</v>
      </c>
      <c r="M79" s="622">
        <v>45443</v>
      </c>
      <c r="N79" s="412">
        <f t="shared" ca="1" si="63"/>
        <v>-2</v>
      </c>
      <c r="O79" s="34" t="str">
        <f>VLOOKUP(M79,Mapping!L143:M1017,2,0)</f>
        <v>W22_2024</v>
      </c>
      <c r="P79" s="34" t="str">
        <f t="shared" ca="1" si="64"/>
        <v>Not Due</v>
      </c>
      <c r="Q79" s="34"/>
      <c r="R79" s="34"/>
      <c r="S79" s="34"/>
    </row>
    <row r="80" spans="1:19" ht="12" customHeight="1" x14ac:dyDescent="0.2">
      <c r="A80" s="34" t="s">
        <v>58</v>
      </c>
      <c r="B80" s="34" t="s">
        <v>681</v>
      </c>
      <c r="C80" s="34" t="s">
        <v>66</v>
      </c>
      <c r="D80" s="34" t="s">
        <v>3401</v>
      </c>
      <c r="E80" s="34" t="s">
        <v>682</v>
      </c>
      <c r="F80" s="34" t="s">
        <v>35</v>
      </c>
      <c r="G80" s="427">
        <f t="shared" si="67"/>
        <v>64795.500000000007</v>
      </c>
      <c r="H80" s="257">
        <f>IF(F80="TND",1,IF(F80="EUR",Vertical_Cash_flow!$C$16,IF(F80="USD",Vertical_Cash_flow!$F$16,0)))</f>
        <v>1</v>
      </c>
      <c r="I80" s="257">
        <f t="shared" si="61"/>
        <v>64795.500000000007</v>
      </c>
      <c r="J80" s="34" t="s">
        <v>252</v>
      </c>
      <c r="K80" s="622">
        <v>45446</v>
      </c>
      <c r="L80" s="424">
        <f t="shared" si="62"/>
        <v>4</v>
      </c>
      <c r="M80" s="622">
        <v>45450</v>
      </c>
      <c r="N80" s="412">
        <f t="shared" ca="1" si="63"/>
        <v>-9</v>
      </c>
      <c r="O80" s="34" t="str">
        <f>VLOOKUP(M80,Mapping!L139:M1013,2,0)</f>
        <v>W23_2024</v>
      </c>
      <c r="P80" s="34" t="str">
        <f t="shared" ca="1" si="64"/>
        <v>Not Due</v>
      </c>
      <c r="Q80" s="34"/>
      <c r="R80" s="34"/>
      <c r="S80" s="34"/>
    </row>
    <row r="81" spans="1:19" x14ac:dyDescent="0.2">
      <c r="A81" s="34" t="s">
        <v>58</v>
      </c>
      <c r="B81" s="34" t="s">
        <v>681</v>
      </c>
      <c r="C81" s="34" t="s">
        <v>66</v>
      </c>
      <c r="D81" s="34" t="s">
        <v>3401</v>
      </c>
      <c r="E81" s="34" t="s">
        <v>682</v>
      </c>
      <c r="F81" s="34" t="s">
        <v>35</v>
      </c>
      <c r="G81" s="427">
        <f t="shared" si="67"/>
        <v>64795.500000000007</v>
      </c>
      <c r="H81" s="257">
        <f>IF(F81="TND",1,IF(F81="EUR",Vertical_Cash_flow!$C$16,IF(F81="USD",Vertical_Cash_flow!$F$16,0)))</f>
        <v>1</v>
      </c>
      <c r="I81" s="257">
        <f t="shared" si="61"/>
        <v>64795.500000000007</v>
      </c>
      <c r="J81" s="34" t="s">
        <v>252</v>
      </c>
      <c r="K81" s="622">
        <v>45453</v>
      </c>
      <c r="L81" s="424">
        <f t="shared" si="62"/>
        <v>4</v>
      </c>
      <c r="M81" s="622">
        <v>45457</v>
      </c>
      <c r="N81" s="412">
        <f t="shared" ca="1" si="63"/>
        <v>-16</v>
      </c>
      <c r="O81" s="34" t="str">
        <f>VLOOKUP(M81,Mapping!L143:M1017,2,0)</f>
        <v>W24_2024</v>
      </c>
      <c r="P81" s="34" t="str">
        <f t="shared" ca="1" si="64"/>
        <v>Not Due</v>
      </c>
      <c r="Q81" s="34"/>
      <c r="R81" s="34"/>
      <c r="S81" s="34"/>
    </row>
    <row r="82" spans="1:19" ht="12" customHeight="1" x14ac:dyDescent="0.2">
      <c r="A82" s="34" t="s">
        <v>58</v>
      </c>
      <c r="B82" s="34" t="s">
        <v>681</v>
      </c>
      <c r="C82" s="34" t="s">
        <v>66</v>
      </c>
      <c r="D82" s="34" t="s">
        <v>3401</v>
      </c>
      <c r="E82" s="34" t="s">
        <v>682</v>
      </c>
      <c r="F82" s="34" t="s">
        <v>35</v>
      </c>
      <c r="G82" s="427">
        <f t="shared" si="67"/>
        <v>64795.500000000007</v>
      </c>
      <c r="H82" s="257">
        <f>IF(F82="TND",1,IF(F82="EUR",Vertical_Cash_flow!$C$16,IF(F82="USD",Vertical_Cash_flow!$F$16,0)))</f>
        <v>1</v>
      </c>
      <c r="I82" s="257">
        <f t="shared" si="61"/>
        <v>64795.500000000007</v>
      </c>
      <c r="J82" s="34" t="s">
        <v>252</v>
      </c>
      <c r="K82" s="622">
        <v>45460</v>
      </c>
      <c r="L82" s="424">
        <f t="shared" si="62"/>
        <v>4</v>
      </c>
      <c r="M82" s="622">
        <v>45464</v>
      </c>
      <c r="N82" s="412">
        <f t="shared" ca="1" si="63"/>
        <v>-23</v>
      </c>
      <c r="O82" s="34" t="str">
        <f>VLOOKUP(M82,Mapping!L147:M1021,2,0)</f>
        <v>W25_2024</v>
      </c>
      <c r="P82" s="34" t="str">
        <f t="shared" ca="1" si="64"/>
        <v>Not Due</v>
      </c>
      <c r="Q82" s="34"/>
      <c r="R82" s="34"/>
      <c r="S82" s="34"/>
    </row>
    <row r="83" spans="1:19" x14ac:dyDescent="0.2">
      <c r="A83" s="34" t="s">
        <v>58</v>
      </c>
      <c r="B83" s="34" t="s">
        <v>681</v>
      </c>
      <c r="C83" s="34" t="s">
        <v>66</v>
      </c>
      <c r="D83" s="34" t="s">
        <v>3401</v>
      </c>
      <c r="E83" s="34" t="s">
        <v>682</v>
      </c>
      <c r="F83" s="34" t="s">
        <v>35</v>
      </c>
      <c r="G83" s="427">
        <f t="shared" si="67"/>
        <v>64795.500000000007</v>
      </c>
      <c r="H83" s="257">
        <f>IF(F83="TND",1,IF(F83="EUR",Vertical_Cash_flow!$C$16,IF(F83="USD",Vertical_Cash_flow!$F$16,0)))</f>
        <v>1</v>
      </c>
      <c r="I83" s="257">
        <f t="shared" si="61"/>
        <v>64795.500000000007</v>
      </c>
      <c r="J83" s="34" t="s">
        <v>252</v>
      </c>
      <c r="K83" s="622">
        <v>45467</v>
      </c>
      <c r="L83" s="424">
        <f t="shared" si="62"/>
        <v>4</v>
      </c>
      <c r="M83" s="622">
        <v>45471</v>
      </c>
      <c r="N83" s="412">
        <f t="shared" ca="1" si="63"/>
        <v>-30</v>
      </c>
      <c r="O83" s="34" t="str">
        <f>VLOOKUP(M83,Mapping!L151:M1025,2,0)</f>
        <v>W26_2024</v>
      </c>
      <c r="P83" s="34" t="str">
        <f t="shared" ca="1" si="64"/>
        <v>Not Due</v>
      </c>
      <c r="Q83" s="34"/>
      <c r="R83" s="34"/>
      <c r="S83" s="34"/>
    </row>
    <row r="84" spans="1:19" ht="12" customHeight="1" x14ac:dyDescent="0.2">
      <c r="A84" s="34" t="s">
        <v>58</v>
      </c>
      <c r="B84" s="34" t="s">
        <v>681</v>
      </c>
      <c r="C84" s="34" t="s">
        <v>66</v>
      </c>
      <c r="D84" s="34" t="s">
        <v>3401</v>
      </c>
      <c r="E84" s="34" t="s">
        <v>682</v>
      </c>
      <c r="F84" s="34" t="s">
        <v>35</v>
      </c>
      <c r="G84" s="427">
        <f t="shared" si="67"/>
        <v>64795.500000000007</v>
      </c>
      <c r="H84" s="257">
        <f>IF(F84="TND",1,IF(F84="EUR",Vertical_Cash_flow!$C$16,IF(F84="USD",Vertical_Cash_flow!$F$16,0)))</f>
        <v>1</v>
      </c>
      <c r="I84" s="257">
        <f t="shared" si="61"/>
        <v>64795.500000000007</v>
      </c>
      <c r="J84" s="34" t="s">
        <v>252</v>
      </c>
      <c r="K84" s="622">
        <v>45474</v>
      </c>
      <c r="L84" s="424">
        <f t="shared" si="62"/>
        <v>4</v>
      </c>
      <c r="M84" s="622">
        <v>45478</v>
      </c>
      <c r="N84" s="412">
        <f t="shared" ca="1" si="63"/>
        <v>-37</v>
      </c>
      <c r="O84" s="34" t="str">
        <f>VLOOKUP(M84,Mapping!L155:M1029,2,0)</f>
        <v>W27_2024</v>
      </c>
      <c r="P84" s="34" t="str">
        <f t="shared" ca="1" si="64"/>
        <v>Not Due</v>
      </c>
      <c r="Q84" s="34"/>
      <c r="R84" s="34"/>
      <c r="S84" s="34"/>
    </row>
    <row r="85" spans="1:19" ht="12" customHeight="1" x14ac:dyDescent="0.2">
      <c r="A85" s="34" t="s">
        <v>58</v>
      </c>
      <c r="B85" s="34" t="s">
        <v>681</v>
      </c>
      <c r="C85" s="34" t="s">
        <v>66</v>
      </c>
      <c r="D85" s="34" t="s">
        <v>3401</v>
      </c>
      <c r="E85" s="34" t="s">
        <v>682</v>
      </c>
      <c r="F85" s="34" t="s">
        <v>35</v>
      </c>
      <c r="G85" s="427">
        <f t="shared" si="67"/>
        <v>64795.500000000007</v>
      </c>
      <c r="H85" s="257">
        <f>IF(F85="TND",1,IF(F85="EUR",Vertical_Cash_flow!$C$16,IF(F85="USD",Vertical_Cash_flow!$F$16,0)))</f>
        <v>1</v>
      </c>
      <c r="I85" s="257">
        <f t="shared" si="61"/>
        <v>64795.500000000007</v>
      </c>
      <c r="J85" s="34" t="s">
        <v>252</v>
      </c>
      <c r="K85" s="622">
        <v>45481</v>
      </c>
      <c r="L85" s="424">
        <f t="shared" si="62"/>
        <v>4</v>
      </c>
      <c r="M85" s="622">
        <v>45485</v>
      </c>
      <c r="N85" s="412">
        <f t="shared" ca="1" si="63"/>
        <v>-44</v>
      </c>
      <c r="O85" s="34" t="str">
        <f>VLOOKUP(M85,Mapping!L146:M1020,2,0)</f>
        <v>W28_2024</v>
      </c>
      <c r="P85" s="34" t="str">
        <f t="shared" ca="1" si="64"/>
        <v>Not Due</v>
      </c>
      <c r="Q85" s="34"/>
      <c r="R85" s="34"/>
      <c r="S85" s="34"/>
    </row>
    <row r="86" spans="1:19" x14ac:dyDescent="0.2">
      <c r="A86" s="34" t="s">
        <v>58</v>
      </c>
      <c r="B86" s="34" t="s">
        <v>681</v>
      </c>
      <c r="C86" s="34" t="s">
        <v>66</v>
      </c>
      <c r="D86" s="34" t="s">
        <v>3400</v>
      </c>
      <c r="E86" s="34" t="s">
        <v>682</v>
      </c>
      <c r="F86" s="34" t="s">
        <v>35</v>
      </c>
      <c r="G86" s="427">
        <f t="shared" ref="G86:G93" si="68">25000*2.2*1.19*0.99</f>
        <v>64795.500000000007</v>
      </c>
      <c r="H86" s="257">
        <f>IF(F86="TND",1,IF(F86="EUR",Vertical_Cash_flow!$C$16,IF(F86="USD",Vertical_Cash_flow!$F$16,0)))</f>
        <v>1</v>
      </c>
      <c r="I86" s="257">
        <f t="shared" si="61"/>
        <v>64795.500000000007</v>
      </c>
      <c r="J86" s="34" t="s">
        <v>252</v>
      </c>
      <c r="K86" s="622">
        <v>45432</v>
      </c>
      <c r="L86" s="424">
        <f t="shared" si="62"/>
        <v>4</v>
      </c>
      <c r="M86" s="622">
        <v>45436</v>
      </c>
      <c r="N86" s="412">
        <f t="shared" ca="1" si="63"/>
        <v>5</v>
      </c>
      <c r="O86" s="34" t="str">
        <f>VLOOKUP(M86,Mapping!L140:M1014,2,0)</f>
        <v>W21_2024</v>
      </c>
      <c r="P86" s="34" t="str">
        <f t="shared" ca="1" si="64"/>
        <v>up 30 days</v>
      </c>
      <c r="Q86" s="34"/>
      <c r="R86" s="34"/>
      <c r="S86" s="34"/>
    </row>
    <row r="87" spans="1:19" ht="12" customHeight="1" x14ac:dyDescent="0.2">
      <c r="A87" s="34" t="s">
        <v>58</v>
      </c>
      <c r="B87" s="34" t="s">
        <v>681</v>
      </c>
      <c r="C87" s="34" t="s">
        <v>66</v>
      </c>
      <c r="D87" s="34" t="s">
        <v>3400</v>
      </c>
      <c r="E87" s="34" t="s">
        <v>682</v>
      </c>
      <c r="F87" s="34" t="s">
        <v>35</v>
      </c>
      <c r="G87" s="427">
        <f t="shared" si="68"/>
        <v>64795.500000000007</v>
      </c>
      <c r="H87" s="257">
        <f>IF(F87="TND",1,IF(F87="EUR",Vertical_Cash_flow!$C$16,IF(F87="USD",Vertical_Cash_flow!$F$16,0)))</f>
        <v>1</v>
      </c>
      <c r="I87" s="257">
        <f t="shared" si="61"/>
        <v>64795.500000000007</v>
      </c>
      <c r="J87" s="34" t="s">
        <v>252</v>
      </c>
      <c r="K87" s="622">
        <v>45439</v>
      </c>
      <c r="L87" s="424">
        <f t="shared" si="62"/>
        <v>4</v>
      </c>
      <c r="M87" s="622">
        <v>45443</v>
      </c>
      <c r="N87" s="412">
        <f t="shared" ca="1" si="63"/>
        <v>-2</v>
      </c>
      <c r="O87" s="34" t="str">
        <f>VLOOKUP(M87,Mapping!L144:M1018,2,0)</f>
        <v>W22_2024</v>
      </c>
      <c r="P87" s="34" t="str">
        <f t="shared" ca="1" si="64"/>
        <v>Not Due</v>
      </c>
      <c r="Q87" s="34"/>
      <c r="R87" s="34"/>
      <c r="S87" s="34"/>
    </row>
    <row r="88" spans="1:19" x14ac:dyDescent="0.2">
      <c r="A88" s="34" t="s">
        <v>58</v>
      </c>
      <c r="B88" s="34" t="s">
        <v>681</v>
      </c>
      <c r="C88" s="34" t="s">
        <v>66</v>
      </c>
      <c r="D88" s="34" t="s">
        <v>3400</v>
      </c>
      <c r="E88" s="34" t="s">
        <v>682</v>
      </c>
      <c r="F88" s="34" t="s">
        <v>35</v>
      </c>
      <c r="G88" s="427">
        <f t="shared" si="68"/>
        <v>64795.500000000007</v>
      </c>
      <c r="H88" s="257">
        <f>IF(F88="TND",1,IF(F88="EUR",Vertical_Cash_flow!$C$16,IF(F88="USD",Vertical_Cash_flow!$F$16,0)))</f>
        <v>1</v>
      </c>
      <c r="I88" s="257">
        <f t="shared" si="61"/>
        <v>64795.500000000007</v>
      </c>
      <c r="J88" s="34" t="s">
        <v>252</v>
      </c>
      <c r="K88" s="622">
        <v>45446</v>
      </c>
      <c r="L88" s="424">
        <f t="shared" si="62"/>
        <v>4</v>
      </c>
      <c r="M88" s="622">
        <v>45450</v>
      </c>
      <c r="N88" s="412">
        <f t="shared" ca="1" si="63"/>
        <v>-9</v>
      </c>
      <c r="O88" s="34" t="str">
        <f>VLOOKUP(M88,Mapping!L140:M1014,2,0)</f>
        <v>W23_2024</v>
      </c>
      <c r="P88" s="34" t="str">
        <f t="shared" ca="1" si="64"/>
        <v>Not Due</v>
      </c>
      <c r="Q88" s="34"/>
      <c r="R88" s="34"/>
      <c r="S88" s="34"/>
    </row>
    <row r="89" spans="1:19" ht="12" customHeight="1" x14ac:dyDescent="0.2">
      <c r="A89" s="34" t="s">
        <v>58</v>
      </c>
      <c r="B89" s="34" t="s">
        <v>681</v>
      </c>
      <c r="C89" s="34" t="s">
        <v>66</v>
      </c>
      <c r="D89" s="34" t="s">
        <v>3400</v>
      </c>
      <c r="E89" s="34" t="s">
        <v>682</v>
      </c>
      <c r="F89" s="34" t="s">
        <v>35</v>
      </c>
      <c r="G89" s="427">
        <f t="shared" si="68"/>
        <v>64795.500000000007</v>
      </c>
      <c r="H89" s="257">
        <f>IF(F89="TND",1,IF(F89="EUR",Vertical_Cash_flow!$C$16,IF(F89="USD",Vertical_Cash_flow!$F$16,0)))</f>
        <v>1</v>
      </c>
      <c r="I89" s="257">
        <f t="shared" si="61"/>
        <v>64795.500000000007</v>
      </c>
      <c r="J89" s="34" t="s">
        <v>252</v>
      </c>
      <c r="K89" s="622">
        <v>45453</v>
      </c>
      <c r="L89" s="424">
        <f t="shared" si="62"/>
        <v>4</v>
      </c>
      <c r="M89" s="622">
        <v>45457</v>
      </c>
      <c r="N89" s="412">
        <f t="shared" ca="1" si="63"/>
        <v>-16</v>
      </c>
      <c r="O89" s="34" t="str">
        <f>VLOOKUP(M89,Mapping!L144:M1018,2,0)</f>
        <v>W24_2024</v>
      </c>
      <c r="P89" s="34" t="str">
        <f t="shared" ca="1" si="64"/>
        <v>Not Due</v>
      </c>
      <c r="Q89" s="34"/>
      <c r="R89" s="34"/>
      <c r="S89" s="34"/>
    </row>
    <row r="90" spans="1:19" x14ac:dyDescent="0.2">
      <c r="A90" s="34" t="s">
        <v>58</v>
      </c>
      <c r="B90" s="34" t="s">
        <v>681</v>
      </c>
      <c r="C90" s="34" t="s">
        <v>66</v>
      </c>
      <c r="D90" s="34" t="s">
        <v>3400</v>
      </c>
      <c r="E90" s="34" t="s">
        <v>682</v>
      </c>
      <c r="F90" s="34" t="s">
        <v>35</v>
      </c>
      <c r="G90" s="427">
        <f t="shared" si="68"/>
        <v>64795.500000000007</v>
      </c>
      <c r="H90" s="257">
        <f>IF(F90="TND",1,IF(F90="EUR",Vertical_Cash_flow!$C$16,IF(F90="USD",Vertical_Cash_flow!$F$16,0)))</f>
        <v>1</v>
      </c>
      <c r="I90" s="257">
        <f t="shared" si="61"/>
        <v>64795.500000000007</v>
      </c>
      <c r="J90" s="34" t="s">
        <v>252</v>
      </c>
      <c r="K90" s="622">
        <v>45460</v>
      </c>
      <c r="L90" s="424">
        <f t="shared" si="62"/>
        <v>4</v>
      </c>
      <c r="M90" s="622">
        <v>45464</v>
      </c>
      <c r="N90" s="412">
        <f t="shared" ca="1" si="63"/>
        <v>-23</v>
      </c>
      <c r="O90" s="34" t="str">
        <f>VLOOKUP(M90,Mapping!L148:M1022,2,0)</f>
        <v>W25_2024</v>
      </c>
      <c r="P90" s="34" t="str">
        <f t="shared" ca="1" si="64"/>
        <v>Not Due</v>
      </c>
      <c r="Q90" s="34"/>
      <c r="R90" s="34"/>
      <c r="S90" s="34"/>
    </row>
    <row r="91" spans="1:19" ht="12" customHeight="1" x14ac:dyDescent="0.2">
      <c r="A91" s="34" t="s">
        <v>58</v>
      </c>
      <c r="B91" s="34" t="s">
        <v>681</v>
      </c>
      <c r="C91" s="34" t="s">
        <v>66</v>
      </c>
      <c r="D91" s="34" t="s">
        <v>3400</v>
      </c>
      <c r="E91" s="34" t="s">
        <v>682</v>
      </c>
      <c r="F91" s="34" t="s">
        <v>35</v>
      </c>
      <c r="G91" s="427">
        <f t="shared" si="68"/>
        <v>64795.500000000007</v>
      </c>
      <c r="H91" s="257">
        <f>IF(F91="TND",1,IF(F91="EUR",Vertical_Cash_flow!$C$16,IF(F91="USD",Vertical_Cash_flow!$F$16,0)))</f>
        <v>1</v>
      </c>
      <c r="I91" s="257">
        <f t="shared" si="61"/>
        <v>64795.500000000007</v>
      </c>
      <c r="J91" s="34" t="s">
        <v>252</v>
      </c>
      <c r="K91" s="622">
        <v>45467</v>
      </c>
      <c r="L91" s="424">
        <f t="shared" si="62"/>
        <v>4</v>
      </c>
      <c r="M91" s="622">
        <v>45471</v>
      </c>
      <c r="N91" s="412">
        <f t="shared" ca="1" si="63"/>
        <v>-30</v>
      </c>
      <c r="O91" s="34" t="str">
        <f>VLOOKUP(M91,Mapping!L152:M1026,2,0)</f>
        <v>W26_2024</v>
      </c>
      <c r="P91" s="34" t="str">
        <f t="shared" ca="1" si="64"/>
        <v>Not Due</v>
      </c>
      <c r="Q91" s="34"/>
      <c r="R91" s="34"/>
      <c r="S91" s="34"/>
    </row>
    <row r="92" spans="1:19" x14ac:dyDescent="0.2">
      <c r="A92" s="34" t="s">
        <v>58</v>
      </c>
      <c r="B92" s="34" t="s">
        <v>681</v>
      </c>
      <c r="C92" s="34" t="s">
        <v>66</v>
      </c>
      <c r="D92" s="34" t="s">
        <v>3400</v>
      </c>
      <c r="E92" s="34" t="s">
        <v>682</v>
      </c>
      <c r="F92" s="34" t="s">
        <v>35</v>
      </c>
      <c r="G92" s="427">
        <f t="shared" si="68"/>
        <v>64795.500000000007</v>
      </c>
      <c r="H92" s="257">
        <f>IF(F92="TND",1,IF(F92="EUR",Vertical_Cash_flow!$C$16,IF(F92="USD",Vertical_Cash_flow!$F$16,0)))</f>
        <v>1</v>
      </c>
      <c r="I92" s="257">
        <f t="shared" si="61"/>
        <v>64795.500000000007</v>
      </c>
      <c r="J92" s="34" t="s">
        <v>252</v>
      </c>
      <c r="K92" s="622">
        <v>45474</v>
      </c>
      <c r="L92" s="424">
        <f t="shared" si="62"/>
        <v>4</v>
      </c>
      <c r="M92" s="622">
        <v>45478</v>
      </c>
      <c r="N92" s="412">
        <f t="shared" ca="1" si="63"/>
        <v>-37</v>
      </c>
      <c r="O92" s="34" t="str">
        <f>VLOOKUP(M92,Mapping!L156:M1030,2,0)</f>
        <v>W27_2024</v>
      </c>
      <c r="P92" s="34" t="str">
        <f t="shared" ca="1" si="64"/>
        <v>Not Due</v>
      </c>
      <c r="Q92" s="34"/>
      <c r="R92" s="34"/>
      <c r="S92" s="34"/>
    </row>
    <row r="93" spans="1:19" x14ac:dyDescent="0.2">
      <c r="A93" s="34" t="s">
        <v>58</v>
      </c>
      <c r="B93" s="34" t="s">
        <v>681</v>
      </c>
      <c r="C93" s="34" t="s">
        <v>66</v>
      </c>
      <c r="D93" s="34" t="s">
        <v>3400</v>
      </c>
      <c r="E93" s="34" t="s">
        <v>682</v>
      </c>
      <c r="F93" s="34" t="s">
        <v>35</v>
      </c>
      <c r="G93" s="427">
        <f t="shared" si="68"/>
        <v>64795.500000000007</v>
      </c>
      <c r="H93" s="257">
        <f>IF(F93="TND",1,IF(F93="EUR",Vertical_Cash_flow!$C$16,IF(F93="USD",Vertical_Cash_flow!$F$16,0)))</f>
        <v>1</v>
      </c>
      <c r="I93" s="257">
        <f t="shared" si="61"/>
        <v>64795.500000000007</v>
      </c>
      <c r="J93" s="34" t="s">
        <v>252</v>
      </c>
      <c r="K93" s="622">
        <v>45481</v>
      </c>
      <c r="L93" s="424">
        <f t="shared" si="62"/>
        <v>4</v>
      </c>
      <c r="M93" s="622">
        <v>45485</v>
      </c>
      <c r="N93" s="412">
        <f t="shared" ca="1" si="63"/>
        <v>-44</v>
      </c>
      <c r="O93" s="34" t="str">
        <f>VLOOKUP(M93,Mapping!L157:M1031,2,0)</f>
        <v>W28_2024</v>
      </c>
      <c r="P93" s="34" t="str">
        <f t="shared" ca="1" si="64"/>
        <v>Not Due</v>
      </c>
      <c r="Q93" s="34"/>
      <c r="R93" s="34"/>
      <c r="S93" s="34"/>
    </row>
    <row r="94" spans="1:19" ht="15" x14ac:dyDescent="0.25">
      <c r="A94" s="33" t="s">
        <v>58</v>
      </c>
      <c r="B94" s="623" t="s">
        <v>2317</v>
      </c>
      <c r="C94" s="33" t="s">
        <v>66</v>
      </c>
      <c r="D94" s="33" t="s">
        <v>67</v>
      </c>
      <c r="E94" s="33" t="s">
        <v>870</v>
      </c>
      <c r="F94" s="33" t="s">
        <v>35</v>
      </c>
      <c r="G94" s="624">
        <v>4091.3539999999998</v>
      </c>
      <c r="H94" s="255">
        <f>IF(F94="TND",1,IF(F94="EUR",Vertical_Cash_flow!$C$16,IF(F94="USD",Vertical_Cash_flow!$F$16,0)))</f>
        <v>1</v>
      </c>
      <c r="I94" s="255">
        <f t="shared" ref="I94:I125" si="69">G94/H94</f>
        <v>4091.3539999999998</v>
      </c>
      <c r="J94" s="33" t="s">
        <v>251</v>
      </c>
      <c r="K94" s="625">
        <v>45114</v>
      </c>
      <c r="L94" s="255">
        <f t="shared" ref="L94:L136" si="70">M94-K94</f>
        <v>60</v>
      </c>
      <c r="M94" s="625">
        <v>45174</v>
      </c>
      <c r="N94" s="411">
        <f ca="1">'Other Operational payments'!$S$1-M94</f>
        <v>267</v>
      </c>
      <c r="O94" s="33" t="str">
        <f>VLOOKUP(M94,Mapping!L:M,2,0)</f>
        <v>W36_2023</v>
      </c>
      <c r="P94" s="33" t="str">
        <f t="shared" ref="P94:P125" ca="1" si="71">IF(N94="","",IF(N94&lt;0,"Not Due",IF(AND(N94&gt;=0,N94&lt;=30),"up 30 days",IF(AND(N94&gt;30,N94&lt;=60),"30-60 days",IF(AND(N94&gt;60,N94&lt;=90),"60-90 days",IF(AND(N94&gt;90,N94&lt;=120),"90-120 days",IF(AND(N94&gt;120,N94&lt;=180),"120-180 days",IF(AND(N94&gt;180,N94&lt;=360),"180-360 days",IF(N94&gt;360,"more than 360 days","ok")))))))))</f>
        <v>180-360 days</v>
      </c>
    </row>
    <row r="95" spans="1:19" ht="15" x14ac:dyDescent="0.25">
      <c r="A95" s="33" t="s">
        <v>58</v>
      </c>
      <c r="B95" s="623" t="s">
        <v>2317</v>
      </c>
      <c r="C95" s="33" t="s">
        <v>66</v>
      </c>
      <c r="D95" s="33" t="s">
        <v>67</v>
      </c>
      <c r="E95" s="33" t="s">
        <v>870</v>
      </c>
      <c r="F95" s="33" t="s">
        <v>35</v>
      </c>
      <c r="G95" s="624">
        <v>5138.6850000000004</v>
      </c>
      <c r="H95" s="255">
        <f>IF(F95="TND",1,IF(F95="EUR",Vertical_Cash_flow!$C$16,IF(F95="USD",Vertical_Cash_flow!$F$16,0)))</f>
        <v>1</v>
      </c>
      <c r="I95" s="255">
        <f t="shared" si="69"/>
        <v>5138.6850000000004</v>
      </c>
      <c r="J95" s="33" t="s">
        <v>251</v>
      </c>
      <c r="K95" s="625">
        <v>45148</v>
      </c>
      <c r="L95" s="255">
        <f t="shared" si="70"/>
        <v>46</v>
      </c>
      <c r="M95" s="625">
        <v>45194</v>
      </c>
      <c r="N95" s="411">
        <f ca="1">'Other Operational payments'!$S$1-M95</f>
        <v>247</v>
      </c>
      <c r="O95" s="33" t="str">
        <f>VLOOKUP(M95,Mapping!L:M,2,0)</f>
        <v>W39_2023</v>
      </c>
      <c r="P95" s="33" t="str">
        <f t="shared" ca="1" si="71"/>
        <v>180-360 days</v>
      </c>
    </row>
    <row r="96" spans="1:19" ht="15" x14ac:dyDescent="0.25">
      <c r="A96" s="33" t="s">
        <v>58</v>
      </c>
      <c r="B96" s="623" t="s">
        <v>2317</v>
      </c>
      <c r="C96" s="33" t="s">
        <v>66</v>
      </c>
      <c r="D96" s="33" t="s">
        <v>67</v>
      </c>
      <c r="E96" s="33" t="s">
        <v>870</v>
      </c>
      <c r="F96" s="33" t="s">
        <v>35</v>
      </c>
      <c r="G96" s="624">
        <v>4907.777</v>
      </c>
      <c r="H96" s="255">
        <f>IF(F96="TND",1,IF(F96="EUR",Vertical_Cash_flow!$C$16,IF(F96="USD",Vertical_Cash_flow!$F$16,0)))</f>
        <v>1</v>
      </c>
      <c r="I96" s="255">
        <f t="shared" si="69"/>
        <v>4907.777</v>
      </c>
      <c r="J96" s="33" t="s">
        <v>251</v>
      </c>
      <c r="K96" s="625">
        <v>45160</v>
      </c>
      <c r="L96" s="255">
        <f t="shared" si="70"/>
        <v>49</v>
      </c>
      <c r="M96" s="625">
        <v>45209</v>
      </c>
      <c r="N96" s="411">
        <f ca="1">'Other Operational payments'!$S$1-M96</f>
        <v>232</v>
      </c>
      <c r="O96" s="33" t="str">
        <f>VLOOKUP(M96,Mapping!L:M,2,0)</f>
        <v>W41_2023</v>
      </c>
      <c r="P96" s="33" t="str">
        <f t="shared" ca="1" si="71"/>
        <v>180-360 days</v>
      </c>
    </row>
    <row r="97" spans="1:16" s="34" customFormat="1" ht="15" x14ac:dyDescent="0.25">
      <c r="A97" s="34" t="s">
        <v>58</v>
      </c>
      <c r="B97" s="626" t="s">
        <v>2317</v>
      </c>
      <c r="C97" s="34" t="s">
        <v>66</v>
      </c>
      <c r="D97" s="34" t="s">
        <v>67</v>
      </c>
      <c r="E97" s="34" t="s">
        <v>870</v>
      </c>
      <c r="F97" s="34" t="s">
        <v>35</v>
      </c>
      <c r="G97" s="627">
        <v>4091.3539999999998</v>
      </c>
      <c r="H97" s="257">
        <f>IF(F97="TND",1,IF(F97="EUR",Vertical_Cash_flow!$C$16,IF(F97="USD",Vertical_Cash_flow!$F$16,0)))</f>
        <v>1</v>
      </c>
      <c r="I97" s="257">
        <f t="shared" si="69"/>
        <v>4091.3539999999998</v>
      </c>
      <c r="J97" s="34" t="s">
        <v>252</v>
      </c>
      <c r="K97" s="628">
        <v>45114</v>
      </c>
      <c r="L97" s="257">
        <f t="shared" si="70"/>
        <v>322</v>
      </c>
      <c r="M97" s="628">
        <v>45436</v>
      </c>
      <c r="N97" s="412">
        <f ca="1">'Other Operational payments'!$S$1-M97</f>
        <v>5</v>
      </c>
      <c r="O97" s="34" t="str">
        <f>VLOOKUP(M97,Mapping!L:M,2,0)</f>
        <v>W21_2024</v>
      </c>
      <c r="P97" s="34" t="str">
        <f t="shared" ca="1" si="71"/>
        <v>up 30 days</v>
      </c>
    </row>
    <row r="98" spans="1:16" s="34" customFormat="1" ht="15" x14ac:dyDescent="0.25">
      <c r="A98" s="34" t="s">
        <v>58</v>
      </c>
      <c r="B98" s="626" t="s">
        <v>2317</v>
      </c>
      <c r="C98" s="34" t="s">
        <v>66</v>
      </c>
      <c r="D98" s="34" t="s">
        <v>67</v>
      </c>
      <c r="E98" s="34" t="s">
        <v>870</v>
      </c>
      <c r="F98" s="34" t="s">
        <v>35</v>
      </c>
      <c r="G98" s="627">
        <v>5138.6850000000004</v>
      </c>
      <c r="H98" s="257">
        <f>IF(F98="TND",1,IF(F98="EUR",Vertical_Cash_flow!$C$16,IF(F98="USD",Vertical_Cash_flow!$F$16,0)))</f>
        <v>1</v>
      </c>
      <c r="I98" s="257">
        <f t="shared" si="69"/>
        <v>5138.6850000000004</v>
      </c>
      <c r="J98" s="34" t="s">
        <v>252</v>
      </c>
      <c r="K98" s="628">
        <v>45148</v>
      </c>
      <c r="L98" s="257">
        <f t="shared" si="70"/>
        <v>288</v>
      </c>
      <c r="M98" s="628">
        <v>45436</v>
      </c>
      <c r="N98" s="412">
        <f ca="1">'Other Operational payments'!$S$1-M98</f>
        <v>5</v>
      </c>
      <c r="O98" s="34" t="str">
        <f>VLOOKUP(M98,Mapping!L:M,2,0)</f>
        <v>W21_2024</v>
      </c>
      <c r="P98" s="34" t="str">
        <f t="shared" ca="1" si="71"/>
        <v>up 30 days</v>
      </c>
    </row>
    <row r="99" spans="1:16" s="34" customFormat="1" ht="15" x14ac:dyDescent="0.25">
      <c r="A99" s="34" t="s">
        <v>58</v>
      </c>
      <c r="B99" s="626" t="s">
        <v>2317</v>
      </c>
      <c r="C99" s="34" t="s">
        <v>66</v>
      </c>
      <c r="D99" s="34" t="s">
        <v>67</v>
      </c>
      <c r="E99" s="34" t="s">
        <v>870</v>
      </c>
      <c r="F99" s="34" t="s">
        <v>35</v>
      </c>
      <c r="G99" s="627">
        <v>4907.777</v>
      </c>
      <c r="H99" s="257">
        <f>IF(F99="TND",1,IF(F99="EUR",Vertical_Cash_flow!$C$16,IF(F99="USD",Vertical_Cash_flow!$F$16,0)))</f>
        <v>1</v>
      </c>
      <c r="I99" s="257">
        <f t="shared" si="69"/>
        <v>4907.777</v>
      </c>
      <c r="J99" s="34" t="s">
        <v>252</v>
      </c>
      <c r="K99" s="628">
        <v>45160</v>
      </c>
      <c r="L99" s="257">
        <f t="shared" si="70"/>
        <v>276</v>
      </c>
      <c r="M99" s="628">
        <v>45436</v>
      </c>
      <c r="N99" s="412">
        <f ca="1">'Other Operational payments'!$S$1-M99</f>
        <v>5</v>
      </c>
      <c r="O99" s="34" t="str">
        <f>VLOOKUP(M99,Mapping!L:M,2,0)</f>
        <v>W21_2024</v>
      </c>
      <c r="P99" s="34" t="str">
        <f t="shared" ca="1" si="71"/>
        <v>up 30 days</v>
      </c>
    </row>
    <row r="100" spans="1:16" ht="15" x14ac:dyDescent="0.25">
      <c r="A100" s="33" t="s">
        <v>58</v>
      </c>
      <c r="B100" t="s">
        <v>897</v>
      </c>
      <c r="C100" s="33" t="s">
        <v>66</v>
      </c>
      <c r="D100" s="33" t="s">
        <v>67</v>
      </c>
      <c r="E100" s="33" t="s">
        <v>867</v>
      </c>
      <c r="F100" s="33" t="s">
        <v>35</v>
      </c>
      <c r="G100" s="355">
        <v>11134.035</v>
      </c>
      <c r="H100" s="255">
        <f>IF(F100="TND",1,IF(F100="EUR",Vertical_Cash_flow!$C$16,IF(F100="USD",Vertical_Cash_flow!$F$16,0)))</f>
        <v>1</v>
      </c>
      <c r="I100" s="255">
        <f t="shared" si="69"/>
        <v>11134.035</v>
      </c>
      <c r="J100" s="33" t="s">
        <v>251</v>
      </c>
      <c r="K100" s="39">
        <v>45379</v>
      </c>
      <c r="L100" s="255">
        <f t="shared" si="70"/>
        <v>58</v>
      </c>
      <c r="M100" s="625">
        <v>45437</v>
      </c>
      <c r="N100" s="411">
        <f ca="1">'Other Operational payments'!$S$1-M100</f>
        <v>4</v>
      </c>
      <c r="O100" s="33" t="str">
        <f>VLOOKUP(M100,Mapping!L:M,2,0)</f>
        <v>W22_2024</v>
      </c>
      <c r="P100" s="33" t="str">
        <f t="shared" ca="1" si="71"/>
        <v>up 30 days</v>
      </c>
    </row>
    <row r="101" spans="1:16" ht="15" x14ac:dyDescent="0.25">
      <c r="A101" s="33" t="s">
        <v>58</v>
      </c>
      <c r="B101" t="s">
        <v>897</v>
      </c>
      <c r="C101" s="33" t="s">
        <v>66</v>
      </c>
      <c r="D101" s="33" t="s">
        <v>67</v>
      </c>
      <c r="E101" s="33" t="s">
        <v>867</v>
      </c>
      <c r="F101" s="33" t="s">
        <v>35</v>
      </c>
      <c r="G101" s="355">
        <v>19844.613000000001</v>
      </c>
      <c r="H101" s="255">
        <f>IF(F101="TND",1,IF(F101="EUR",Vertical_Cash_flow!$C$16,IF(F101="USD",Vertical_Cash_flow!$F$16,0)))</f>
        <v>1</v>
      </c>
      <c r="I101" s="255">
        <f t="shared" si="69"/>
        <v>19844.613000000001</v>
      </c>
      <c r="J101" s="33" t="s">
        <v>251</v>
      </c>
      <c r="K101" s="39">
        <v>45397</v>
      </c>
      <c r="L101" s="255">
        <f t="shared" si="70"/>
        <v>51</v>
      </c>
      <c r="M101" s="625">
        <v>45448</v>
      </c>
      <c r="N101" s="411">
        <f ca="1">'Other Operational payments'!$S$1-M101</f>
        <v>-7</v>
      </c>
      <c r="O101" s="33" t="str">
        <f>VLOOKUP(M101,Mapping!L:M,2,0)</f>
        <v>W23_2024</v>
      </c>
      <c r="P101" s="33" t="str">
        <f t="shared" ca="1" si="71"/>
        <v>Not Due</v>
      </c>
    </row>
    <row r="102" spans="1:16" ht="15" x14ac:dyDescent="0.25">
      <c r="A102" s="33" t="s">
        <v>58</v>
      </c>
      <c r="B102" t="s">
        <v>897</v>
      </c>
      <c r="C102" s="33" t="s">
        <v>66</v>
      </c>
      <c r="D102" s="33" t="s">
        <v>67</v>
      </c>
      <c r="E102" s="33" t="s">
        <v>867</v>
      </c>
      <c r="F102" s="33" t="s">
        <v>35</v>
      </c>
      <c r="G102" s="355">
        <v>5249.4260000000004</v>
      </c>
      <c r="H102" s="255">
        <f>IF(F102="TND",1,IF(F102="EUR",Vertical_Cash_flow!$C$16,IF(F102="USD",Vertical_Cash_flow!$F$16,0)))</f>
        <v>1</v>
      </c>
      <c r="I102" s="255">
        <f t="shared" si="69"/>
        <v>5249.4260000000004</v>
      </c>
      <c r="J102" s="33" t="s">
        <v>251</v>
      </c>
      <c r="K102" s="39">
        <v>45419</v>
      </c>
      <c r="L102" s="255">
        <f t="shared" si="70"/>
        <v>59</v>
      </c>
      <c r="M102" s="625">
        <v>45478</v>
      </c>
      <c r="N102" s="411">
        <f ca="1">'Other Operational payments'!$S$1-M102</f>
        <v>-37</v>
      </c>
      <c r="O102" s="33" t="str">
        <f>VLOOKUP(M102,Mapping!L:M,2,0)</f>
        <v>W27_2024</v>
      </c>
      <c r="P102" s="33" t="str">
        <f t="shared" ca="1" si="71"/>
        <v>Not Due</v>
      </c>
    </row>
    <row r="103" spans="1:16" ht="15" x14ac:dyDescent="0.25">
      <c r="A103" s="33" t="s">
        <v>58</v>
      </c>
      <c r="B103" t="s">
        <v>864</v>
      </c>
      <c r="C103" s="33" t="s">
        <v>66</v>
      </c>
      <c r="D103" s="33" t="s">
        <v>67</v>
      </c>
      <c r="E103" s="33" t="s">
        <v>868</v>
      </c>
      <c r="F103" s="33" t="s">
        <v>35</v>
      </c>
      <c r="G103" s="355">
        <v>1131.9659999999999</v>
      </c>
      <c r="H103" s="255">
        <f>IF(F103="TND",1,IF(F103="EUR",Vertical_Cash_flow!$C$16,IF(F103="USD",Vertical_Cash_flow!$F$16,0)))</f>
        <v>1</v>
      </c>
      <c r="I103" s="255">
        <f t="shared" si="69"/>
        <v>1131.9659999999999</v>
      </c>
      <c r="J103" s="33" t="s">
        <v>251</v>
      </c>
      <c r="K103" s="39">
        <v>45358</v>
      </c>
      <c r="L103" s="255">
        <f t="shared" si="70"/>
        <v>90</v>
      </c>
      <c r="M103" s="625">
        <v>45448</v>
      </c>
      <c r="N103" s="411">
        <f ca="1">'Other Operational payments'!$S$1-M103</f>
        <v>-7</v>
      </c>
      <c r="O103" s="33" t="str">
        <f>VLOOKUP(M103,Mapping!L:M,2,0)</f>
        <v>W23_2024</v>
      </c>
      <c r="P103" s="33" t="str">
        <f t="shared" ca="1" si="71"/>
        <v>Not Due</v>
      </c>
    </row>
    <row r="104" spans="1:16" ht="15" x14ac:dyDescent="0.25">
      <c r="A104" s="33" t="s">
        <v>58</v>
      </c>
      <c r="B104" t="s">
        <v>864</v>
      </c>
      <c r="C104" s="33" t="s">
        <v>66</v>
      </c>
      <c r="D104" s="33" t="s">
        <v>67</v>
      </c>
      <c r="E104" s="33" t="s">
        <v>868</v>
      </c>
      <c r="F104" s="33" t="s">
        <v>35</v>
      </c>
      <c r="G104" s="355">
        <v>953</v>
      </c>
      <c r="H104" s="255">
        <f>IF(F104="TND",1,IF(F104="EUR",Vertical_Cash_flow!$C$16,IF(F104="USD",Vertical_Cash_flow!$F$16,0)))</f>
        <v>1</v>
      </c>
      <c r="I104" s="255">
        <f t="shared" si="69"/>
        <v>953</v>
      </c>
      <c r="J104" s="33" t="s">
        <v>251</v>
      </c>
      <c r="K104" s="39">
        <v>45379</v>
      </c>
      <c r="L104" s="255">
        <f t="shared" si="70"/>
        <v>84</v>
      </c>
      <c r="M104" s="625">
        <v>45463</v>
      </c>
      <c r="N104" s="411">
        <f ca="1">'Other Operational payments'!$S$1-M104</f>
        <v>-22</v>
      </c>
      <c r="O104" s="33" t="str">
        <f>VLOOKUP(M104,Mapping!L:M,2,0)</f>
        <v>W25_2024</v>
      </c>
      <c r="P104" s="33" t="str">
        <f t="shared" ca="1" si="71"/>
        <v>Not Due</v>
      </c>
    </row>
    <row r="105" spans="1:16" ht="15" x14ac:dyDescent="0.25">
      <c r="A105" s="33" t="s">
        <v>58</v>
      </c>
      <c r="B105" t="s">
        <v>864</v>
      </c>
      <c r="C105" s="33" t="s">
        <v>66</v>
      </c>
      <c r="D105" s="33" t="s">
        <v>67</v>
      </c>
      <c r="E105" s="33" t="s">
        <v>868</v>
      </c>
      <c r="F105" s="33" t="s">
        <v>35</v>
      </c>
      <c r="G105" s="355">
        <v>1326.3530000000001</v>
      </c>
      <c r="H105" s="255">
        <f>IF(F105="TND",1,IF(F105="EUR",Vertical_Cash_flow!$C$16,IF(F105="USD",Vertical_Cash_flow!$F$16,0)))</f>
        <v>1</v>
      </c>
      <c r="I105" s="255">
        <f t="shared" si="69"/>
        <v>1326.3530000000001</v>
      </c>
      <c r="J105" s="33" t="s">
        <v>251</v>
      </c>
      <c r="K105" s="39">
        <v>45419</v>
      </c>
      <c r="L105" s="255">
        <f t="shared" si="70"/>
        <v>105</v>
      </c>
      <c r="M105" s="625">
        <v>45524</v>
      </c>
      <c r="N105" s="411">
        <f ca="1">'Other Operational payments'!$S$1-M105</f>
        <v>-83</v>
      </c>
      <c r="O105" s="33" t="str">
        <f>VLOOKUP(M105,Mapping!L:M,2,0)</f>
        <v>W34_2024</v>
      </c>
      <c r="P105" s="33" t="str">
        <f t="shared" ca="1" si="71"/>
        <v>Not Due</v>
      </c>
    </row>
    <row r="106" spans="1:16" ht="15" x14ac:dyDescent="0.25">
      <c r="A106" s="33" t="s">
        <v>58</v>
      </c>
      <c r="B106" t="s">
        <v>863</v>
      </c>
      <c r="C106" s="33" t="s">
        <v>66</v>
      </c>
      <c r="D106" s="33" t="s">
        <v>67</v>
      </c>
      <c r="E106" s="33" t="s">
        <v>869</v>
      </c>
      <c r="F106" s="33" t="s">
        <v>35</v>
      </c>
      <c r="G106" s="355">
        <v>4701.0209999999997</v>
      </c>
      <c r="H106" s="255">
        <f>IF(F106="TND",1,IF(F106="EUR",Vertical_Cash_flow!$C$16,IF(F106="USD",Vertical_Cash_flow!$F$16,0)))</f>
        <v>1</v>
      </c>
      <c r="I106" s="255">
        <f t="shared" si="69"/>
        <v>4701.0209999999997</v>
      </c>
      <c r="J106" s="33" t="s">
        <v>251</v>
      </c>
      <c r="K106" s="39">
        <v>45365</v>
      </c>
      <c r="L106" s="255">
        <f t="shared" si="70"/>
        <v>72</v>
      </c>
      <c r="M106" s="625">
        <v>45437</v>
      </c>
      <c r="N106" s="411">
        <f ca="1">'Other Operational payments'!$S$1-M106</f>
        <v>4</v>
      </c>
      <c r="O106" s="33" t="str">
        <f>VLOOKUP(M106,Mapping!L:M,2,0)</f>
        <v>W22_2024</v>
      </c>
      <c r="P106" s="33" t="str">
        <f t="shared" ca="1" si="71"/>
        <v>up 30 days</v>
      </c>
    </row>
    <row r="107" spans="1:16" ht="15" x14ac:dyDescent="0.25">
      <c r="A107" s="33" t="s">
        <v>58</v>
      </c>
      <c r="B107" t="s">
        <v>863</v>
      </c>
      <c r="C107" s="33" t="s">
        <v>66</v>
      </c>
      <c r="D107" s="33" t="s">
        <v>67</v>
      </c>
      <c r="E107" s="33" t="s">
        <v>869</v>
      </c>
      <c r="F107" s="33" t="s">
        <v>35</v>
      </c>
      <c r="G107" s="355">
        <v>11010.96</v>
      </c>
      <c r="H107" s="255">
        <f>IF(F107="TND",1,IF(F107="EUR",Vertical_Cash_flow!$C$16,IF(F107="USD",Vertical_Cash_flow!$F$16,0)))</f>
        <v>1</v>
      </c>
      <c r="I107" s="255">
        <f t="shared" si="69"/>
        <v>11010.96</v>
      </c>
      <c r="J107" s="33" t="s">
        <v>251</v>
      </c>
      <c r="K107" s="39">
        <v>45358</v>
      </c>
      <c r="L107" s="255">
        <f t="shared" si="70"/>
        <v>90</v>
      </c>
      <c r="M107" s="625">
        <v>45448</v>
      </c>
      <c r="N107" s="411">
        <f ca="1">'Other Operational payments'!$S$1-M107</f>
        <v>-7</v>
      </c>
      <c r="O107" s="33" t="str">
        <f>VLOOKUP(M107,Mapping!L:M,2,0)</f>
        <v>W23_2024</v>
      </c>
      <c r="P107" s="33" t="str">
        <f t="shared" ca="1" si="71"/>
        <v>Not Due</v>
      </c>
    </row>
    <row r="108" spans="1:16" ht="15" x14ac:dyDescent="0.25">
      <c r="A108" s="33" t="s">
        <v>58</v>
      </c>
      <c r="B108" t="s">
        <v>863</v>
      </c>
      <c r="C108" s="33" t="s">
        <v>66</v>
      </c>
      <c r="D108" s="33" t="s">
        <v>67</v>
      </c>
      <c r="E108" s="33" t="s">
        <v>869</v>
      </c>
      <c r="F108" s="33" t="s">
        <v>35</v>
      </c>
      <c r="G108" s="355">
        <v>12702.772000000001</v>
      </c>
      <c r="H108" s="255">
        <f>IF(F108="TND",1,IF(F108="EUR",Vertical_Cash_flow!$C$16,IF(F108="USD",Vertical_Cash_flow!$F$16,0)))</f>
        <v>1</v>
      </c>
      <c r="I108" s="255">
        <f t="shared" si="69"/>
        <v>12702.772000000001</v>
      </c>
      <c r="J108" s="33" t="s">
        <v>251</v>
      </c>
      <c r="K108" s="39">
        <v>45406</v>
      </c>
      <c r="L108" s="255">
        <f t="shared" si="70"/>
        <v>42</v>
      </c>
      <c r="M108" s="625">
        <v>45448</v>
      </c>
      <c r="N108" s="411">
        <f ca="1">'Other Operational payments'!$S$1-M108</f>
        <v>-7</v>
      </c>
      <c r="O108" s="33" t="str">
        <f>VLOOKUP(M108,Mapping!L:M,2,0)</f>
        <v>W23_2024</v>
      </c>
      <c r="P108" s="33" t="str">
        <f t="shared" ca="1" si="71"/>
        <v>Not Due</v>
      </c>
    </row>
    <row r="109" spans="1:16" ht="15" x14ac:dyDescent="0.25">
      <c r="A109" s="33" t="s">
        <v>58</v>
      </c>
      <c r="B109" t="s">
        <v>863</v>
      </c>
      <c r="C109" s="33" t="s">
        <v>66</v>
      </c>
      <c r="D109" s="33" t="s">
        <v>67</v>
      </c>
      <c r="E109" s="33" t="s">
        <v>869</v>
      </c>
      <c r="F109" s="33" t="s">
        <v>35</v>
      </c>
      <c r="G109" s="355">
        <v>36984.671999999999</v>
      </c>
      <c r="H109" s="255">
        <f>IF(F109="TND",1,IF(F109="EUR",Vertical_Cash_flow!$C$16,IF(F109="USD",Vertical_Cash_flow!$F$16,0)))</f>
        <v>1</v>
      </c>
      <c r="I109" s="255">
        <f t="shared" si="69"/>
        <v>36984.671999999999</v>
      </c>
      <c r="J109" s="33" t="s">
        <v>251</v>
      </c>
      <c r="K109" s="39">
        <v>45379</v>
      </c>
      <c r="L109" s="255">
        <f t="shared" si="70"/>
        <v>84</v>
      </c>
      <c r="M109" s="625">
        <v>45463</v>
      </c>
      <c r="N109" s="411">
        <f ca="1">'Other Operational payments'!$S$1-M109</f>
        <v>-22</v>
      </c>
      <c r="O109" s="33" t="str">
        <f>VLOOKUP(M109,Mapping!L:M,2,0)</f>
        <v>W25_2024</v>
      </c>
      <c r="P109" s="33" t="str">
        <f t="shared" ca="1" si="71"/>
        <v>Not Due</v>
      </c>
    </row>
    <row r="110" spans="1:16" ht="15" x14ac:dyDescent="0.25">
      <c r="A110" s="33" t="s">
        <v>58</v>
      </c>
      <c r="B110" t="s">
        <v>863</v>
      </c>
      <c r="C110" s="33" t="s">
        <v>66</v>
      </c>
      <c r="D110" s="33" t="s">
        <v>67</v>
      </c>
      <c r="E110" s="33" t="s">
        <v>869</v>
      </c>
      <c r="F110" s="33" t="s">
        <v>35</v>
      </c>
      <c r="G110" s="355">
        <v>403.637</v>
      </c>
      <c r="H110" s="255">
        <f>IF(F110="TND",1,IF(F110="EUR",Vertical_Cash_flow!$C$16,IF(F110="USD",Vertical_Cash_flow!$F$16,0)))</f>
        <v>1</v>
      </c>
      <c r="I110" s="255">
        <f t="shared" si="69"/>
        <v>403.637</v>
      </c>
      <c r="J110" s="33" t="s">
        <v>251</v>
      </c>
      <c r="K110" s="39">
        <v>45387</v>
      </c>
      <c r="L110" s="255">
        <f t="shared" si="70"/>
        <v>76</v>
      </c>
      <c r="M110" s="625">
        <v>45463</v>
      </c>
      <c r="N110" s="411">
        <f ca="1">'Other Operational payments'!$S$1-M110</f>
        <v>-22</v>
      </c>
      <c r="O110" s="33" t="str">
        <f>VLOOKUP(M110,Mapping!L:M,2,0)</f>
        <v>W25_2024</v>
      </c>
      <c r="P110" s="33" t="str">
        <f t="shared" ca="1" si="71"/>
        <v>Not Due</v>
      </c>
    </row>
    <row r="111" spans="1:16" ht="15" x14ac:dyDescent="0.25">
      <c r="A111" s="33" t="s">
        <v>58</v>
      </c>
      <c r="B111" t="s">
        <v>863</v>
      </c>
      <c r="C111" s="33" t="s">
        <v>66</v>
      </c>
      <c r="D111" s="33" t="s">
        <v>67</v>
      </c>
      <c r="E111" s="33" t="s">
        <v>869</v>
      </c>
      <c r="F111" s="33" t="s">
        <v>35</v>
      </c>
      <c r="G111" s="355">
        <v>24294.434000000001</v>
      </c>
      <c r="H111" s="255">
        <f>IF(F111="TND",1,IF(F111="EUR",Vertical_Cash_flow!$C$16,IF(F111="USD",Vertical_Cash_flow!$F$16,0)))</f>
        <v>1</v>
      </c>
      <c r="I111" s="255">
        <f t="shared" si="69"/>
        <v>24294.434000000001</v>
      </c>
      <c r="J111" s="33" t="s">
        <v>251</v>
      </c>
      <c r="K111" s="39">
        <v>45406</v>
      </c>
      <c r="L111" s="255">
        <f t="shared" si="70"/>
        <v>72</v>
      </c>
      <c r="M111" s="625">
        <v>45478</v>
      </c>
      <c r="N111" s="411">
        <f ca="1">'Other Operational payments'!$S$1-M111</f>
        <v>-37</v>
      </c>
      <c r="O111" s="33" t="str">
        <f>VLOOKUP(M111,Mapping!L:M,2,0)</f>
        <v>W27_2024</v>
      </c>
      <c r="P111" s="33" t="str">
        <f t="shared" ca="1" si="71"/>
        <v>Not Due</v>
      </c>
    </row>
    <row r="112" spans="1:16" ht="15" x14ac:dyDescent="0.25">
      <c r="A112" s="33" t="s">
        <v>58</v>
      </c>
      <c r="B112" t="s">
        <v>866</v>
      </c>
      <c r="C112" s="33" t="s">
        <v>66</v>
      </c>
      <c r="D112" s="33" t="s">
        <v>67</v>
      </c>
      <c r="E112" s="33" t="s">
        <v>867</v>
      </c>
      <c r="F112" s="33" t="s">
        <v>35</v>
      </c>
      <c r="G112" s="355">
        <v>2710.62</v>
      </c>
      <c r="H112" s="255">
        <f>IF(F112="TND",1,IF(F112="EUR",Vertical_Cash_flow!$C$16,IF(F112="USD",Vertical_Cash_flow!$F$16,0)))</f>
        <v>1</v>
      </c>
      <c r="I112" s="255">
        <f t="shared" si="69"/>
        <v>2710.62</v>
      </c>
      <c r="J112" s="33" t="s">
        <v>251</v>
      </c>
      <c r="K112" s="39">
        <v>45406</v>
      </c>
      <c r="L112" s="255">
        <f t="shared" si="70"/>
        <v>103</v>
      </c>
      <c r="M112" s="625">
        <v>45509</v>
      </c>
      <c r="N112" s="411">
        <f ca="1">'Other Operational payments'!$S$1-M112</f>
        <v>-68</v>
      </c>
      <c r="O112" s="33" t="str">
        <f>VLOOKUP(M112,Mapping!L:M,2,0)</f>
        <v>W32_2024</v>
      </c>
      <c r="P112" s="33" t="str">
        <f t="shared" ca="1" si="71"/>
        <v>Not Due</v>
      </c>
    </row>
    <row r="113" spans="1:16" ht="15" x14ac:dyDescent="0.25">
      <c r="A113" s="33" t="s">
        <v>58</v>
      </c>
      <c r="B113" t="s">
        <v>866</v>
      </c>
      <c r="C113" s="33" t="s">
        <v>66</v>
      </c>
      <c r="D113" s="33" t="s">
        <v>67</v>
      </c>
      <c r="E113" s="33" t="s">
        <v>867</v>
      </c>
      <c r="F113" s="33" t="s">
        <v>35</v>
      </c>
      <c r="G113" s="355">
        <v>19934.441999999999</v>
      </c>
      <c r="H113" s="255">
        <f>IF(F113="TND",1,IF(F113="EUR",Vertical_Cash_flow!$C$16,IF(F113="USD",Vertical_Cash_flow!$F$16,0)))</f>
        <v>1</v>
      </c>
      <c r="I113" s="255">
        <f t="shared" si="69"/>
        <v>19934.441999999999</v>
      </c>
      <c r="J113" s="33" t="s">
        <v>251</v>
      </c>
      <c r="K113" s="39">
        <v>45418</v>
      </c>
      <c r="L113" s="255">
        <f t="shared" si="70"/>
        <v>91</v>
      </c>
      <c r="M113" s="625">
        <v>45509</v>
      </c>
      <c r="N113" s="411">
        <f ca="1">'Other Operational payments'!$S$1-M113</f>
        <v>-68</v>
      </c>
      <c r="O113" s="33" t="str">
        <f>VLOOKUP(M113,Mapping!L:M,2,0)</f>
        <v>W32_2024</v>
      </c>
      <c r="P113" s="33" t="str">
        <f t="shared" ca="1" si="71"/>
        <v>Not Due</v>
      </c>
    </row>
    <row r="114" spans="1:16" ht="15" x14ac:dyDescent="0.25">
      <c r="A114" s="33" t="s">
        <v>58</v>
      </c>
      <c r="B114" t="s">
        <v>865</v>
      </c>
      <c r="C114" s="33" t="s">
        <v>66</v>
      </c>
      <c r="D114" s="33" t="s">
        <v>67</v>
      </c>
      <c r="E114" s="33" t="s">
        <v>870</v>
      </c>
      <c r="F114" s="33" t="s">
        <v>35</v>
      </c>
      <c r="G114" s="355">
        <v>12135.42</v>
      </c>
      <c r="H114" s="255">
        <f>IF(F114="TND",1,IF(F114="EUR",Vertical_Cash_flow!$C$16,IF(F114="USD",Vertical_Cash_flow!$F$16,0)))</f>
        <v>1</v>
      </c>
      <c r="I114" s="255">
        <f t="shared" si="69"/>
        <v>12135.42</v>
      </c>
      <c r="J114" s="33" t="s">
        <v>251</v>
      </c>
      <c r="K114" s="39">
        <v>45418</v>
      </c>
      <c r="L114" s="255">
        <f t="shared" si="70"/>
        <v>50</v>
      </c>
      <c r="M114" s="625">
        <v>45468</v>
      </c>
      <c r="N114" s="411">
        <f ca="1">'Other Operational payments'!$S$1-M114</f>
        <v>-27</v>
      </c>
      <c r="O114" s="33" t="str">
        <f>VLOOKUP(M114,Mapping!L:M,2,0)</f>
        <v>W26_2024</v>
      </c>
      <c r="P114" s="33" t="str">
        <f t="shared" ca="1" si="71"/>
        <v>Not Due</v>
      </c>
    </row>
    <row r="115" spans="1:16" ht="15" x14ac:dyDescent="0.25">
      <c r="A115" s="33" t="s">
        <v>58</v>
      </c>
      <c r="B115" t="s">
        <v>862</v>
      </c>
      <c r="C115" s="33" t="s">
        <v>66</v>
      </c>
      <c r="D115" s="33" t="s">
        <v>67</v>
      </c>
      <c r="E115" s="33" t="s">
        <v>868</v>
      </c>
      <c r="F115" s="33" t="s">
        <v>35</v>
      </c>
      <c r="G115" s="355">
        <v>943.11199999999997</v>
      </c>
      <c r="H115" s="255">
        <f>IF(F115="TND",1,IF(F115="EUR",Vertical_Cash_flow!$C$16,IF(F115="USD",Vertical_Cash_flow!$F$16,0)))</f>
        <v>1</v>
      </c>
      <c r="I115" s="255">
        <f t="shared" si="69"/>
        <v>943.11199999999997</v>
      </c>
      <c r="J115" s="33" t="s">
        <v>251</v>
      </c>
      <c r="K115" s="39">
        <v>45379</v>
      </c>
      <c r="L115" s="255">
        <f t="shared" si="70"/>
        <v>58</v>
      </c>
      <c r="M115" s="625">
        <v>45437</v>
      </c>
      <c r="N115" s="411">
        <f ca="1">'Other Operational payments'!$S$1-M115</f>
        <v>4</v>
      </c>
      <c r="O115" s="33" t="str">
        <f>VLOOKUP(M115,Mapping!L:M,2,0)</f>
        <v>W22_2024</v>
      </c>
      <c r="P115" s="33" t="str">
        <f t="shared" ca="1" si="71"/>
        <v>up 30 days</v>
      </c>
    </row>
    <row r="116" spans="1:16" ht="15" x14ac:dyDescent="0.25">
      <c r="A116" s="33" t="s">
        <v>58</v>
      </c>
      <c r="B116" t="s">
        <v>862</v>
      </c>
      <c r="C116" s="33" t="s">
        <v>66</v>
      </c>
      <c r="D116" s="33" t="s">
        <v>67</v>
      </c>
      <c r="E116" s="33" t="s">
        <v>868</v>
      </c>
      <c r="F116" s="33" t="s">
        <v>35</v>
      </c>
      <c r="G116" s="355">
        <v>4030.0920000000001</v>
      </c>
      <c r="H116" s="255">
        <f>IF(F116="TND",1,IF(F116="EUR",Vertical_Cash_flow!$C$16,IF(F116="USD",Vertical_Cash_flow!$F$16,0)))</f>
        <v>1</v>
      </c>
      <c r="I116" s="255">
        <f t="shared" si="69"/>
        <v>4030.0920000000001</v>
      </c>
      <c r="J116" s="33" t="s">
        <v>251</v>
      </c>
      <c r="K116" s="39">
        <v>45406</v>
      </c>
      <c r="L116" s="255">
        <f t="shared" si="70"/>
        <v>57</v>
      </c>
      <c r="M116" s="625">
        <v>45463</v>
      </c>
      <c r="N116" s="411">
        <f ca="1">'Other Operational payments'!$S$1-M116</f>
        <v>-22</v>
      </c>
      <c r="O116" s="33" t="str">
        <f>VLOOKUP(M116,Mapping!L:M,2,0)</f>
        <v>W25_2024</v>
      </c>
      <c r="P116" s="33" t="str">
        <f t="shared" ca="1" si="71"/>
        <v>Not Due</v>
      </c>
    </row>
    <row r="117" spans="1:16" ht="15" x14ac:dyDescent="0.25">
      <c r="A117" s="33" t="s">
        <v>58</v>
      </c>
      <c r="B117" t="s">
        <v>862</v>
      </c>
      <c r="C117" s="33" t="s">
        <v>66</v>
      </c>
      <c r="D117" s="33" t="s">
        <v>67</v>
      </c>
      <c r="E117" s="33" t="s">
        <v>868</v>
      </c>
      <c r="F117" s="33" t="s">
        <v>35</v>
      </c>
      <c r="G117" s="355">
        <v>1370.885</v>
      </c>
      <c r="H117" s="255">
        <f>IF(F117="TND",1,IF(F117="EUR",Vertical_Cash_flow!$C$16,IF(F117="USD",Vertical_Cash_flow!$F$16,0)))</f>
        <v>1</v>
      </c>
      <c r="I117" s="255">
        <f t="shared" si="69"/>
        <v>1370.885</v>
      </c>
      <c r="J117" s="33" t="s">
        <v>251</v>
      </c>
      <c r="K117" s="39">
        <v>45418</v>
      </c>
      <c r="L117" s="255">
        <f t="shared" si="70"/>
        <v>45</v>
      </c>
      <c r="M117" s="625">
        <v>45463</v>
      </c>
      <c r="N117" s="411">
        <f ca="1">'Other Operational payments'!$S$1-M117</f>
        <v>-22</v>
      </c>
      <c r="O117" s="33" t="str">
        <f>VLOOKUP(M117,Mapping!L:M,2,0)</f>
        <v>W25_2024</v>
      </c>
      <c r="P117" s="33" t="str">
        <f t="shared" ca="1" si="71"/>
        <v>Not Due</v>
      </c>
    </row>
    <row r="118" spans="1:16" ht="15" x14ac:dyDescent="0.25">
      <c r="A118" s="33" t="s">
        <v>58</v>
      </c>
      <c r="B118" t="s">
        <v>862</v>
      </c>
      <c r="C118" s="33" t="s">
        <v>66</v>
      </c>
      <c r="D118" s="33" t="s">
        <v>67</v>
      </c>
      <c r="E118" s="33" t="s">
        <v>868</v>
      </c>
      <c r="F118" s="33" t="s">
        <v>35</v>
      </c>
      <c r="G118" s="355">
        <v>1221.502</v>
      </c>
      <c r="H118" s="255">
        <f>IF(F118="TND",1,IF(F118="EUR",Vertical_Cash_flow!$C$16,IF(F118="USD",Vertical_Cash_flow!$F$16,0)))</f>
        <v>1</v>
      </c>
      <c r="I118" s="255">
        <f t="shared" si="69"/>
        <v>1221.502</v>
      </c>
      <c r="J118" s="33" t="s">
        <v>251</v>
      </c>
      <c r="K118" s="39">
        <v>45427</v>
      </c>
      <c r="L118" s="255">
        <f t="shared" si="70"/>
        <v>56</v>
      </c>
      <c r="M118" s="625">
        <v>45483</v>
      </c>
      <c r="N118" s="411">
        <f ca="1">'Other Operational payments'!$S$1-M118</f>
        <v>-42</v>
      </c>
      <c r="O118" s="33" t="str">
        <f>VLOOKUP(M118,Mapping!L:M,2,0)</f>
        <v>W28_2024</v>
      </c>
      <c r="P118" s="33" t="str">
        <f t="shared" ca="1" si="71"/>
        <v>Not Due</v>
      </c>
    </row>
    <row r="119" spans="1:16" ht="15" x14ac:dyDescent="0.25">
      <c r="A119" s="33" t="s">
        <v>58</v>
      </c>
      <c r="B119" t="s">
        <v>971</v>
      </c>
      <c r="C119" s="33" t="s">
        <v>66</v>
      </c>
      <c r="D119" s="33" t="s">
        <v>67</v>
      </c>
      <c r="E119" s="33" t="s">
        <v>977</v>
      </c>
      <c r="F119" s="33" t="s">
        <v>35</v>
      </c>
      <c r="G119" s="355">
        <v>865.85699999999997</v>
      </c>
      <c r="H119" s="255">
        <f>IF(F119="TND",1,IF(F119="EUR",Vertical_Cash_flow!$C$16,IF(F119="USD",Vertical_Cash_flow!$F$16,0)))</f>
        <v>1</v>
      </c>
      <c r="I119" s="255">
        <f t="shared" si="69"/>
        <v>865.85699999999997</v>
      </c>
      <c r="J119" s="33" t="s">
        <v>251</v>
      </c>
      <c r="K119" s="39">
        <v>45427</v>
      </c>
      <c r="L119" s="255">
        <f t="shared" si="70"/>
        <v>0</v>
      </c>
      <c r="M119" s="625">
        <v>45427</v>
      </c>
      <c r="N119" s="411">
        <f ca="1">'Other Operational payments'!$S$1-M119</f>
        <v>14</v>
      </c>
      <c r="O119" s="33" t="str">
        <f>VLOOKUP(M119,Mapping!L:M,2,0)</f>
        <v>W20_2024</v>
      </c>
      <c r="P119" s="33" t="str">
        <f t="shared" ca="1" si="71"/>
        <v>up 30 days</v>
      </c>
    </row>
    <row r="120" spans="1:16" ht="15" x14ac:dyDescent="0.25">
      <c r="A120" s="33" t="s">
        <v>58</v>
      </c>
      <c r="B120" t="s">
        <v>971</v>
      </c>
      <c r="C120" s="33" t="s">
        <v>66</v>
      </c>
      <c r="D120" s="33" t="s">
        <v>67</v>
      </c>
      <c r="E120" s="33" t="s">
        <v>977</v>
      </c>
      <c r="F120" s="33" t="s">
        <v>35</v>
      </c>
      <c r="G120" s="355">
        <v>1567.44</v>
      </c>
      <c r="H120" s="255">
        <f>IF(F120="TND",1,IF(F120="EUR",Vertical_Cash_flow!$C$16,IF(F120="USD",Vertical_Cash_flow!$F$16,0)))</f>
        <v>1</v>
      </c>
      <c r="I120" s="255">
        <f t="shared" si="69"/>
        <v>1567.44</v>
      </c>
      <c r="J120" s="33" t="s">
        <v>251</v>
      </c>
      <c r="K120" s="39">
        <v>45427</v>
      </c>
      <c r="L120" s="255">
        <f t="shared" si="70"/>
        <v>0</v>
      </c>
      <c r="M120" s="625">
        <v>45427</v>
      </c>
      <c r="N120" s="411">
        <f ca="1">'Other Operational payments'!$S$1-M120</f>
        <v>14</v>
      </c>
      <c r="O120" s="33" t="str">
        <f>VLOOKUP(M120,Mapping!L:M,2,0)</f>
        <v>W20_2024</v>
      </c>
      <c r="P120" s="33" t="str">
        <f t="shared" ca="1" si="71"/>
        <v>up 30 days</v>
      </c>
    </row>
    <row r="121" spans="1:16" ht="15" x14ac:dyDescent="0.25">
      <c r="A121" s="33" t="s">
        <v>58</v>
      </c>
      <c r="B121" t="s">
        <v>661</v>
      </c>
      <c r="C121" s="33" t="s">
        <v>66</v>
      </c>
      <c r="D121" s="33" t="s">
        <v>67</v>
      </c>
      <c r="E121" s="33" t="s">
        <v>774</v>
      </c>
      <c r="F121" s="33" t="s">
        <v>35</v>
      </c>
      <c r="G121" s="355">
        <v>14350.248</v>
      </c>
      <c r="H121" s="255">
        <f>IF(F121="TND",1,IF(F121="EUR",Vertical_Cash_flow!$C$16,IF(F121="USD",Vertical_Cash_flow!$F$16,0)))</f>
        <v>1</v>
      </c>
      <c r="I121" s="255">
        <f t="shared" si="69"/>
        <v>14350.248</v>
      </c>
      <c r="J121" s="33" t="s">
        <v>251</v>
      </c>
      <c r="K121" s="39">
        <v>45406</v>
      </c>
      <c r="L121" s="255">
        <f t="shared" si="70"/>
        <v>0</v>
      </c>
      <c r="M121" s="625">
        <v>45406</v>
      </c>
      <c r="N121" s="411">
        <f ca="1">'Other Operational payments'!$S$1-M121</f>
        <v>35</v>
      </c>
      <c r="O121" s="33" t="str">
        <f>VLOOKUP(M121,Mapping!L:M,2,0)</f>
        <v>W17_2024</v>
      </c>
      <c r="P121" s="33" t="str">
        <f t="shared" ca="1" si="71"/>
        <v>30-60 days</v>
      </c>
    </row>
    <row r="122" spans="1:16" ht="15" x14ac:dyDescent="0.25">
      <c r="A122" s="33" t="s">
        <v>58</v>
      </c>
      <c r="B122" t="s">
        <v>661</v>
      </c>
      <c r="C122" s="33" t="s">
        <v>66</v>
      </c>
      <c r="D122" s="33" t="s">
        <v>67</v>
      </c>
      <c r="E122" s="33" t="s">
        <v>774</v>
      </c>
      <c r="F122" s="33" t="s">
        <v>35</v>
      </c>
      <c r="G122" s="355">
        <v>16569.789000000001</v>
      </c>
      <c r="H122" s="255">
        <f>IF(F122="TND",1,IF(F122="EUR",Vertical_Cash_flow!$C$16,IF(F122="USD",Vertical_Cash_flow!$F$16,0)))</f>
        <v>1</v>
      </c>
      <c r="I122" s="255">
        <f t="shared" si="69"/>
        <v>16569.789000000001</v>
      </c>
      <c r="J122" s="33" t="s">
        <v>251</v>
      </c>
      <c r="K122" s="39">
        <v>45418</v>
      </c>
      <c r="L122" s="255">
        <f t="shared" si="70"/>
        <v>0</v>
      </c>
      <c r="M122" s="625">
        <v>45418</v>
      </c>
      <c r="N122" s="411">
        <f ca="1">'Other Operational payments'!$S$1-M122</f>
        <v>23</v>
      </c>
      <c r="O122" s="33" t="str">
        <f>VLOOKUP(M122,Mapping!L:M,2,0)</f>
        <v>W19_2024</v>
      </c>
      <c r="P122" s="33" t="str">
        <f t="shared" ca="1" si="71"/>
        <v>up 30 days</v>
      </c>
    </row>
    <row r="123" spans="1:16" ht="15" x14ac:dyDescent="0.25">
      <c r="A123" s="33" t="s">
        <v>58</v>
      </c>
      <c r="B123" t="s">
        <v>661</v>
      </c>
      <c r="C123" s="33" t="s">
        <v>66</v>
      </c>
      <c r="D123" s="33" t="s">
        <v>67</v>
      </c>
      <c r="E123" s="33" t="s">
        <v>774</v>
      </c>
      <c r="F123" s="33" t="s">
        <v>35</v>
      </c>
      <c r="G123" s="355">
        <v>15339.852000000001</v>
      </c>
      <c r="H123" s="255">
        <f>IF(F123="TND",1,IF(F123="EUR",Vertical_Cash_flow!$C$16,IF(F123="USD",Vertical_Cash_flow!$F$16,0)))</f>
        <v>1</v>
      </c>
      <c r="I123" s="255">
        <f t="shared" si="69"/>
        <v>15339.852000000001</v>
      </c>
      <c r="J123" s="33" t="s">
        <v>251</v>
      </c>
      <c r="K123" s="39">
        <v>45418</v>
      </c>
      <c r="L123" s="255">
        <f t="shared" si="70"/>
        <v>0</v>
      </c>
      <c r="M123" s="625">
        <v>45418</v>
      </c>
      <c r="N123" s="411">
        <f ca="1">'Other Operational payments'!$S$1-M123</f>
        <v>23</v>
      </c>
      <c r="O123" s="33" t="str">
        <f>VLOOKUP(M123,Mapping!L:M,2,0)</f>
        <v>W19_2024</v>
      </c>
      <c r="P123" s="33" t="str">
        <f t="shared" ca="1" si="71"/>
        <v>up 30 days</v>
      </c>
    </row>
    <row r="124" spans="1:16" ht="15" x14ac:dyDescent="0.25">
      <c r="A124" s="33" t="s">
        <v>58</v>
      </c>
      <c r="B124" s="33" t="s">
        <v>681</v>
      </c>
      <c r="C124" s="33" t="s">
        <v>66</v>
      </c>
      <c r="D124" s="33" t="s">
        <v>3399</v>
      </c>
      <c r="E124" s="33" t="s">
        <v>682</v>
      </c>
      <c r="F124" s="33" t="s">
        <v>35</v>
      </c>
      <c r="G124" s="355">
        <v>33590.978000000003</v>
      </c>
      <c r="H124" s="255">
        <f>IF(F124="TND",1,IF(F124="EUR",Vertical_Cash_flow!$C$16,IF(F124="USD",Vertical_Cash_flow!$F$16,0)))</f>
        <v>1</v>
      </c>
      <c r="I124" s="255">
        <f t="shared" si="69"/>
        <v>33590.978000000003</v>
      </c>
      <c r="J124" s="33" t="s">
        <v>251</v>
      </c>
      <c r="K124" s="39">
        <v>45426</v>
      </c>
      <c r="L124" s="255">
        <f t="shared" si="70"/>
        <v>0</v>
      </c>
      <c r="M124" s="625">
        <v>45426</v>
      </c>
      <c r="N124" s="411">
        <f ca="1">'Other Operational payments'!$S$1-M124</f>
        <v>15</v>
      </c>
      <c r="O124" s="33" t="str">
        <f>VLOOKUP(M124,Mapping!L:M,2,0)</f>
        <v>W20_2024</v>
      </c>
      <c r="P124" s="33" t="str">
        <f t="shared" ca="1" si="71"/>
        <v>up 30 days</v>
      </c>
    </row>
    <row r="125" spans="1:16" ht="15" x14ac:dyDescent="0.25">
      <c r="A125" s="33" t="s">
        <v>58</v>
      </c>
      <c r="B125" s="623" t="s">
        <v>866</v>
      </c>
      <c r="C125" s="33" t="s">
        <v>66</v>
      </c>
      <c r="D125" s="33" t="s">
        <v>67</v>
      </c>
      <c r="E125" s="33" t="s">
        <v>867</v>
      </c>
      <c r="F125" s="33" t="s">
        <v>35</v>
      </c>
      <c r="G125" s="624">
        <v>50894.91</v>
      </c>
      <c r="H125" s="255">
        <f>IF(F125="TND",1,IF(F125="EUR",Vertical_Cash_flow!$C$16,IF(F125="USD",Vertical_Cash_flow!$F$16,0)))</f>
        <v>1</v>
      </c>
      <c r="I125" s="255">
        <f t="shared" si="69"/>
        <v>50894.91</v>
      </c>
      <c r="J125" s="33" t="s">
        <v>251</v>
      </c>
      <c r="K125" s="625">
        <v>45344</v>
      </c>
      <c r="L125" s="255">
        <f t="shared" si="70"/>
        <v>88</v>
      </c>
      <c r="M125" s="625">
        <v>45432</v>
      </c>
      <c r="N125" s="411">
        <f ca="1">'Other Operational payments'!$S$1-M125</f>
        <v>9</v>
      </c>
      <c r="O125" s="33" t="str">
        <f>VLOOKUP(M125,Mapping!L:M,2,0)</f>
        <v>W21_2024</v>
      </c>
      <c r="P125" s="33" t="str">
        <f t="shared" ca="1" si="71"/>
        <v>up 30 days</v>
      </c>
    </row>
    <row r="126" spans="1:16" ht="15" x14ac:dyDescent="0.25">
      <c r="A126" s="33" t="s">
        <v>58</v>
      </c>
      <c r="B126" t="s">
        <v>865</v>
      </c>
      <c r="C126" s="33" t="s">
        <v>66</v>
      </c>
      <c r="D126" s="33" t="s">
        <v>67</v>
      </c>
      <c r="E126" s="33" t="s">
        <v>870</v>
      </c>
      <c r="F126" s="33" t="s">
        <v>35</v>
      </c>
      <c r="G126" s="355">
        <v>17436.87</v>
      </c>
      <c r="H126" s="255">
        <f>IF(F126="TND",1,IF(F126="EUR",Vertical_Cash_flow!$C$16,IF(F126="USD",Vertical_Cash_flow!$F$16,0)))</f>
        <v>1</v>
      </c>
      <c r="I126" s="255">
        <f t="shared" ref="I126:I157" si="72">G126/H126</f>
        <v>17436.87</v>
      </c>
      <c r="J126" s="33" t="s">
        <v>251</v>
      </c>
      <c r="K126" s="39">
        <v>45387</v>
      </c>
      <c r="L126" s="255">
        <f t="shared" si="70"/>
        <v>45</v>
      </c>
      <c r="M126" s="625">
        <v>45432</v>
      </c>
      <c r="N126" s="411">
        <f ca="1">'Other Operational payments'!$S$1-M126</f>
        <v>9</v>
      </c>
      <c r="O126" s="33" t="str">
        <f>VLOOKUP(M126,Mapping!L:M,2,0)</f>
        <v>W21_2024</v>
      </c>
      <c r="P126" s="33" t="str">
        <f t="shared" ref="P126:P136" ca="1" si="73">IF(N126="","",IF(N126&lt;0,"Not Due",IF(AND(N126&gt;=0,N126&lt;=30),"up 30 days",IF(AND(N126&gt;30,N126&lt;=60),"30-60 days",IF(AND(N126&gt;60,N126&lt;=90),"60-90 days",IF(AND(N126&gt;90,N126&lt;=120),"90-120 days",IF(AND(N126&gt;120,N126&lt;=180),"120-180 days",IF(AND(N126&gt;180,N126&lt;=360),"180-360 days",IF(N126&gt;360,"more than 360 days","ok")))))))))</f>
        <v>up 30 days</v>
      </c>
    </row>
    <row r="127" spans="1:16" ht="15" x14ac:dyDescent="0.25">
      <c r="A127" s="33" t="s">
        <v>58</v>
      </c>
      <c r="B127" t="s">
        <v>862</v>
      </c>
      <c r="C127" s="33" t="s">
        <v>66</v>
      </c>
      <c r="D127" s="33" t="s">
        <v>67</v>
      </c>
      <c r="E127" s="33" t="s">
        <v>868</v>
      </c>
      <c r="F127" s="33" t="s">
        <v>35</v>
      </c>
      <c r="G127" s="355">
        <v>2451.4380000000001</v>
      </c>
      <c r="H127" s="255">
        <f>IF(F127="TND",1,IF(F127="EUR",Vertical_Cash_flow!$C$16,IF(F127="USD",Vertical_Cash_flow!$F$16,0)))</f>
        <v>1</v>
      </c>
      <c r="I127" s="255">
        <f t="shared" si="72"/>
        <v>2451.4380000000001</v>
      </c>
      <c r="J127" s="33" t="s">
        <v>251</v>
      </c>
      <c r="K127" s="39">
        <v>45406</v>
      </c>
      <c r="L127" s="255">
        <f t="shared" si="70"/>
        <v>16</v>
      </c>
      <c r="M127" s="625">
        <v>45422</v>
      </c>
      <c r="N127" s="411">
        <f ca="1">'Other Operational payments'!$S$1-M127</f>
        <v>19</v>
      </c>
      <c r="O127" s="33" t="str">
        <f>VLOOKUP(M127,Mapping!L:M,2,0)</f>
        <v>W19_2024</v>
      </c>
      <c r="P127" s="33" t="str">
        <f t="shared" ca="1" si="73"/>
        <v>up 30 days</v>
      </c>
    </row>
    <row r="128" spans="1:16" s="34" customFormat="1" ht="15" x14ac:dyDescent="0.25">
      <c r="A128" s="34" t="s">
        <v>58</v>
      </c>
      <c r="B128" s="34" t="s">
        <v>971</v>
      </c>
      <c r="C128" s="34" t="s">
        <v>66</v>
      </c>
      <c r="D128" s="34" t="s">
        <v>67</v>
      </c>
      <c r="E128" s="34" t="s">
        <v>977</v>
      </c>
      <c r="F128" s="34" t="s">
        <v>35</v>
      </c>
      <c r="G128" s="629">
        <v>865.85699999999997</v>
      </c>
      <c r="H128" s="257">
        <f>IF(F128="TND",1,IF(F128="EUR",Vertical_Cash_flow!$C$16,IF(F128="USD",Vertical_Cash_flow!$F$16,0)))</f>
        <v>1</v>
      </c>
      <c r="I128" s="257">
        <f t="shared" si="72"/>
        <v>865.85699999999997</v>
      </c>
      <c r="J128" s="34" t="s">
        <v>252</v>
      </c>
      <c r="K128" s="409">
        <v>45427</v>
      </c>
      <c r="L128" s="257">
        <f t="shared" si="70"/>
        <v>9</v>
      </c>
      <c r="M128" s="628">
        <v>45436</v>
      </c>
      <c r="N128" s="412">
        <f ca="1">'Other Operational payments'!$S$1-M128</f>
        <v>5</v>
      </c>
      <c r="O128" s="34" t="str">
        <f>VLOOKUP(M128,Mapping!L:M,2,0)</f>
        <v>W21_2024</v>
      </c>
      <c r="P128" s="34" t="str">
        <f t="shared" ca="1" si="73"/>
        <v>up 30 days</v>
      </c>
    </row>
    <row r="129" spans="1:16" s="34" customFormat="1" ht="15" x14ac:dyDescent="0.25">
      <c r="A129" s="34" t="s">
        <v>58</v>
      </c>
      <c r="B129" s="34" t="s">
        <v>971</v>
      </c>
      <c r="C129" s="34" t="s">
        <v>66</v>
      </c>
      <c r="D129" s="34" t="s">
        <v>67</v>
      </c>
      <c r="E129" s="34" t="s">
        <v>977</v>
      </c>
      <c r="F129" s="34" t="s">
        <v>35</v>
      </c>
      <c r="G129" s="629">
        <v>1567.44</v>
      </c>
      <c r="H129" s="257">
        <f>IF(F129="TND",1,IF(F129="EUR",Vertical_Cash_flow!$C$16,IF(F129="USD",Vertical_Cash_flow!$F$16,0)))</f>
        <v>1</v>
      </c>
      <c r="I129" s="257">
        <f t="shared" si="72"/>
        <v>1567.44</v>
      </c>
      <c r="J129" s="34" t="s">
        <v>252</v>
      </c>
      <c r="K129" s="409">
        <v>45427</v>
      </c>
      <c r="L129" s="257">
        <f t="shared" si="70"/>
        <v>9</v>
      </c>
      <c r="M129" s="628">
        <v>45436</v>
      </c>
      <c r="N129" s="412">
        <f ca="1">'Other Operational payments'!$S$1-M129</f>
        <v>5</v>
      </c>
      <c r="O129" s="34" t="str">
        <f>VLOOKUP(M129,Mapping!L:M,2,0)</f>
        <v>W21_2024</v>
      </c>
      <c r="P129" s="34" t="str">
        <f t="shared" ca="1" si="73"/>
        <v>up 30 days</v>
      </c>
    </row>
    <row r="130" spans="1:16" s="34" customFormat="1" ht="15" x14ac:dyDescent="0.25">
      <c r="A130" s="34" t="s">
        <v>58</v>
      </c>
      <c r="B130" s="34" t="s">
        <v>661</v>
      </c>
      <c r="C130" s="34" t="s">
        <v>66</v>
      </c>
      <c r="D130" s="34" t="s">
        <v>67</v>
      </c>
      <c r="E130" s="34" t="s">
        <v>774</v>
      </c>
      <c r="F130" s="34" t="s">
        <v>35</v>
      </c>
      <c r="G130" s="629">
        <v>14350.248</v>
      </c>
      <c r="H130" s="257">
        <f>IF(F130="TND",1,IF(F130="EUR",Vertical_Cash_flow!$C$16,IF(F130="USD",Vertical_Cash_flow!$F$16,0)))</f>
        <v>1</v>
      </c>
      <c r="I130" s="257">
        <f t="shared" si="72"/>
        <v>14350.248</v>
      </c>
      <c r="J130" s="34" t="s">
        <v>252</v>
      </c>
      <c r="K130" s="409">
        <v>45406</v>
      </c>
      <c r="L130" s="257">
        <f t="shared" si="70"/>
        <v>30</v>
      </c>
      <c r="M130" s="628">
        <v>45436</v>
      </c>
      <c r="N130" s="412">
        <f ca="1">'Other Operational payments'!$S$1-M130</f>
        <v>5</v>
      </c>
      <c r="O130" s="34" t="str">
        <f>VLOOKUP(M130,Mapping!L:M,2,0)</f>
        <v>W21_2024</v>
      </c>
      <c r="P130" s="34" t="str">
        <f t="shared" ca="1" si="73"/>
        <v>up 30 days</v>
      </c>
    </row>
    <row r="131" spans="1:16" s="34" customFormat="1" ht="15" x14ac:dyDescent="0.25">
      <c r="A131" s="34" t="s">
        <v>58</v>
      </c>
      <c r="B131" s="34" t="s">
        <v>661</v>
      </c>
      <c r="C131" s="34" t="s">
        <v>66</v>
      </c>
      <c r="D131" s="34" t="s">
        <v>67</v>
      </c>
      <c r="E131" s="34" t="s">
        <v>774</v>
      </c>
      <c r="F131" s="34" t="s">
        <v>35</v>
      </c>
      <c r="G131" s="629">
        <v>16569.789000000001</v>
      </c>
      <c r="H131" s="257">
        <f>IF(F131="TND",1,IF(F131="EUR",Vertical_Cash_flow!$C$16,IF(F131="USD",Vertical_Cash_flow!$F$16,0)))</f>
        <v>1</v>
      </c>
      <c r="I131" s="257">
        <f t="shared" si="72"/>
        <v>16569.789000000001</v>
      </c>
      <c r="J131" s="34" t="s">
        <v>252</v>
      </c>
      <c r="K131" s="409">
        <v>45418</v>
      </c>
      <c r="L131" s="257">
        <f t="shared" si="70"/>
        <v>18</v>
      </c>
      <c r="M131" s="628">
        <v>45436</v>
      </c>
      <c r="N131" s="412">
        <f ca="1">'Other Operational payments'!$S$1-M131</f>
        <v>5</v>
      </c>
      <c r="O131" s="34" t="str">
        <f>VLOOKUP(M131,Mapping!L:M,2,0)</f>
        <v>W21_2024</v>
      </c>
      <c r="P131" s="34" t="str">
        <f t="shared" ca="1" si="73"/>
        <v>up 30 days</v>
      </c>
    </row>
    <row r="132" spans="1:16" s="34" customFormat="1" ht="15" x14ac:dyDescent="0.25">
      <c r="A132" s="34" t="s">
        <v>58</v>
      </c>
      <c r="B132" s="34" t="s">
        <v>661</v>
      </c>
      <c r="C132" s="34" t="s">
        <v>66</v>
      </c>
      <c r="D132" s="34" t="s">
        <v>67</v>
      </c>
      <c r="E132" s="34" t="s">
        <v>774</v>
      </c>
      <c r="F132" s="34" t="s">
        <v>35</v>
      </c>
      <c r="G132" s="629">
        <v>15339.852000000001</v>
      </c>
      <c r="H132" s="257">
        <f>IF(F132="TND",1,IF(F132="EUR",Vertical_Cash_flow!$C$16,IF(F132="USD",Vertical_Cash_flow!$F$16,0)))</f>
        <v>1</v>
      </c>
      <c r="I132" s="257">
        <f t="shared" si="72"/>
        <v>15339.852000000001</v>
      </c>
      <c r="J132" s="34" t="s">
        <v>252</v>
      </c>
      <c r="K132" s="409">
        <v>45418</v>
      </c>
      <c r="L132" s="257">
        <f t="shared" si="70"/>
        <v>18</v>
      </c>
      <c r="M132" s="628">
        <v>45436</v>
      </c>
      <c r="N132" s="412">
        <f ca="1">'Other Operational payments'!$S$1-M132</f>
        <v>5</v>
      </c>
      <c r="O132" s="34" t="str">
        <f>VLOOKUP(M132,Mapping!L:M,2,0)</f>
        <v>W21_2024</v>
      </c>
      <c r="P132" s="34" t="str">
        <f t="shared" ca="1" si="73"/>
        <v>up 30 days</v>
      </c>
    </row>
    <row r="133" spans="1:16" s="34" customFormat="1" ht="15" x14ac:dyDescent="0.25">
      <c r="A133" s="34" t="s">
        <v>58</v>
      </c>
      <c r="B133" s="34" t="s">
        <v>681</v>
      </c>
      <c r="C133" s="34" t="s">
        <v>66</v>
      </c>
      <c r="D133" s="34" t="s">
        <v>3399</v>
      </c>
      <c r="E133" s="34" t="s">
        <v>682</v>
      </c>
      <c r="F133" s="34" t="s">
        <v>35</v>
      </c>
      <c r="G133" s="629">
        <v>33590.978000000003</v>
      </c>
      <c r="H133" s="257">
        <f>IF(F133="TND",1,IF(F133="EUR",Vertical_Cash_flow!$C$16,IF(F133="USD",Vertical_Cash_flow!$F$16,0)))</f>
        <v>1</v>
      </c>
      <c r="I133" s="257">
        <f t="shared" si="72"/>
        <v>33590.978000000003</v>
      </c>
      <c r="J133" s="34" t="s">
        <v>252</v>
      </c>
      <c r="K133" s="409">
        <v>45426</v>
      </c>
      <c r="L133" s="257">
        <f t="shared" si="70"/>
        <v>10</v>
      </c>
      <c r="M133" s="628">
        <v>45436</v>
      </c>
      <c r="N133" s="412">
        <f ca="1">'Other Operational payments'!$S$1-M133</f>
        <v>5</v>
      </c>
      <c r="O133" s="34" t="str">
        <f>VLOOKUP(M133,Mapping!L:M,2,0)</f>
        <v>W21_2024</v>
      </c>
      <c r="P133" s="34" t="str">
        <f t="shared" ca="1" si="73"/>
        <v>up 30 days</v>
      </c>
    </row>
    <row r="134" spans="1:16" s="34" customFormat="1" ht="15" x14ac:dyDescent="0.25">
      <c r="A134" s="34" t="s">
        <v>58</v>
      </c>
      <c r="B134" s="626" t="s">
        <v>866</v>
      </c>
      <c r="C134" s="34" t="s">
        <v>66</v>
      </c>
      <c r="D134" s="34" t="s">
        <v>67</v>
      </c>
      <c r="E134" s="34" t="s">
        <v>867</v>
      </c>
      <c r="F134" s="34" t="s">
        <v>35</v>
      </c>
      <c r="G134" s="627">
        <v>50894.91</v>
      </c>
      <c r="H134" s="257">
        <f>IF(F134="TND",1,IF(F134="EUR",Vertical_Cash_flow!$C$16,IF(F134="USD",Vertical_Cash_flow!$F$16,0)))</f>
        <v>1</v>
      </c>
      <c r="I134" s="257">
        <f t="shared" si="72"/>
        <v>50894.91</v>
      </c>
      <c r="J134" s="34" t="s">
        <v>252</v>
      </c>
      <c r="K134" s="628">
        <v>45344</v>
      </c>
      <c r="L134" s="257">
        <f t="shared" si="70"/>
        <v>92</v>
      </c>
      <c r="M134" s="628">
        <v>45436</v>
      </c>
      <c r="N134" s="412">
        <f ca="1">'Other Operational payments'!$S$1-M134</f>
        <v>5</v>
      </c>
      <c r="O134" s="34" t="str">
        <f>VLOOKUP(M134,Mapping!L:M,2,0)</f>
        <v>W21_2024</v>
      </c>
      <c r="P134" s="34" t="str">
        <f t="shared" ca="1" si="73"/>
        <v>up 30 days</v>
      </c>
    </row>
    <row r="135" spans="1:16" s="34" customFormat="1" ht="15" x14ac:dyDescent="0.25">
      <c r="A135" s="34" t="s">
        <v>58</v>
      </c>
      <c r="B135" s="34" t="s">
        <v>865</v>
      </c>
      <c r="C135" s="34" t="s">
        <v>66</v>
      </c>
      <c r="D135" s="34" t="s">
        <v>67</v>
      </c>
      <c r="E135" s="34" t="s">
        <v>870</v>
      </c>
      <c r="F135" s="34" t="s">
        <v>35</v>
      </c>
      <c r="G135" s="629">
        <v>17436.87</v>
      </c>
      <c r="H135" s="257">
        <f>IF(F135="TND",1,IF(F135="EUR",Vertical_Cash_flow!$C$16,IF(F135="USD",Vertical_Cash_flow!$F$16,0)))</f>
        <v>1</v>
      </c>
      <c r="I135" s="257">
        <f t="shared" si="72"/>
        <v>17436.87</v>
      </c>
      <c r="J135" s="34" t="s">
        <v>252</v>
      </c>
      <c r="K135" s="409">
        <v>45387</v>
      </c>
      <c r="L135" s="257">
        <f t="shared" si="70"/>
        <v>49</v>
      </c>
      <c r="M135" s="628">
        <v>45436</v>
      </c>
      <c r="N135" s="412">
        <f ca="1">'Other Operational payments'!$S$1-M135</f>
        <v>5</v>
      </c>
      <c r="O135" s="34" t="str">
        <f>VLOOKUP(M135,Mapping!L:M,2,0)</f>
        <v>W21_2024</v>
      </c>
      <c r="P135" s="34" t="str">
        <f t="shared" ca="1" si="73"/>
        <v>up 30 days</v>
      </c>
    </row>
    <row r="136" spans="1:16" s="34" customFormat="1" ht="15" x14ac:dyDescent="0.25">
      <c r="A136" s="34" t="s">
        <v>58</v>
      </c>
      <c r="B136" s="34" t="s">
        <v>862</v>
      </c>
      <c r="C136" s="34" t="s">
        <v>66</v>
      </c>
      <c r="D136" s="34" t="s">
        <v>67</v>
      </c>
      <c r="E136" s="34" t="s">
        <v>868</v>
      </c>
      <c r="F136" s="34" t="s">
        <v>35</v>
      </c>
      <c r="G136" s="629">
        <v>2451.4380000000001</v>
      </c>
      <c r="H136" s="257">
        <f>IF(F136="TND",1,IF(F136="EUR",Vertical_Cash_flow!$C$16,IF(F136="USD",Vertical_Cash_flow!$F$16,0)))</f>
        <v>1</v>
      </c>
      <c r="I136" s="257">
        <f t="shared" si="72"/>
        <v>2451.4380000000001</v>
      </c>
      <c r="J136" s="34" t="s">
        <v>252</v>
      </c>
      <c r="K136" s="409">
        <v>45406</v>
      </c>
      <c r="L136" s="257">
        <f t="shared" si="70"/>
        <v>30</v>
      </c>
      <c r="M136" s="628">
        <v>45436</v>
      </c>
      <c r="N136" s="412">
        <f ca="1">'Other Operational payments'!$S$1-M136</f>
        <v>5</v>
      </c>
      <c r="O136" s="34" t="str">
        <f>VLOOKUP(M136,Mapping!L:M,2,0)</f>
        <v>W21_2024</v>
      </c>
      <c r="P136" s="34" t="str">
        <f t="shared" ca="1" si="73"/>
        <v>up 30 days</v>
      </c>
    </row>
  </sheetData>
  <autoFilter ref="A1:S65" xr:uid="{E5B62540-1A63-5D47-86EE-B3DDDC55161A}"/>
  <sortState xmlns:xlrd2="http://schemas.microsoft.com/office/spreadsheetml/2017/richdata2" ref="A94:S127">
    <sortCondition ref="P94:P127"/>
  </sortState>
  <phoneticPr fontId="76" type="noConversion"/>
  <pageMargins left="0.7" right="0.7" top="0.75" bottom="0.75" header="0.3" footer="0.3"/>
  <pageSetup paperSize="9" orientation="portrait" r:id="rId1"/>
  <ignoredErrors>
    <ignoredError sqref="M44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02D60D3-28EF-4CDF-BB54-F98AF64BFA3F}">
          <x14:formula1>
            <xm:f>Mapping!$B$29:$B$31</xm:f>
          </x14:formula1>
          <xm:sqref>C114 C2:C99</xm:sqref>
        </x14:dataValidation>
        <x14:dataValidation type="list" allowBlank="1" showInputMessage="1" showErrorMessage="1" xr:uid="{C80F73F8-029F-4F24-9F3E-88AD148A6C0C}">
          <x14:formula1>
            <xm:f>Mapping!$G$30:$G$36</xm:f>
          </x14:formula1>
          <xm:sqref>F2:F93 F105:F136</xm:sqref>
        </x14:dataValidation>
        <x14:dataValidation type="list" allowBlank="1" showInputMessage="1" showErrorMessage="1" xr:uid="{9A5095D2-2126-4B0F-99C7-A34DB0042F04}">
          <x14:formula1>
            <xm:f>Mapping!$A$30:$A$31</xm:f>
          </x14:formula1>
          <xm:sqref>A2:A93</xm:sqref>
        </x14:dataValidation>
        <x14:dataValidation type="list" allowBlank="1" showInputMessage="1" showErrorMessage="1" xr:uid="{679D10BA-6B0D-43A6-B3DA-E7097CF32332}">
          <x14:formula1>
            <xm:f>Mapping!$C$30:$C$38</xm:f>
          </x14:formula1>
          <xm:sqref>D114 D2:D99</xm:sqref>
        </x14:dataValidation>
        <x14:dataValidation type="list" allowBlank="1" showInputMessage="1" showErrorMessage="1" xr:uid="{18125AA5-2911-4904-826A-59E534B0ECB7}">
          <x14:formula1>
            <xm:f>Mapping!$I$3:$I$4</xm:f>
          </x14:formula1>
          <xm:sqref>J2:J136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C0DB8-89AE-1D42-8092-C938D8C174C2}">
  <sheetPr>
    <tabColor rgb="FFFFFF00"/>
  </sheetPr>
  <dimension ref="A1:R40"/>
  <sheetViews>
    <sheetView zoomScale="89" zoomScaleNormal="89" workbookViewId="0">
      <selection activeCell="I29" sqref="I29"/>
    </sheetView>
  </sheetViews>
  <sheetFormatPr baseColWidth="10" defaultColWidth="10.7109375" defaultRowHeight="12.75" x14ac:dyDescent="0.2"/>
  <cols>
    <col min="1" max="1" width="8.7109375" style="33" bestFit="1" customWidth="1"/>
    <col min="2" max="2" width="57.7109375" style="33" bestFit="1" customWidth="1"/>
    <col min="3" max="3" width="26" style="33" bestFit="1" customWidth="1"/>
    <col min="4" max="4" width="28.42578125" style="33" bestFit="1" customWidth="1"/>
    <col min="5" max="5" width="12" style="33" bestFit="1" customWidth="1"/>
    <col min="6" max="6" width="12.140625" style="255" bestFit="1" customWidth="1"/>
    <col min="7" max="7" width="11.42578125" style="33" bestFit="1" customWidth="1"/>
    <col min="8" max="8" width="18.28515625" style="255" bestFit="1" customWidth="1"/>
    <col min="9" max="9" width="12.5703125" style="33" bestFit="1" customWidth="1"/>
    <col min="10" max="10" width="12.28515625" style="33" bestFit="1" customWidth="1"/>
    <col min="11" max="11" width="17.85546875" style="255" bestFit="1" customWidth="1"/>
    <col min="12" max="12" width="11.7109375" style="33" bestFit="1" customWidth="1"/>
    <col min="13" max="13" width="19.7109375" style="33" bestFit="1" customWidth="1"/>
    <col min="14" max="14" width="13" style="33" bestFit="1" customWidth="1"/>
    <col min="15" max="15" width="16.7109375" style="33" bestFit="1" customWidth="1"/>
    <col min="16" max="16" width="17.5703125" style="33" bestFit="1" customWidth="1"/>
    <col min="17" max="17" width="9.140625" style="33" bestFit="1" customWidth="1"/>
    <col min="18" max="18" width="11" style="33" bestFit="1" customWidth="1"/>
    <col min="19" max="16384" width="10.7109375" style="33"/>
  </cols>
  <sheetData>
    <row r="1" spans="1:18" x14ac:dyDescent="0.2">
      <c r="A1" s="348" t="s">
        <v>110</v>
      </c>
      <c r="B1" s="348" t="s">
        <v>257</v>
      </c>
      <c r="C1" s="348" t="s">
        <v>266</v>
      </c>
      <c r="D1" s="348" t="s">
        <v>256</v>
      </c>
      <c r="E1" s="348" t="s">
        <v>28</v>
      </c>
      <c r="F1" s="311" t="s">
        <v>103</v>
      </c>
      <c r="G1" s="311" t="s">
        <v>249</v>
      </c>
      <c r="H1" s="311" t="s">
        <v>260</v>
      </c>
      <c r="I1" s="348" t="s">
        <v>27</v>
      </c>
      <c r="J1" s="348" t="s">
        <v>94</v>
      </c>
      <c r="K1" s="311" t="s">
        <v>236</v>
      </c>
      <c r="L1" s="348" t="s">
        <v>95</v>
      </c>
      <c r="M1" s="348" t="s">
        <v>121</v>
      </c>
      <c r="N1" s="348" t="s">
        <v>230</v>
      </c>
      <c r="O1" s="348" t="s">
        <v>96</v>
      </c>
      <c r="Q1" s="348" t="s">
        <v>122</v>
      </c>
      <c r="R1" s="375">
        <f ca="1">TODAY()</f>
        <v>45441</v>
      </c>
    </row>
    <row r="2" spans="1:18" s="34" customFormat="1" x14ac:dyDescent="0.2">
      <c r="A2" s="33" t="s">
        <v>58</v>
      </c>
      <c r="B2" s="33" t="s">
        <v>409</v>
      </c>
      <c r="C2" s="33" t="s">
        <v>232</v>
      </c>
      <c r="D2" s="33" t="s">
        <v>410</v>
      </c>
      <c r="E2" s="33" t="s">
        <v>1</v>
      </c>
      <c r="F2" s="255">
        <f>69550*0.7</f>
        <v>48685</v>
      </c>
      <c r="G2" s="413">
        <f>IF(E2="TND",1,IF(E2="EUR",Vertical_Cash_flow!$C$16,IF(E2="USD",Vertical_Cash_flow!$F$16,0)))</f>
        <v>0.3</v>
      </c>
      <c r="H2" s="255">
        <f t="shared" ref="H2" si="0">F2/G2</f>
        <v>162283.33333333334</v>
      </c>
      <c r="I2" s="33" t="s">
        <v>251</v>
      </c>
      <c r="J2" s="408">
        <v>45016</v>
      </c>
      <c r="K2" s="255">
        <v>90</v>
      </c>
      <c r="L2" s="408">
        <v>45427</v>
      </c>
      <c r="M2" s="411">
        <f t="shared" ref="M2" ca="1" si="1">$R$1-L2</f>
        <v>14</v>
      </c>
      <c r="N2" s="33" t="str">
        <f>VLOOKUP(L2,Mapping!L45:M1090,2,0)</f>
        <v>W20_2024</v>
      </c>
      <c r="O2" s="33" t="str">
        <f t="shared" ref="O2" ca="1" si="2">IF(M2="","",IF(M2&lt;0,"Not Due",IF(AND(M2&gt;=0,M2&lt;=30),"up 30 days",IF(AND(M2&gt;30,M2&lt;=60),"30-60 days",IF(AND(M2&gt;60,M2&lt;=90),"60-90 days",IF(AND(M2&gt;90,M2&lt;=120),"90-120 days",IF(AND(M2&gt;120,M2&lt;=180),"120-180 days",IF(AND(M2&gt;180,M2&lt;=360),"180-360 days",IF(M2&gt;360,"more than 360 days","ok")))))))))</f>
        <v>up 30 days</v>
      </c>
      <c r="P2" s="33"/>
      <c r="Q2" s="33"/>
      <c r="R2" s="33"/>
    </row>
    <row r="3" spans="1:18" s="34" customFormat="1" x14ac:dyDescent="0.2">
      <c r="A3" s="34" t="s">
        <v>58</v>
      </c>
      <c r="B3" s="34" t="s">
        <v>2279</v>
      </c>
      <c r="C3" s="34" t="s">
        <v>232</v>
      </c>
      <c r="D3" s="34" t="s">
        <v>2288</v>
      </c>
      <c r="E3" s="34" t="s">
        <v>1</v>
      </c>
      <c r="F3" s="257">
        <v>5000</v>
      </c>
      <c r="G3" s="414">
        <f>IF(E3="TND",1,IF(E3="EUR",Vertical_Cash_flow!$C$16,IF(E3="USD",Vertical_Cash_flow!$F$16,0)))</f>
        <v>0.3</v>
      </c>
      <c r="H3" s="257">
        <f t="shared" ref="H3:H4" si="3">F3/G3</f>
        <v>16666.666666666668</v>
      </c>
      <c r="I3" s="34" t="s">
        <v>252</v>
      </c>
      <c r="J3" s="409">
        <v>45383</v>
      </c>
      <c r="K3" s="257">
        <f>L3-J3</f>
        <v>44</v>
      </c>
      <c r="L3" s="409">
        <v>45427</v>
      </c>
      <c r="M3" s="412">
        <f t="shared" ref="M3" ca="1" si="4">$R$1-L3</f>
        <v>14</v>
      </c>
      <c r="N3" s="34" t="str">
        <f>VLOOKUP(L3,Mapping!L55:M1100,2,0)</f>
        <v>W20_2024</v>
      </c>
      <c r="O3" s="34" t="str">
        <f t="shared" ref="O3" ca="1" si="5">IF(M3="","",IF(M3&lt;0,"Not Due",IF(AND(M3&gt;=0,M3&lt;=30),"up 30 days",IF(AND(M3&gt;30,M3&lt;=60),"30-60 days",IF(AND(M3&gt;60,M3&lt;=90),"60-90 days",IF(AND(M3&gt;90,M3&lt;=120),"90-120 days",IF(AND(M3&gt;120,M3&lt;=180),"120-180 days",IF(AND(M3&gt;180,M3&lt;=360),"180-360 days",IF(M3&gt;360,"more than 360 days","ok")))))))))</f>
        <v>up 30 days</v>
      </c>
    </row>
    <row r="4" spans="1:18" s="34" customFormat="1" x14ac:dyDescent="0.2">
      <c r="A4" s="34" t="s">
        <v>58</v>
      </c>
      <c r="B4" s="34" t="s">
        <v>2279</v>
      </c>
      <c r="C4" s="34" t="s">
        <v>232</v>
      </c>
      <c r="D4" s="34" t="s">
        <v>2288</v>
      </c>
      <c r="E4" s="34" t="s">
        <v>1</v>
      </c>
      <c r="F4" s="257">
        <v>5000</v>
      </c>
      <c r="G4" s="414">
        <f>IF(E4="TND",1,IF(E4="EUR",Vertical_Cash_flow!$C$16,IF(E4="USD",Vertical_Cash_flow!$F$16,0)))</f>
        <v>0.3</v>
      </c>
      <c r="H4" s="257">
        <f t="shared" si="3"/>
        <v>16666.666666666668</v>
      </c>
      <c r="I4" s="34" t="s">
        <v>252</v>
      </c>
      <c r="J4" s="409">
        <v>45536</v>
      </c>
      <c r="K4" s="257">
        <f t="shared" ref="K4:K36" si="6">L4-J4</f>
        <v>14</v>
      </c>
      <c r="L4" s="409">
        <v>45550</v>
      </c>
      <c r="M4" s="412">
        <f t="shared" ref="M4:M25" ca="1" si="7">$R$1-L4</f>
        <v>-109</v>
      </c>
      <c r="N4" s="34" t="str">
        <f>VLOOKUP(L4,Mapping!L56:M1101,2,0)</f>
        <v>W38_2024</v>
      </c>
      <c r="O4" s="34" t="str">
        <f t="shared" ref="O4:O25" ca="1" si="8">IF(M4="","",IF(M4&lt;0,"Not Due",IF(AND(M4&gt;=0,M4&lt;=30),"up 30 days",IF(AND(M4&gt;30,M4&lt;=60),"30-60 days",IF(AND(M4&gt;60,M4&lt;=90),"60-90 days",IF(AND(M4&gt;90,M4&lt;=120),"90-120 days",IF(AND(M4&gt;120,M4&lt;=180),"120-180 days",IF(AND(M4&gt;180,M4&lt;=360),"180-360 days",IF(M4&gt;360,"more than 360 days","ok")))))))))</f>
        <v>Not Due</v>
      </c>
    </row>
    <row r="5" spans="1:18" s="34" customFormat="1" x14ac:dyDescent="0.2">
      <c r="A5" s="34" t="s">
        <v>58</v>
      </c>
      <c r="B5" s="34" t="s">
        <v>2280</v>
      </c>
      <c r="C5" s="34" t="s">
        <v>232</v>
      </c>
      <c r="D5" s="34" t="s">
        <v>2288</v>
      </c>
      <c r="E5" s="34" t="s">
        <v>1</v>
      </c>
      <c r="F5" s="257">
        <v>13000</v>
      </c>
      <c r="G5" s="414">
        <f>IF(E5="TND",1,IF(E5="EUR",Vertical_Cash_flow!$C$16,IF(E5="USD",Vertical_Cash_flow!$F$16,0)))</f>
        <v>0.3</v>
      </c>
      <c r="H5" s="257">
        <f t="shared" ref="H5" si="9">F5/G5</f>
        <v>43333.333333333336</v>
      </c>
      <c r="I5" s="34" t="s">
        <v>252</v>
      </c>
      <c r="J5" s="409">
        <v>45413</v>
      </c>
      <c r="K5" s="257">
        <f t="shared" si="6"/>
        <v>14</v>
      </c>
      <c r="L5" s="409">
        <v>45427</v>
      </c>
      <c r="M5" s="412">
        <f t="shared" ca="1" si="7"/>
        <v>14</v>
      </c>
      <c r="N5" s="34" t="str">
        <f>VLOOKUP(L5,Mapping!L57:M1102,2,0)</f>
        <v>W20_2024</v>
      </c>
      <c r="O5" s="34" t="str">
        <f t="shared" ca="1" si="8"/>
        <v>up 30 days</v>
      </c>
    </row>
    <row r="6" spans="1:18" x14ac:dyDescent="0.2">
      <c r="A6" s="33" t="s">
        <v>58</v>
      </c>
      <c r="B6" s="33" t="s">
        <v>2994</v>
      </c>
      <c r="C6" s="33" t="s">
        <v>232</v>
      </c>
      <c r="D6" s="33" t="s">
        <v>2289</v>
      </c>
      <c r="E6" s="33" t="s">
        <v>0</v>
      </c>
      <c r="F6" s="255">
        <v>34057.800000000003</v>
      </c>
      <c r="G6" s="413">
        <f>IF(E6="TND",1,IF(E6="EUR",Vertical_Cash_flow!$C$16,IF(E6="USD",Vertical_Cash_flow!$F$16,0)))</f>
        <v>0.33</v>
      </c>
      <c r="H6" s="255">
        <f t="shared" ref="H6:H28" si="10">F6/G6</f>
        <v>103205.45454545454</v>
      </c>
      <c r="I6" s="33" t="s">
        <v>251</v>
      </c>
      <c r="J6" s="408">
        <v>45474</v>
      </c>
      <c r="K6" s="255">
        <f t="shared" si="6"/>
        <v>30</v>
      </c>
      <c r="L6" s="408">
        <v>45504</v>
      </c>
      <c r="M6" s="411">
        <f t="shared" ref="M6:M7" ca="1" si="11">$R$1-L6</f>
        <v>-63</v>
      </c>
      <c r="N6" s="33" t="str">
        <f>VLOOKUP(L6,Mapping!L59:M1104,2,0)</f>
        <v>W31_2024</v>
      </c>
      <c r="O6" s="33" t="str">
        <f t="shared" ref="O6:O7" ca="1" si="12">IF(M6="","",IF(M6&lt;0,"Not Due",IF(AND(M6&gt;=0,M6&lt;=30),"up 30 days",IF(AND(M6&gt;30,M6&lt;=60),"30-60 days",IF(AND(M6&gt;60,M6&lt;=90),"60-90 days",IF(AND(M6&gt;90,M6&lt;=120),"90-120 days",IF(AND(M6&gt;120,M6&lt;=180),"120-180 days",IF(AND(M6&gt;180,M6&lt;=360),"180-360 days",IF(M6&gt;360,"more than 360 days","ok")))))))))</f>
        <v>Not Due</v>
      </c>
    </row>
    <row r="7" spans="1:18" x14ac:dyDescent="0.2">
      <c r="A7" s="33" t="s">
        <v>58</v>
      </c>
      <c r="B7" s="33" t="s">
        <v>2994</v>
      </c>
      <c r="C7" s="33" t="s">
        <v>232</v>
      </c>
      <c r="D7" s="33" t="s">
        <v>2289</v>
      </c>
      <c r="E7" s="33" t="s">
        <v>0</v>
      </c>
      <c r="F7" s="255">
        <v>3784.2</v>
      </c>
      <c r="G7" s="413">
        <f>IF(E7="TND",1,IF(E7="EUR",Vertical_Cash_flow!$C$16,IF(E7="USD",Vertical_Cash_flow!$F$16,0)))</f>
        <v>0.33</v>
      </c>
      <c r="H7" s="255">
        <f t="shared" si="10"/>
        <v>11467.272727272726</v>
      </c>
      <c r="I7" s="33" t="s">
        <v>251</v>
      </c>
      <c r="J7" s="408">
        <v>45505</v>
      </c>
      <c r="K7" s="255">
        <f t="shared" si="6"/>
        <v>30</v>
      </c>
      <c r="L7" s="408">
        <v>45535</v>
      </c>
      <c r="M7" s="411">
        <f t="shared" ca="1" si="11"/>
        <v>-94</v>
      </c>
      <c r="N7" s="33" t="str">
        <f>VLOOKUP(L7,Mapping!L60:M1105,2,0)</f>
        <v>W36_2024</v>
      </c>
      <c r="O7" s="33" t="str">
        <f t="shared" ca="1" si="12"/>
        <v>Not Due</v>
      </c>
    </row>
    <row r="8" spans="1:18" s="34" customFormat="1" x14ac:dyDescent="0.2">
      <c r="A8" s="34" t="s">
        <v>58</v>
      </c>
      <c r="B8" s="34" t="s">
        <v>2281</v>
      </c>
      <c r="C8" s="34" t="s">
        <v>232</v>
      </c>
      <c r="D8" s="34" t="s">
        <v>2289</v>
      </c>
      <c r="E8" s="34" t="s">
        <v>1</v>
      </c>
      <c r="F8" s="257">
        <v>4500</v>
      </c>
      <c r="G8" s="414">
        <f>IF(E8="TND",1,IF(E8="EUR",Vertical_Cash_flow!$C$16,IF(E8="USD",Vertical_Cash_flow!$F$16,0)))</f>
        <v>0.3</v>
      </c>
      <c r="H8" s="257">
        <f t="shared" si="10"/>
        <v>15000</v>
      </c>
      <c r="I8" s="34" t="s">
        <v>252</v>
      </c>
      <c r="J8" s="409">
        <v>45474</v>
      </c>
      <c r="K8" s="257">
        <f t="shared" si="6"/>
        <v>14</v>
      </c>
      <c r="L8" s="409">
        <v>45488</v>
      </c>
      <c r="M8" s="412">
        <f t="shared" ca="1" si="7"/>
        <v>-47</v>
      </c>
      <c r="N8" s="34" t="str">
        <f>VLOOKUP(L8,Mapping!L61:M1106,2,0)</f>
        <v>W29_2024</v>
      </c>
      <c r="O8" s="34" t="str">
        <f t="shared" ca="1" si="8"/>
        <v>Not Due</v>
      </c>
    </row>
    <row r="9" spans="1:18" s="34" customFormat="1" x14ac:dyDescent="0.2">
      <c r="A9" s="34" t="s">
        <v>58</v>
      </c>
      <c r="B9" s="34" t="s">
        <v>2996</v>
      </c>
      <c r="C9" s="34" t="s">
        <v>232</v>
      </c>
      <c r="D9" s="34" t="s">
        <v>2290</v>
      </c>
      <c r="E9" s="34" t="s">
        <v>1</v>
      </c>
      <c r="F9" s="257">
        <f>419000*0.3</f>
        <v>125700</v>
      </c>
      <c r="G9" s="414">
        <f>IF(E9="TND",1,IF(E9="EUR",Vertical_Cash_flow!$C$16,IF(E9="USD",Vertical_Cash_flow!$F$16,0)))</f>
        <v>0.3</v>
      </c>
      <c r="H9" s="257">
        <f t="shared" si="10"/>
        <v>419000</v>
      </c>
      <c r="I9" s="34" t="s">
        <v>252</v>
      </c>
      <c r="J9" s="409">
        <v>45411</v>
      </c>
      <c r="K9" s="257">
        <f t="shared" si="6"/>
        <v>11</v>
      </c>
      <c r="L9" s="409">
        <v>45422</v>
      </c>
      <c r="M9" s="412">
        <f t="shared" ca="1" si="7"/>
        <v>19</v>
      </c>
      <c r="N9" s="34" t="str">
        <f>VLOOKUP(L9,Mapping!L62:M1107,2,0)</f>
        <v>W19_2024</v>
      </c>
      <c r="O9" s="34" t="str">
        <f t="shared" ca="1" si="8"/>
        <v>up 30 days</v>
      </c>
    </row>
    <row r="10" spans="1:18" s="34" customFormat="1" x14ac:dyDescent="0.2">
      <c r="A10" s="34" t="s">
        <v>58</v>
      </c>
      <c r="B10" s="34" t="s">
        <v>2996</v>
      </c>
      <c r="C10" s="34" t="s">
        <v>232</v>
      </c>
      <c r="D10" s="34" t="s">
        <v>2290</v>
      </c>
      <c r="E10" s="34" t="s">
        <v>1</v>
      </c>
      <c r="F10" s="257">
        <f>419000*0.6</f>
        <v>251400</v>
      </c>
      <c r="G10" s="414">
        <f>IF(E10="TND",1,IF(E10="EUR",Vertical_Cash_flow!$C$16,IF(E10="USD",Vertical_Cash_flow!$F$16,0)))</f>
        <v>0.3</v>
      </c>
      <c r="H10" s="257">
        <f t="shared" si="10"/>
        <v>838000</v>
      </c>
      <c r="I10" s="34" t="s">
        <v>252</v>
      </c>
      <c r="J10" s="409">
        <v>45595</v>
      </c>
      <c r="K10" s="257">
        <f t="shared" si="6"/>
        <v>0</v>
      </c>
      <c r="L10" s="409">
        <v>45595</v>
      </c>
      <c r="M10" s="412">
        <f t="shared" ref="M10:M11" ca="1" si="13">$R$1-L10</f>
        <v>-154</v>
      </c>
      <c r="N10" s="34" t="str">
        <f>VLOOKUP(L10,Mapping!L63:M1108,2,0)</f>
        <v>W44_2024</v>
      </c>
      <c r="O10" s="34" t="str">
        <f t="shared" ref="O10:O11" ca="1" si="14">IF(M10="","",IF(M10&lt;0,"Not Due",IF(AND(M10&gt;=0,M10&lt;=30),"up 30 days",IF(AND(M10&gt;30,M10&lt;=60),"30-60 days",IF(AND(M10&gt;60,M10&lt;=90),"60-90 days",IF(AND(M10&gt;90,M10&lt;=120),"90-120 days",IF(AND(M10&gt;120,M10&lt;=180),"120-180 days",IF(AND(M10&gt;180,M10&lt;=360),"180-360 days",IF(M10&gt;360,"more than 360 days","ok")))))))))</f>
        <v>Not Due</v>
      </c>
    </row>
    <row r="11" spans="1:18" s="34" customFormat="1" x14ac:dyDescent="0.2">
      <c r="A11" s="34" t="s">
        <v>58</v>
      </c>
      <c r="B11" s="34" t="s">
        <v>2996</v>
      </c>
      <c r="C11" s="34" t="s">
        <v>232</v>
      </c>
      <c r="D11" s="34" t="s">
        <v>2290</v>
      </c>
      <c r="E11" s="34" t="s">
        <v>1</v>
      </c>
      <c r="F11" s="257">
        <f>419000*0.1</f>
        <v>41900</v>
      </c>
      <c r="G11" s="414">
        <f>IF(E11="TND",1,IF(E11="EUR",Vertical_Cash_flow!$C$16,IF(E11="USD",Vertical_Cash_flow!$F$16,0)))</f>
        <v>0.3</v>
      </c>
      <c r="H11" s="257">
        <f t="shared" si="10"/>
        <v>139666.66666666669</v>
      </c>
      <c r="I11" s="34" t="s">
        <v>252</v>
      </c>
      <c r="J11" s="409">
        <v>45626</v>
      </c>
      <c r="K11" s="257">
        <f t="shared" si="6"/>
        <v>0</v>
      </c>
      <c r="L11" s="409">
        <v>45626</v>
      </c>
      <c r="M11" s="412">
        <f t="shared" ca="1" si="13"/>
        <v>-185</v>
      </c>
      <c r="N11" s="34" t="str">
        <f>VLOOKUP(L11,Mapping!L64:M1109,2,0)</f>
        <v>W49_2024</v>
      </c>
      <c r="O11" s="34" t="str">
        <f t="shared" ca="1" si="14"/>
        <v>Not Due</v>
      </c>
    </row>
    <row r="12" spans="1:18" x14ac:dyDescent="0.2">
      <c r="A12" s="33" t="s">
        <v>58</v>
      </c>
      <c r="B12" s="33" t="s">
        <v>2995</v>
      </c>
      <c r="C12" s="33" t="s">
        <v>232</v>
      </c>
      <c r="D12" s="33" t="s">
        <v>2291</v>
      </c>
      <c r="E12" s="33" t="s">
        <v>0</v>
      </c>
      <c r="F12" s="255">
        <v>31834</v>
      </c>
      <c r="G12" s="413">
        <f>IF(E12="TND",1,IF(E12="EUR",Vertical_Cash_flow!$C$16,IF(E12="USD",Vertical_Cash_flow!$F$16,0)))</f>
        <v>0.33</v>
      </c>
      <c r="H12" s="255">
        <f t="shared" si="10"/>
        <v>96466.666666666657</v>
      </c>
      <c r="I12" s="33" t="s">
        <v>251</v>
      </c>
      <c r="J12" s="408">
        <v>45474</v>
      </c>
      <c r="K12" s="255">
        <f t="shared" ref="K12:K13" si="15">L12-J12</f>
        <v>30</v>
      </c>
      <c r="L12" s="408">
        <v>45504</v>
      </c>
      <c r="M12" s="411">
        <f t="shared" ref="M12:M13" ca="1" si="16">$R$1-L12</f>
        <v>-63</v>
      </c>
      <c r="N12" s="33" t="str">
        <f>VLOOKUP(L12,Mapping!L66:M1111,2,0)</f>
        <v>W31_2024</v>
      </c>
      <c r="O12" s="33" t="str">
        <f t="shared" ref="O12:O13" ca="1" si="17">IF(M12="","",IF(M12&lt;0,"Not Due",IF(AND(M12&gt;=0,M12&lt;=30),"up 30 days",IF(AND(M12&gt;30,M12&lt;=60),"30-60 days",IF(AND(M12&gt;60,M12&lt;=90),"60-90 days",IF(AND(M12&gt;90,M12&lt;=120),"90-120 days",IF(AND(M12&gt;120,M12&lt;=180),"120-180 days",IF(AND(M12&gt;180,M12&lt;=360),"180-360 days",IF(M12&gt;360,"more than 360 days","ok")))))))))</f>
        <v>Not Due</v>
      </c>
    </row>
    <row r="13" spans="1:18" x14ac:dyDescent="0.2">
      <c r="A13" s="33" t="s">
        <v>58</v>
      </c>
      <c r="B13" s="33" t="s">
        <v>2995</v>
      </c>
      <c r="C13" s="33" t="s">
        <v>232</v>
      </c>
      <c r="D13" s="33" t="s">
        <v>2291</v>
      </c>
      <c r="E13" s="33" t="s">
        <v>0</v>
      </c>
      <c r="F13" s="255">
        <v>2894</v>
      </c>
      <c r="G13" s="413">
        <f>IF(E13="TND",1,IF(E13="EUR",Vertical_Cash_flow!$C$16,IF(E13="USD",Vertical_Cash_flow!$F$16,0)))</f>
        <v>0.33</v>
      </c>
      <c r="H13" s="255">
        <f t="shared" si="10"/>
        <v>8769.69696969697</v>
      </c>
      <c r="I13" s="33" t="s">
        <v>251</v>
      </c>
      <c r="J13" s="408">
        <v>45505</v>
      </c>
      <c r="K13" s="255">
        <f t="shared" si="15"/>
        <v>30</v>
      </c>
      <c r="L13" s="408">
        <v>45535</v>
      </c>
      <c r="M13" s="411">
        <f t="shared" ca="1" si="16"/>
        <v>-94</v>
      </c>
      <c r="N13" s="33" t="str">
        <f>VLOOKUP(L13,Mapping!L67:M1112,2,0)</f>
        <v>W36_2024</v>
      </c>
      <c r="O13" s="33" t="str">
        <f t="shared" ca="1" si="17"/>
        <v>Not Due</v>
      </c>
    </row>
    <row r="14" spans="1:18" s="34" customFormat="1" x14ac:dyDescent="0.2">
      <c r="A14" s="34" t="s">
        <v>58</v>
      </c>
      <c r="B14" s="34" t="s">
        <v>2282</v>
      </c>
      <c r="C14" s="34" t="s">
        <v>232</v>
      </c>
      <c r="D14" s="34" t="s">
        <v>2291</v>
      </c>
      <c r="E14" s="34" t="s">
        <v>1</v>
      </c>
      <c r="F14" s="257">
        <v>8000</v>
      </c>
      <c r="G14" s="414">
        <f>IF(E14="TND",1,IF(E14="EUR",Vertical_Cash_flow!$C$16,IF(E14="USD",Vertical_Cash_flow!$F$16,0)))</f>
        <v>0.3</v>
      </c>
      <c r="H14" s="257">
        <f t="shared" si="10"/>
        <v>26666.666666666668</v>
      </c>
      <c r="I14" s="34" t="s">
        <v>252</v>
      </c>
      <c r="J14" s="409">
        <v>45597</v>
      </c>
      <c r="K14" s="257">
        <f t="shared" si="6"/>
        <v>14</v>
      </c>
      <c r="L14" s="409">
        <v>45611</v>
      </c>
      <c r="M14" s="412">
        <f t="shared" ca="1" si="7"/>
        <v>-170</v>
      </c>
      <c r="N14" s="34" t="str">
        <f>VLOOKUP(L14,Mapping!L68:M1113,2,0)</f>
        <v>W46_2024</v>
      </c>
      <c r="O14" s="34" t="str">
        <f t="shared" ca="1" si="8"/>
        <v>Not Due</v>
      </c>
    </row>
    <row r="15" spans="1:18" s="34" customFormat="1" x14ac:dyDescent="0.2">
      <c r="A15" s="34" t="s">
        <v>58</v>
      </c>
      <c r="B15" s="34" t="s">
        <v>2283</v>
      </c>
      <c r="C15" s="34" t="s">
        <v>232</v>
      </c>
      <c r="D15" s="34" t="s">
        <v>2291</v>
      </c>
      <c r="E15" s="34" t="s">
        <v>1</v>
      </c>
      <c r="F15" s="257">
        <v>1000</v>
      </c>
      <c r="G15" s="414">
        <f>IF(E15="TND",1,IF(E15="EUR",Vertical_Cash_flow!$C$16,IF(E15="USD",Vertical_Cash_flow!$F$16,0)))</f>
        <v>0.3</v>
      </c>
      <c r="H15" s="257">
        <f t="shared" si="10"/>
        <v>3333.3333333333335</v>
      </c>
      <c r="I15" s="34" t="s">
        <v>252</v>
      </c>
      <c r="J15" s="409">
        <v>45413</v>
      </c>
      <c r="K15" s="257">
        <f t="shared" si="6"/>
        <v>14</v>
      </c>
      <c r="L15" s="409">
        <v>45427</v>
      </c>
      <c r="M15" s="412">
        <f t="shared" ca="1" si="7"/>
        <v>14</v>
      </c>
      <c r="N15" s="34" t="str">
        <f>VLOOKUP(L15,Mapping!L69:M1114,2,0)</f>
        <v>W20_2024</v>
      </c>
      <c r="O15" s="34" t="str">
        <f t="shared" ca="1" si="8"/>
        <v>up 30 days</v>
      </c>
    </row>
    <row r="16" spans="1:18" s="34" customFormat="1" x14ac:dyDescent="0.2">
      <c r="A16" s="34" t="s">
        <v>58</v>
      </c>
      <c r="B16" s="34" t="s">
        <v>2283</v>
      </c>
      <c r="C16" s="34" t="s">
        <v>232</v>
      </c>
      <c r="D16" s="34" t="s">
        <v>2291</v>
      </c>
      <c r="E16" s="34" t="s">
        <v>1</v>
      </c>
      <c r="F16" s="257">
        <v>1400</v>
      </c>
      <c r="G16" s="414">
        <f>IF(E16="TND",1,IF(E16="EUR",Vertical_Cash_flow!$C$16,IF(E16="USD",Vertical_Cash_flow!$F$16,0)))</f>
        <v>0.3</v>
      </c>
      <c r="H16" s="257">
        <f t="shared" si="10"/>
        <v>4666.666666666667</v>
      </c>
      <c r="I16" s="34" t="s">
        <v>252</v>
      </c>
      <c r="J16" s="409">
        <v>45474</v>
      </c>
      <c r="K16" s="257">
        <f t="shared" si="6"/>
        <v>14</v>
      </c>
      <c r="L16" s="409">
        <v>45488</v>
      </c>
      <c r="M16" s="412">
        <f t="shared" ref="M16" ca="1" si="18">$R$1-L16</f>
        <v>-47</v>
      </c>
      <c r="N16" s="34" t="str">
        <f>VLOOKUP(L16,Mapping!L70:M1115,2,0)</f>
        <v>W29_2024</v>
      </c>
      <c r="O16" s="34" t="str">
        <f t="shared" ref="O16" ca="1" si="19">IF(M16="","",IF(M16&lt;0,"Not Due",IF(AND(M16&gt;=0,M16&lt;=30),"up 30 days",IF(AND(M16&gt;30,M16&lt;=60),"30-60 days",IF(AND(M16&gt;60,M16&lt;=90),"60-90 days",IF(AND(M16&gt;90,M16&lt;=120),"90-120 days",IF(AND(M16&gt;120,M16&lt;=180),"120-180 days",IF(AND(M16&gt;180,M16&lt;=360),"180-360 days",IF(M16&gt;360,"more than 360 days","ok")))))))))</f>
        <v>Not Due</v>
      </c>
    </row>
    <row r="17" spans="1:15" x14ac:dyDescent="0.2">
      <c r="A17" s="33" t="s">
        <v>58</v>
      </c>
      <c r="B17" s="33" t="s">
        <v>2993</v>
      </c>
      <c r="C17" s="33" t="s">
        <v>232</v>
      </c>
      <c r="D17" s="33" t="s">
        <v>2291</v>
      </c>
      <c r="E17" s="33" t="s">
        <v>0</v>
      </c>
      <c r="F17" s="255">
        <v>43614</v>
      </c>
      <c r="G17" s="413">
        <f>IF(E17="TND",1,IF(E17="EUR",Vertical_Cash_flow!$C$16,IF(E17="USD",Vertical_Cash_flow!$F$16,0)))</f>
        <v>0.33</v>
      </c>
      <c r="H17" s="255">
        <f t="shared" ref="H17:H18" si="20">F17/G17</f>
        <v>132163.63636363635</v>
      </c>
      <c r="I17" s="33" t="s">
        <v>251</v>
      </c>
      <c r="J17" s="408">
        <v>45505</v>
      </c>
      <c r="K17" s="255">
        <f t="shared" ref="K17:K18" si="21">L17-J17</f>
        <v>30</v>
      </c>
      <c r="L17" s="408">
        <v>45535</v>
      </c>
      <c r="M17" s="411">
        <f t="shared" ref="M17:M18" ca="1" si="22">$R$1-L17</f>
        <v>-94</v>
      </c>
      <c r="N17" s="33" t="str">
        <f>VLOOKUP(L17,Mapping!L72:M1117,2,0)</f>
        <v>W36_2024</v>
      </c>
      <c r="O17" s="33" t="str">
        <f t="shared" ref="O17:O18" ca="1" si="23">IF(M17="","",IF(M17&lt;0,"Not Due",IF(AND(M17&gt;=0,M17&lt;=30),"up 30 days",IF(AND(M17&gt;30,M17&lt;=60),"30-60 days",IF(AND(M17&gt;60,M17&lt;=90),"60-90 days",IF(AND(M17&gt;90,M17&lt;=120),"90-120 days",IF(AND(M17&gt;120,M17&lt;=180),"120-180 days",IF(AND(M17&gt;180,M17&lt;=360),"180-360 days",IF(M17&gt;360,"more than 360 days","ok")))))))))</f>
        <v>Not Due</v>
      </c>
    </row>
    <row r="18" spans="1:15" x14ac:dyDescent="0.2">
      <c r="A18" s="33" t="s">
        <v>58</v>
      </c>
      <c r="B18" s="33" t="s">
        <v>2993</v>
      </c>
      <c r="C18" s="33" t="s">
        <v>232</v>
      </c>
      <c r="D18" s="33" t="s">
        <v>2291</v>
      </c>
      <c r="E18" s="33" t="s">
        <v>0</v>
      </c>
      <c r="F18" s="255">
        <v>7269</v>
      </c>
      <c r="G18" s="413">
        <f>IF(E18="TND",1,IF(E18="EUR",Vertical_Cash_flow!$C$16,IF(E18="USD",Vertical_Cash_flow!$F$16,0)))</f>
        <v>0.33</v>
      </c>
      <c r="H18" s="255">
        <f t="shared" si="20"/>
        <v>22027.272727272728</v>
      </c>
      <c r="I18" s="33" t="s">
        <v>251</v>
      </c>
      <c r="J18" s="408">
        <v>45536</v>
      </c>
      <c r="K18" s="255">
        <f t="shared" si="21"/>
        <v>29</v>
      </c>
      <c r="L18" s="408">
        <v>45565</v>
      </c>
      <c r="M18" s="411">
        <f t="shared" ca="1" si="22"/>
        <v>-124</v>
      </c>
      <c r="N18" s="33" t="str">
        <f>VLOOKUP(L18,Mapping!L73:M1118,2,0)</f>
        <v>W40_2024</v>
      </c>
      <c r="O18" s="33" t="str">
        <f t="shared" ca="1" si="23"/>
        <v>Not Due</v>
      </c>
    </row>
    <row r="19" spans="1:15" s="34" customFormat="1" x14ac:dyDescent="0.2">
      <c r="A19" s="34" t="s">
        <v>58</v>
      </c>
      <c r="B19" s="34" t="s">
        <v>2284</v>
      </c>
      <c r="C19" s="34" t="s">
        <v>232</v>
      </c>
      <c r="D19" s="34" t="s">
        <v>2291</v>
      </c>
      <c r="E19" s="34" t="s">
        <v>1</v>
      </c>
      <c r="F19" s="257">
        <v>6000</v>
      </c>
      <c r="G19" s="414">
        <f>IF(E19="TND",1,IF(E19="EUR",Vertical_Cash_flow!$C$16,IF(E19="USD",Vertical_Cash_flow!$F$16,0)))</f>
        <v>0.3</v>
      </c>
      <c r="H19" s="257">
        <f t="shared" si="10"/>
        <v>20000</v>
      </c>
      <c r="I19" s="34" t="s">
        <v>252</v>
      </c>
      <c r="J19" s="409">
        <v>45474</v>
      </c>
      <c r="K19" s="257">
        <f t="shared" si="6"/>
        <v>14</v>
      </c>
      <c r="L19" s="409">
        <v>45488</v>
      </c>
      <c r="M19" s="412">
        <f t="shared" ca="1" si="7"/>
        <v>-47</v>
      </c>
      <c r="N19" s="34" t="str">
        <f>VLOOKUP(L19,Mapping!L74:M1119,2,0)</f>
        <v>W29_2024</v>
      </c>
      <c r="O19" s="34" t="str">
        <f t="shared" ca="1" si="8"/>
        <v>Not Due</v>
      </c>
    </row>
    <row r="20" spans="1:15" s="34" customFormat="1" x14ac:dyDescent="0.2">
      <c r="A20" s="34" t="s">
        <v>58</v>
      </c>
      <c r="B20" s="34" t="s">
        <v>2284</v>
      </c>
      <c r="C20" s="34" t="s">
        <v>232</v>
      </c>
      <c r="D20" s="34" t="s">
        <v>2291</v>
      </c>
      <c r="E20" s="34" t="s">
        <v>1</v>
      </c>
      <c r="F20" s="257">
        <v>6000</v>
      </c>
      <c r="G20" s="414">
        <f>IF(E20="TND",1,IF(E20="EUR",Vertical_Cash_flow!$C$16,IF(E20="USD",Vertical_Cash_flow!$F$16,0)))</f>
        <v>0.3</v>
      </c>
      <c r="H20" s="257">
        <f t="shared" si="10"/>
        <v>20000</v>
      </c>
      <c r="I20" s="34" t="s">
        <v>252</v>
      </c>
      <c r="J20" s="409">
        <v>45505</v>
      </c>
      <c r="K20" s="257">
        <f t="shared" si="6"/>
        <v>14</v>
      </c>
      <c r="L20" s="409">
        <v>45519</v>
      </c>
      <c r="M20" s="412">
        <f t="shared" ref="M20" ca="1" si="24">$R$1-L20</f>
        <v>-78</v>
      </c>
      <c r="N20" s="34" t="str">
        <f>VLOOKUP(L20,Mapping!L75:M1120,2,0)</f>
        <v>W33_2024</v>
      </c>
      <c r="O20" s="34" t="str">
        <f t="shared" ref="O20" ca="1" si="25">IF(M20="","",IF(M20&lt;0,"Not Due",IF(AND(M20&gt;=0,M20&lt;=30),"up 30 days",IF(AND(M20&gt;30,M20&lt;=60),"30-60 days",IF(AND(M20&gt;60,M20&lt;=90),"60-90 days",IF(AND(M20&gt;90,M20&lt;=120),"90-120 days",IF(AND(M20&gt;120,M20&lt;=180),"120-180 days",IF(AND(M20&gt;180,M20&lt;=360),"180-360 days",IF(M20&gt;360,"more than 360 days","ok")))))))))</f>
        <v>Not Due</v>
      </c>
    </row>
    <row r="21" spans="1:15" s="34" customFormat="1" x14ac:dyDescent="0.2">
      <c r="A21" s="34" t="s">
        <v>58</v>
      </c>
      <c r="B21" s="34" t="s">
        <v>2285</v>
      </c>
      <c r="C21" s="34" t="s">
        <v>232</v>
      </c>
      <c r="D21" s="34" t="s">
        <v>2291</v>
      </c>
      <c r="E21" s="34" t="s">
        <v>1</v>
      </c>
      <c r="F21" s="257">
        <v>3500</v>
      </c>
      <c r="G21" s="414">
        <f>IF(E21="TND",1,IF(E21="EUR",Vertical_Cash_flow!$C$16,IF(E21="USD",Vertical_Cash_flow!$F$16,0)))</f>
        <v>0.3</v>
      </c>
      <c r="H21" s="257">
        <f t="shared" si="10"/>
        <v>11666.666666666668</v>
      </c>
      <c r="I21" s="34" t="s">
        <v>252</v>
      </c>
      <c r="J21" s="409">
        <v>45413</v>
      </c>
      <c r="K21" s="257">
        <f t="shared" si="6"/>
        <v>14</v>
      </c>
      <c r="L21" s="409">
        <v>45427</v>
      </c>
      <c r="M21" s="412">
        <f t="shared" ca="1" si="7"/>
        <v>14</v>
      </c>
      <c r="N21" s="34" t="str">
        <f>VLOOKUP(L21,Mapping!L76:M1121,2,0)</f>
        <v>W20_2024</v>
      </c>
      <c r="O21" s="34" t="str">
        <f t="shared" ca="1" si="8"/>
        <v>up 30 days</v>
      </c>
    </row>
    <row r="22" spans="1:15" s="34" customFormat="1" x14ac:dyDescent="0.2">
      <c r="A22" s="34" t="s">
        <v>58</v>
      </c>
      <c r="B22" s="34" t="s">
        <v>2286</v>
      </c>
      <c r="C22" s="34" t="s">
        <v>232</v>
      </c>
      <c r="D22" s="34" t="s">
        <v>2292</v>
      </c>
      <c r="E22" s="34" t="s">
        <v>1</v>
      </c>
      <c r="F22" s="257">
        <v>12000</v>
      </c>
      <c r="G22" s="414">
        <f>IF(E22="TND",1,IF(E22="EUR",Vertical_Cash_flow!$C$16,IF(E22="USD",Vertical_Cash_flow!$F$16,0)))</f>
        <v>0.3</v>
      </c>
      <c r="H22" s="257">
        <f t="shared" si="10"/>
        <v>40000</v>
      </c>
      <c r="I22" s="34" t="s">
        <v>252</v>
      </c>
      <c r="J22" s="409">
        <v>45383</v>
      </c>
      <c r="K22" s="257">
        <f t="shared" si="6"/>
        <v>44</v>
      </c>
      <c r="L22" s="409">
        <v>45427</v>
      </c>
      <c r="M22" s="412">
        <f t="shared" ca="1" si="7"/>
        <v>14</v>
      </c>
      <c r="N22" s="34" t="str">
        <f>VLOOKUP(L22,Mapping!L77:M1122,2,0)</f>
        <v>W20_2024</v>
      </c>
      <c r="O22" s="34" t="str">
        <f t="shared" ca="1" si="8"/>
        <v>up 30 days</v>
      </c>
    </row>
    <row r="23" spans="1:15" s="34" customFormat="1" x14ac:dyDescent="0.2">
      <c r="A23" s="34" t="s">
        <v>58</v>
      </c>
      <c r="B23" s="34" t="s">
        <v>2286</v>
      </c>
      <c r="C23" s="34" t="s">
        <v>232</v>
      </c>
      <c r="D23" s="34" t="s">
        <v>2292</v>
      </c>
      <c r="E23" s="34" t="s">
        <v>1</v>
      </c>
      <c r="F23" s="257">
        <v>9000</v>
      </c>
      <c r="G23" s="414">
        <f>IF(E23="TND",1,IF(E23="EUR",Vertical_Cash_flow!$C$16,IF(E23="USD",Vertical_Cash_flow!$F$16,0)))</f>
        <v>0.3</v>
      </c>
      <c r="H23" s="257">
        <f t="shared" si="10"/>
        <v>30000</v>
      </c>
      <c r="I23" s="34" t="s">
        <v>252</v>
      </c>
      <c r="J23" s="409">
        <v>45444</v>
      </c>
      <c r="K23" s="257">
        <f t="shared" si="6"/>
        <v>14</v>
      </c>
      <c r="L23" s="409">
        <v>45458</v>
      </c>
      <c r="M23" s="412">
        <f t="shared" ref="M23:M24" ca="1" si="26">$R$1-L23</f>
        <v>-17</v>
      </c>
      <c r="N23" s="34" t="str">
        <f>VLOOKUP(L23,Mapping!L78:M1123,2,0)</f>
        <v>W25_2024</v>
      </c>
      <c r="O23" s="34" t="str">
        <f t="shared" ref="O23:O24" ca="1" si="27">IF(M23="","",IF(M23&lt;0,"Not Due",IF(AND(M23&gt;=0,M23&lt;=30),"up 30 days",IF(AND(M23&gt;30,M23&lt;=60),"30-60 days",IF(AND(M23&gt;60,M23&lt;=90),"60-90 days",IF(AND(M23&gt;90,M23&lt;=120),"90-120 days",IF(AND(M23&gt;120,M23&lt;=180),"120-180 days",IF(AND(M23&gt;180,M23&lt;=360),"180-360 days",IF(M23&gt;360,"more than 360 days","ok")))))))))</f>
        <v>Not Due</v>
      </c>
    </row>
    <row r="24" spans="1:15" s="34" customFormat="1" x14ac:dyDescent="0.2">
      <c r="A24" s="34" t="s">
        <v>58</v>
      </c>
      <c r="B24" s="34" t="s">
        <v>2286</v>
      </c>
      <c r="C24" s="34" t="s">
        <v>232</v>
      </c>
      <c r="D24" s="34" t="s">
        <v>2292</v>
      </c>
      <c r="E24" s="34" t="s">
        <v>1</v>
      </c>
      <c r="F24" s="257">
        <v>4000</v>
      </c>
      <c r="G24" s="414">
        <f>IF(E24="TND",1,IF(E24="EUR",Vertical_Cash_flow!$C$16,IF(E24="USD",Vertical_Cash_flow!$F$16,0)))</f>
        <v>0.3</v>
      </c>
      <c r="H24" s="257">
        <f t="shared" si="10"/>
        <v>13333.333333333334</v>
      </c>
      <c r="I24" s="34" t="s">
        <v>252</v>
      </c>
      <c r="J24" s="409">
        <v>45505</v>
      </c>
      <c r="K24" s="257">
        <f t="shared" si="6"/>
        <v>14</v>
      </c>
      <c r="L24" s="409">
        <v>45519</v>
      </c>
      <c r="M24" s="412">
        <f t="shared" ca="1" si="26"/>
        <v>-78</v>
      </c>
      <c r="N24" s="34" t="str">
        <f>VLOOKUP(L24,Mapping!L79:M1124,2,0)</f>
        <v>W33_2024</v>
      </c>
      <c r="O24" s="34" t="str">
        <f t="shared" ca="1" si="27"/>
        <v>Not Due</v>
      </c>
    </row>
    <row r="25" spans="1:15" s="34" customFormat="1" x14ac:dyDescent="0.2">
      <c r="A25" s="34" t="s">
        <v>58</v>
      </c>
      <c r="B25" s="34" t="s">
        <v>2287</v>
      </c>
      <c r="C25" s="34" t="s">
        <v>232</v>
      </c>
      <c r="D25" s="34" t="s">
        <v>2292</v>
      </c>
      <c r="E25" s="34" t="s">
        <v>1</v>
      </c>
      <c r="F25" s="257">
        <v>2000</v>
      </c>
      <c r="G25" s="414">
        <f>IF(E25="TND",1,IF(E25="EUR",Vertical_Cash_flow!$C$16,IF(E25="USD",Vertical_Cash_flow!$F$16,0)))</f>
        <v>0.3</v>
      </c>
      <c r="H25" s="257">
        <f t="shared" si="10"/>
        <v>6666.666666666667</v>
      </c>
      <c r="I25" s="34" t="s">
        <v>252</v>
      </c>
      <c r="J25" s="409">
        <v>45383</v>
      </c>
      <c r="K25" s="257">
        <f t="shared" si="6"/>
        <v>44</v>
      </c>
      <c r="L25" s="409">
        <v>45427</v>
      </c>
      <c r="M25" s="412">
        <f t="shared" ca="1" si="7"/>
        <v>14</v>
      </c>
      <c r="N25" s="34" t="str">
        <f>VLOOKUP(L25,Mapping!L80:M1125,2,0)</f>
        <v>W20_2024</v>
      </c>
      <c r="O25" s="34" t="str">
        <f t="shared" ca="1" si="8"/>
        <v>up 30 days</v>
      </c>
    </row>
    <row r="26" spans="1:15" s="34" customFormat="1" x14ac:dyDescent="0.2">
      <c r="A26" s="34" t="s">
        <v>58</v>
      </c>
      <c r="B26" s="34" t="s">
        <v>2287</v>
      </c>
      <c r="C26" s="34" t="s">
        <v>232</v>
      </c>
      <c r="D26" s="34" t="s">
        <v>2292</v>
      </c>
      <c r="E26" s="34" t="s">
        <v>1</v>
      </c>
      <c r="F26" s="257">
        <v>2000</v>
      </c>
      <c r="G26" s="414">
        <f>IF(E26="TND",1,IF(E26="EUR",Vertical_Cash_flow!$C$16,IF(E26="USD",Vertical_Cash_flow!$F$16,0)))</f>
        <v>0.3</v>
      </c>
      <c r="H26" s="257">
        <f t="shared" si="10"/>
        <v>6666.666666666667</v>
      </c>
      <c r="I26" s="34" t="s">
        <v>252</v>
      </c>
      <c r="J26" s="409">
        <v>45413</v>
      </c>
      <c r="K26" s="257">
        <f t="shared" si="6"/>
        <v>14</v>
      </c>
      <c r="L26" s="409">
        <v>45427</v>
      </c>
      <c r="M26" s="412">
        <f t="shared" ref="M26:M28" ca="1" si="28">$R$1-L26</f>
        <v>14</v>
      </c>
      <c r="N26" s="34" t="str">
        <f>VLOOKUP(L26,Mapping!L81:M1126,2,0)</f>
        <v>W20_2024</v>
      </c>
      <c r="O26" s="34" t="str">
        <f t="shared" ref="O26:O28" ca="1" si="29">IF(M26="","",IF(M26&lt;0,"Not Due",IF(AND(M26&gt;=0,M26&lt;=30),"up 30 days",IF(AND(M26&gt;30,M26&lt;=60),"30-60 days",IF(AND(M26&gt;60,M26&lt;=90),"60-90 days",IF(AND(M26&gt;90,M26&lt;=120),"90-120 days",IF(AND(M26&gt;120,M26&lt;=180),"120-180 days",IF(AND(M26&gt;180,M26&lt;=360),"180-360 days",IF(M26&gt;360,"more than 360 days","ok")))))))))</f>
        <v>up 30 days</v>
      </c>
    </row>
    <row r="27" spans="1:15" s="34" customFormat="1" x14ac:dyDescent="0.2">
      <c r="A27" s="34" t="s">
        <v>58</v>
      </c>
      <c r="B27" s="34" t="s">
        <v>2287</v>
      </c>
      <c r="C27" s="34" t="s">
        <v>232</v>
      </c>
      <c r="D27" s="34" t="s">
        <v>2292</v>
      </c>
      <c r="E27" s="34" t="s">
        <v>1</v>
      </c>
      <c r="F27" s="257">
        <v>3000</v>
      </c>
      <c r="G27" s="414">
        <f>IF(E27="TND",1,IF(E27="EUR",Vertical_Cash_flow!$C$16,IF(E27="USD",Vertical_Cash_flow!$F$16,0)))</f>
        <v>0.3</v>
      </c>
      <c r="H27" s="257">
        <f t="shared" si="10"/>
        <v>10000</v>
      </c>
      <c r="I27" s="34" t="s">
        <v>252</v>
      </c>
      <c r="J27" s="409">
        <v>45444</v>
      </c>
      <c r="K27" s="257">
        <f t="shared" si="6"/>
        <v>14</v>
      </c>
      <c r="L27" s="409">
        <v>45458</v>
      </c>
      <c r="M27" s="412">
        <f t="shared" ca="1" si="28"/>
        <v>-17</v>
      </c>
      <c r="N27" s="34" t="str">
        <f>VLOOKUP(L27,Mapping!L82:M1127,2,0)</f>
        <v>W25_2024</v>
      </c>
      <c r="O27" s="34" t="str">
        <f t="shared" ca="1" si="29"/>
        <v>Not Due</v>
      </c>
    </row>
    <row r="28" spans="1:15" s="34" customFormat="1" x14ac:dyDescent="0.2">
      <c r="A28" s="34" t="s">
        <v>58</v>
      </c>
      <c r="B28" s="34" t="s">
        <v>2287</v>
      </c>
      <c r="C28" s="34" t="s">
        <v>232</v>
      </c>
      <c r="D28" s="34" t="s">
        <v>2292</v>
      </c>
      <c r="E28" s="34" t="s">
        <v>1</v>
      </c>
      <c r="F28" s="257">
        <v>2000</v>
      </c>
      <c r="G28" s="414">
        <f>IF(E28="TND",1,IF(E28="EUR",Vertical_Cash_flow!$C$16,IF(E28="USD",Vertical_Cash_flow!$F$16,0)))</f>
        <v>0.3</v>
      </c>
      <c r="H28" s="257">
        <f t="shared" si="10"/>
        <v>6666.666666666667</v>
      </c>
      <c r="I28" s="34" t="s">
        <v>252</v>
      </c>
      <c r="J28" s="409">
        <v>45474</v>
      </c>
      <c r="K28" s="257">
        <f t="shared" si="6"/>
        <v>14</v>
      </c>
      <c r="L28" s="409">
        <v>45488</v>
      </c>
      <c r="M28" s="412">
        <f t="shared" ca="1" si="28"/>
        <v>-47</v>
      </c>
      <c r="N28" s="34" t="str">
        <f>VLOOKUP(L28,Mapping!L83:M1128,2,0)</f>
        <v>W29_2024</v>
      </c>
      <c r="O28" s="34" t="str">
        <f t="shared" ca="1" si="29"/>
        <v>Not Due</v>
      </c>
    </row>
    <row r="29" spans="1:15" s="34" customFormat="1" x14ac:dyDescent="0.2">
      <c r="A29" s="34" t="s">
        <v>56</v>
      </c>
      <c r="B29" s="34" t="s">
        <v>2303</v>
      </c>
      <c r="C29" s="34" t="s">
        <v>231</v>
      </c>
      <c r="D29" s="34" t="s">
        <v>2301</v>
      </c>
      <c r="E29" s="34" t="s">
        <v>35</v>
      </c>
      <c r="F29" s="257">
        <v>100000</v>
      </c>
      <c r="G29" s="414">
        <f>IF(E29="TND",1,IF(E29="EUR",Vertical_Cash_flow!$C$16,IF(E29="USD",Vertical_Cash_flow!$F$16,0)))</f>
        <v>1</v>
      </c>
      <c r="H29" s="257">
        <f t="shared" ref="H29:H36" si="30">F29/G29</f>
        <v>100000</v>
      </c>
      <c r="I29" s="34" t="s">
        <v>252</v>
      </c>
      <c r="J29" s="409">
        <v>45443</v>
      </c>
      <c r="K29" s="257">
        <f t="shared" si="6"/>
        <v>0</v>
      </c>
      <c r="L29" s="409">
        <v>45443</v>
      </c>
      <c r="M29" s="412">
        <f t="shared" ref="M29:M36" ca="1" si="31">$R$1-L29</f>
        <v>-2</v>
      </c>
      <c r="N29" s="34" t="str">
        <f>VLOOKUP(L29,Mapping!L85:M1130,2,0)</f>
        <v>W22_2024</v>
      </c>
      <c r="O29" s="34" t="str">
        <f t="shared" ref="O29:O36" ca="1" si="32">IF(M29="","",IF(M29&lt;0,"Not Due",IF(AND(M29&gt;=0,M29&lt;=30),"up 30 days",IF(AND(M29&gt;30,M29&lt;=60),"30-60 days",IF(AND(M29&gt;60,M29&lt;=90),"60-90 days",IF(AND(M29&gt;90,M29&lt;=120),"90-120 days",IF(AND(M29&gt;120,M29&lt;=180),"120-180 days",IF(AND(M29&gt;180,M29&lt;=360),"180-360 days",IF(M29&gt;360,"more than 360 days","ok")))))))))</f>
        <v>Not Due</v>
      </c>
    </row>
    <row r="30" spans="1:15" s="34" customFormat="1" x14ac:dyDescent="0.2">
      <c r="A30" s="34" t="s">
        <v>56</v>
      </c>
      <c r="B30" s="34" t="s">
        <v>2303</v>
      </c>
      <c r="C30" s="34" t="s">
        <v>231</v>
      </c>
      <c r="D30" s="34" t="s">
        <v>2301</v>
      </c>
      <c r="E30" s="34" t="s">
        <v>35</v>
      </c>
      <c r="F30" s="257">
        <v>200000</v>
      </c>
      <c r="G30" s="414">
        <f>IF(E30="TND",1,IF(E30="EUR",Vertical_Cash_flow!$C$16,IF(E30="USD",Vertical_Cash_flow!$F$16,0)))</f>
        <v>1</v>
      </c>
      <c r="H30" s="257">
        <f t="shared" si="30"/>
        <v>200000</v>
      </c>
      <c r="I30" s="34" t="s">
        <v>252</v>
      </c>
      <c r="J30" s="409">
        <v>45473</v>
      </c>
      <c r="K30" s="257">
        <f t="shared" si="6"/>
        <v>0</v>
      </c>
      <c r="L30" s="409">
        <v>45473</v>
      </c>
      <c r="M30" s="412">
        <f t="shared" ca="1" si="31"/>
        <v>-32</v>
      </c>
      <c r="N30" s="34" t="str">
        <f>VLOOKUP(L30,Mapping!L86:M1131,2,0)</f>
        <v>W27_2024</v>
      </c>
      <c r="O30" s="34" t="str">
        <f t="shared" ca="1" si="32"/>
        <v>Not Due</v>
      </c>
    </row>
    <row r="31" spans="1:15" s="34" customFormat="1" x14ac:dyDescent="0.2">
      <c r="A31" s="34" t="s">
        <v>56</v>
      </c>
      <c r="B31" s="34" t="s">
        <v>2303</v>
      </c>
      <c r="C31" s="34" t="s">
        <v>231</v>
      </c>
      <c r="D31" s="34" t="s">
        <v>2301</v>
      </c>
      <c r="E31" s="34" t="s">
        <v>35</v>
      </c>
      <c r="F31" s="257">
        <v>200000</v>
      </c>
      <c r="G31" s="414">
        <f>IF(E31="TND",1,IF(E31="EUR",Vertical_Cash_flow!$C$16,IF(E31="USD",Vertical_Cash_flow!$F$16,0)))</f>
        <v>1</v>
      </c>
      <c r="H31" s="257">
        <f t="shared" si="30"/>
        <v>200000</v>
      </c>
      <c r="I31" s="34" t="s">
        <v>252</v>
      </c>
      <c r="J31" s="409">
        <v>45504</v>
      </c>
      <c r="K31" s="257">
        <f t="shared" si="6"/>
        <v>0</v>
      </c>
      <c r="L31" s="409">
        <v>45504</v>
      </c>
      <c r="M31" s="412">
        <f t="shared" ca="1" si="31"/>
        <v>-63</v>
      </c>
      <c r="N31" s="34" t="str">
        <f>VLOOKUP(L31,Mapping!L87:M1132,2,0)</f>
        <v>W31_2024</v>
      </c>
      <c r="O31" s="34" t="str">
        <f t="shared" ca="1" si="32"/>
        <v>Not Due</v>
      </c>
    </row>
    <row r="32" spans="1:15" s="34" customFormat="1" x14ac:dyDescent="0.2">
      <c r="A32" s="34" t="s">
        <v>56</v>
      </c>
      <c r="B32" s="34" t="s">
        <v>2303</v>
      </c>
      <c r="C32" s="34" t="s">
        <v>231</v>
      </c>
      <c r="D32" s="34" t="s">
        <v>2301</v>
      </c>
      <c r="E32" s="34" t="s">
        <v>35</v>
      </c>
      <c r="F32" s="257">
        <v>100000</v>
      </c>
      <c r="G32" s="414">
        <f>IF(E32="TND",1,IF(E32="EUR",Vertical_Cash_flow!$C$16,IF(E32="USD",Vertical_Cash_flow!$F$16,0)))</f>
        <v>1</v>
      </c>
      <c r="H32" s="257">
        <f t="shared" si="30"/>
        <v>100000</v>
      </c>
      <c r="I32" s="34" t="s">
        <v>252</v>
      </c>
      <c r="J32" s="409">
        <v>45535</v>
      </c>
      <c r="K32" s="257">
        <f t="shared" si="6"/>
        <v>0</v>
      </c>
      <c r="L32" s="409">
        <v>45535</v>
      </c>
      <c r="M32" s="412">
        <f t="shared" ca="1" si="31"/>
        <v>-94</v>
      </c>
      <c r="N32" s="34" t="str">
        <f>VLOOKUP(L32,Mapping!L88:M1133,2,0)</f>
        <v>W36_2024</v>
      </c>
      <c r="O32" s="34" t="str">
        <f t="shared" ca="1" si="32"/>
        <v>Not Due</v>
      </c>
    </row>
    <row r="33" spans="1:15" s="34" customFormat="1" x14ac:dyDescent="0.2">
      <c r="A33" s="34" t="s">
        <v>56</v>
      </c>
      <c r="B33" s="34" t="s">
        <v>2303</v>
      </c>
      <c r="C33" s="34" t="s">
        <v>231</v>
      </c>
      <c r="D33" s="34" t="s">
        <v>2301</v>
      </c>
      <c r="E33" s="34" t="s">
        <v>35</v>
      </c>
      <c r="F33" s="257">
        <v>100000</v>
      </c>
      <c r="G33" s="414">
        <f>IF(E33="TND",1,IF(E33="EUR",Vertical_Cash_flow!$C$16,IF(E33="USD",Vertical_Cash_flow!$F$16,0)))</f>
        <v>1</v>
      </c>
      <c r="H33" s="257">
        <f t="shared" si="30"/>
        <v>100000</v>
      </c>
      <c r="I33" s="34" t="s">
        <v>252</v>
      </c>
      <c r="J33" s="409">
        <v>45565</v>
      </c>
      <c r="K33" s="257">
        <f t="shared" si="6"/>
        <v>0</v>
      </c>
      <c r="L33" s="409">
        <v>45565</v>
      </c>
      <c r="M33" s="412">
        <f t="shared" ca="1" si="31"/>
        <v>-124</v>
      </c>
      <c r="N33" s="34" t="str">
        <f>VLOOKUP(L33,Mapping!L89:M1134,2,0)</f>
        <v>W40_2024</v>
      </c>
      <c r="O33" s="34" t="str">
        <f t="shared" ca="1" si="32"/>
        <v>Not Due</v>
      </c>
    </row>
    <row r="34" spans="1:15" s="34" customFormat="1" x14ac:dyDescent="0.2">
      <c r="A34" s="34" t="s">
        <v>56</v>
      </c>
      <c r="B34" s="34" t="s">
        <v>2303</v>
      </c>
      <c r="C34" s="34" t="s">
        <v>231</v>
      </c>
      <c r="D34" s="34" t="s">
        <v>2301</v>
      </c>
      <c r="E34" s="34" t="s">
        <v>35</v>
      </c>
      <c r="F34" s="257">
        <v>100000</v>
      </c>
      <c r="G34" s="414">
        <f>IF(E34="TND",1,IF(E34="EUR",Vertical_Cash_flow!$C$16,IF(E34="USD",Vertical_Cash_flow!$F$16,0)))</f>
        <v>1</v>
      </c>
      <c r="H34" s="257">
        <f t="shared" si="30"/>
        <v>100000</v>
      </c>
      <c r="I34" s="34" t="s">
        <v>252</v>
      </c>
      <c r="J34" s="409">
        <v>45596</v>
      </c>
      <c r="K34" s="257">
        <f t="shared" si="6"/>
        <v>0</v>
      </c>
      <c r="L34" s="409">
        <v>45596</v>
      </c>
      <c r="M34" s="412">
        <f t="shared" ca="1" si="31"/>
        <v>-155</v>
      </c>
      <c r="N34" s="34" t="str">
        <f>VLOOKUP(L34,Mapping!L90:M1135,2,0)</f>
        <v>W44_2024</v>
      </c>
      <c r="O34" s="34" t="str">
        <f t="shared" ca="1" si="32"/>
        <v>Not Due</v>
      </c>
    </row>
    <row r="35" spans="1:15" s="34" customFormat="1" x14ac:dyDescent="0.2">
      <c r="A35" s="34" t="s">
        <v>56</v>
      </c>
      <c r="B35" s="34" t="s">
        <v>2303</v>
      </c>
      <c r="C35" s="34" t="s">
        <v>231</v>
      </c>
      <c r="D35" s="34" t="s">
        <v>2301</v>
      </c>
      <c r="E35" s="34" t="s">
        <v>35</v>
      </c>
      <c r="F35" s="257">
        <v>100000</v>
      </c>
      <c r="G35" s="414">
        <f>IF(E35="TND",1,IF(E35="EUR",Vertical_Cash_flow!$C$16,IF(E35="USD",Vertical_Cash_flow!$F$16,0)))</f>
        <v>1</v>
      </c>
      <c r="H35" s="257">
        <f t="shared" si="30"/>
        <v>100000</v>
      </c>
      <c r="I35" s="34" t="s">
        <v>252</v>
      </c>
      <c r="J35" s="409">
        <v>45626</v>
      </c>
      <c r="K35" s="257">
        <f t="shared" si="6"/>
        <v>0</v>
      </c>
      <c r="L35" s="409">
        <v>45626</v>
      </c>
      <c r="M35" s="412">
        <f t="shared" ca="1" si="31"/>
        <v>-185</v>
      </c>
      <c r="N35" s="34" t="str">
        <f>VLOOKUP(L35,Mapping!L91:M1136,2,0)</f>
        <v>W49_2024</v>
      </c>
      <c r="O35" s="34" t="str">
        <f t="shared" ca="1" si="32"/>
        <v>Not Due</v>
      </c>
    </row>
    <row r="36" spans="1:15" s="34" customFormat="1" x14ac:dyDescent="0.2">
      <c r="A36" s="34" t="s">
        <v>56</v>
      </c>
      <c r="B36" s="34" t="s">
        <v>2303</v>
      </c>
      <c r="C36" s="34" t="s">
        <v>231</v>
      </c>
      <c r="D36" s="34" t="s">
        <v>2301</v>
      </c>
      <c r="E36" s="34" t="s">
        <v>35</v>
      </c>
      <c r="F36" s="257">
        <v>100000</v>
      </c>
      <c r="G36" s="414">
        <f>IF(E36="TND",1,IF(E36="EUR",Vertical_Cash_flow!$C$16,IF(E36="USD",Vertical_Cash_flow!$F$16,0)))</f>
        <v>1</v>
      </c>
      <c r="H36" s="257">
        <f t="shared" si="30"/>
        <v>100000</v>
      </c>
      <c r="I36" s="34" t="s">
        <v>252</v>
      </c>
      <c r="J36" s="409">
        <v>45657</v>
      </c>
      <c r="K36" s="257">
        <f t="shared" si="6"/>
        <v>0</v>
      </c>
      <c r="L36" s="409">
        <v>45657</v>
      </c>
      <c r="M36" s="412">
        <f t="shared" ca="1" si="31"/>
        <v>-216</v>
      </c>
      <c r="N36" s="34" t="str">
        <f>VLOOKUP(L36,Mapping!L92:M1137,2,0)</f>
        <v>W01_2025</v>
      </c>
      <c r="O36" s="34" t="str">
        <f t="shared" ca="1" si="32"/>
        <v>Not Due</v>
      </c>
    </row>
    <row r="37" spans="1:15" x14ac:dyDescent="0.2">
      <c r="A37" s="34"/>
    </row>
    <row r="40" spans="1:15" x14ac:dyDescent="0.2">
      <c r="L40" s="408"/>
    </row>
  </sheetData>
  <autoFilter ref="A1:R36" xr:uid="{131C0DB8-89AE-1D42-8092-C938D8C174C2}"/>
  <sortState xmlns:xlrd2="http://schemas.microsoft.com/office/spreadsheetml/2017/richdata2" ref="A2:R2">
    <sortCondition ref="A2"/>
  </sortState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CCDE9CF-77F2-42EB-B2CF-95EA878D2538}">
          <x14:formula1>
            <xm:f>Mapping!$F$30:$F$35</xm:f>
          </x14:formula1>
          <xm:sqref>C2 C3:C36</xm:sqref>
        </x14:dataValidation>
        <x14:dataValidation type="list" allowBlank="1" showInputMessage="1" showErrorMessage="1" xr:uid="{9A5095D2-2126-4B0F-99C7-A34DB0042F04}">
          <x14:formula1>
            <xm:f>Mapping!$A$30:$A$31</xm:f>
          </x14:formula1>
          <xm:sqref>A2</xm:sqref>
        </x14:dataValidation>
        <x14:dataValidation type="list" allowBlank="1" showInputMessage="1" showErrorMessage="1" xr:uid="{C80F73F8-029F-4F24-9F3E-88AD148A6C0C}">
          <x14:formula1>
            <xm:f>Mapping!$G$30:$G$36</xm:f>
          </x14:formula1>
          <xm:sqref>E2</xm:sqref>
        </x14:dataValidation>
        <x14:dataValidation type="list" allowBlank="1" showInputMessage="1" showErrorMessage="1" xr:uid="{D0432319-3147-4AAA-BDEB-BFD2A7983324}">
          <x14:formula1>
            <xm:f>Mapping!$I$3:$I$4</xm:f>
          </x14:formula1>
          <xm:sqref>I2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2D00A-E76A-4819-AFBA-EFE66D007507}">
  <sheetPr>
    <tabColor rgb="FFFFFF00"/>
  </sheetPr>
  <dimension ref="A1:S343"/>
  <sheetViews>
    <sheetView topLeftCell="A223" zoomScale="90" zoomScaleNormal="90" workbookViewId="0">
      <selection activeCell="I231" sqref="I231"/>
    </sheetView>
  </sheetViews>
  <sheetFormatPr baseColWidth="10" defaultColWidth="8.7109375" defaultRowHeight="12.75" x14ac:dyDescent="0.2"/>
  <cols>
    <col min="1" max="1" width="8.5703125" style="33" bestFit="1" customWidth="1"/>
    <col min="2" max="2" width="34" style="33" bestFit="1" customWidth="1"/>
    <col min="3" max="3" width="39.28515625" style="33" bestFit="1" customWidth="1"/>
    <col min="4" max="4" width="22.85546875" style="33" bestFit="1" customWidth="1"/>
    <col min="5" max="5" width="21.140625" style="33" bestFit="1" customWidth="1"/>
    <col min="6" max="6" width="11.85546875" style="33" bestFit="1" customWidth="1"/>
    <col min="7" max="7" width="12.42578125" style="255" bestFit="1" customWidth="1"/>
    <col min="8" max="8" width="11.42578125" style="33" bestFit="1" customWidth="1"/>
    <col min="9" max="9" width="18.28515625" style="255" bestFit="1" customWidth="1"/>
    <col min="10" max="10" width="12.42578125" style="33" bestFit="1" customWidth="1"/>
    <col min="11" max="11" width="12.28515625" style="33" bestFit="1" customWidth="1"/>
    <col min="12" max="12" width="17.7109375" style="255" bestFit="1" customWidth="1"/>
    <col min="13" max="13" width="11.7109375" style="33" bestFit="1" customWidth="1"/>
    <col min="14" max="14" width="19.7109375" style="33" bestFit="1" customWidth="1"/>
    <col min="15" max="15" width="12.85546875" style="33" bestFit="1" customWidth="1"/>
    <col min="16" max="16" width="18.5703125" style="33" bestFit="1" customWidth="1"/>
    <col min="17" max="17" width="8.7109375" style="33"/>
    <col min="18" max="18" width="6.5703125" style="33" bestFit="1" customWidth="1"/>
    <col min="19" max="19" width="11.140625" style="33" bestFit="1" customWidth="1"/>
    <col min="20" max="16384" width="8.7109375" style="33"/>
  </cols>
  <sheetData>
    <row r="1" spans="1:19" x14ac:dyDescent="0.2">
      <c r="A1" s="348" t="s">
        <v>110</v>
      </c>
      <c r="B1" s="348" t="s">
        <v>257</v>
      </c>
      <c r="C1" s="348" t="s">
        <v>254</v>
      </c>
      <c r="D1" s="348" t="s">
        <v>258</v>
      </c>
      <c r="E1" s="348" t="s">
        <v>256</v>
      </c>
      <c r="F1" s="348" t="s">
        <v>28</v>
      </c>
      <c r="G1" s="311" t="s">
        <v>103</v>
      </c>
      <c r="H1" s="311" t="s">
        <v>249</v>
      </c>
      <c r="I1" s="311" t="s">
        <v>260</v>
      </c>
      <c r="J1" s="348" t="s">
        <v>27</v>
      </c>
      <c r="K1" s="348" t="s">
        <v>94</v>
      </c>
      <c r="L1" s="311" t="s">
        <v>236</v>
      </c>
      <c r="M1" s="348" t="s">
        <v>95</v>
      </c>
      <c r="N1" s="348" t="s">
        <v>121</v>
      </c>
      <c r="O1" s="348" t="s">
        <v>230</v>
      </c>
      <c r="P1" s="348" t="s">
        <v>96</v>
      </c>
      <c r="R1" s="348" t="s">
        <v>122</v>
      </c>
      <c r="S1" s="375">
        <f ca="1">TODAY()</f>
        <v>45441</v>
      </c>
    </row>
    <row r="2" spans="1:19" ht="12.75" customHeight="1" x14ac:dyDescent="0.2">
      <c r="A2" s="34" t="s">
        <v>58</v>
      </c>
      <c r="B2" s="630" t="s">
        <v>685</v>
      </c>
      <c r="C2" s="34" t="s">
        <v>264</v>
      </c>
      <c r="D2" s="34" t="s">
        <v>79</v>
      </c>
      <c r="E2" s="34" t="s">
        <v>686</v>
      </c>
      <c r="F2" s="34" t="s">
        <v>35</v>
      </c>
      <c r="G2" s="631">
        <v>100000</v>
      </c>
      <c r="H2" s="257">
        <f>IF(F2="TND",1,IF(F2="EUR",Vertical_Cash_flow!$C$16,IF(F2="USD",Vertical_Cash_flow!$F$16,0)))</f>
        <v>1</v>
      </c>
      <c r="I2" s="257">
        <f t="shared" ref="I2:I35" si="0">G2/H2</f>
        <v>100000</v>
      </c>
      <c r="J2" s="34" t="s">
        <v>252</v>
      </c>
      <c r="K2" s="409">
        <v>45432</v>
      </c>
      <c r="L2" s="257">
        <f t="shared" ref="L2:L7" si="1">M2-K2</f>
        <v>4</v>
      </c>
      <c r="M2" s="409">
        <v>45436</v>
      </c>
      <c r="N2" s="412">
        <f t="shared" ref="N2:N35" ca="1" si="2">$S$1-M2</f>
        <v>5</v>
      </c>
      <c r="O2" s="34" t="str">
        <f>VLOOKUP(M2,Mapping!L:M,2,0)</f>
        <v>W21_2024</v>
      </c>
      <c r="P2" s="34" t="str">
        <f t="shared" ref="P2:P35" ca="1" si="3">IF(N2="","",IF(N2&lt;0,"Not Due",IF(AND(N2&gt;=0,N2&lt;=30),"up 30 days",IF(AND(N2&gt;30,N2&lt;=60),"30-60 days",IF(AND(N2&gt;60,N2&lt;=90),"60-90 days",IF(AND(N2&gt;90,N2&lt;=120),"90-120 days",IF(AND(N2&gt;120,N2&lt;=180),"120-180 days",IF(AND(N2&gt;180,N2&lt;=360),"180-360 days",IF(N2&gt;360,"more than 360 days","ok")))))))))</f>
        <v>up 30 days</v>
      </c>
      <c r="Q2" s="34"/>
      <c r="R2" s="34"/>
      <c r="S2" s="34"/>
    </row>
    <row r="3" spans="1:19" ht="12.75" customHeight="1" x14ac:dyDescent="0.2">
      <c r="A3" s="34" t="s">
        <v>58</v>
      </c>
      <c r="B3" s="630" t="s">
        <v>685</v>
      </c>
      <c r="C3" s="34" t="s">
        <v>264</v>
      </c>
      <c r="D3" s="34" t="s">
        <v>79</v>
      </c>
      <c r="E3" s="34" t="s">
        <v>686</v>
      </c>
      <c r="F3" s="34" t="s">
        <v>35</v>
      </c>
      <c r="G3" s="631">
        <v>100000</v>
      </c>
      <c r="H3" s="257">
        <f>IF(F3="TND",1,IF(F3="EUR",Vertical_Cash_flow!$C$16,IF(F3="USD",Vertical_Cash_flow!$F$16,0)))</f>
        <v>1</v>
      </c>
      <c r="I3" s="257">
        <f t="shared" si="0"/>
        <v>100000</v>
      </c>
      <c r="J3" s="34" t="s">
        <v>252</v>
      </c>
      <c r="K3" s="409">
        <v>45439</v>
      </c>
      <c r="L3" s="257">
        <f t="shared" si="1"/>
        <v>4</v>
      </c>
      <c r="M3" s="409">
        <v>45443</v>
      </c>
      <c r="N3" s="412">
        <f t="shared" ca="1" si="2"/>
        <v>-2</v>
      </c>
      <c r="O3" s="34" t="str">
        <f>VLOOKUP(M3,Mapping!L:M,2,0)</f>
        <v>W22_2024</v>
      </c>
      <c r="P3" s="34" t="str">
        <f t="shared" ca="1" si="3"/>
        <v>Not Due</v>
      </c>
      <c r="Q3" s="34"/>
      <c r="R3" s="34"/>
      <c r="S3" s="34"/>
    </row>
    <row r="4" spans="1:19" ht="12.75" customHeight="1" x14ac:dyDescent="0.2">
      <c r="A4" s="34" t="s">
        <v>58</v>
      </c>
      <c r="B4" s="630" t="s">
        <v>685</v>
      </c>
      <c r="C4" s="34" t="s">
        <v>264</v>
      </c>
      <c r="D4" s="34" t="s">
        <v>79</v>
      </c>
      <c r="E4" s="34" t="s">
        <v>686</v>
      </c>
      <c r="F4" s="34" t="s">
        <v>35</v>
      </c>
      <c r="G4" s="631">
        <v>100000</v>
      </c>
      <c r="H4" s="257">
        <f>IF(F4="TND",1,IF(F4="EUR",Vertical_Cash_flow!$C$16,IF(F4="USD",Vertical_Cash_flow!$F$16,0)))</f>
        <v>1</v>
      </c>
      <c r="I4" s="257">
        <f t="shared" si="0"/>
        <v>100000</v>
      </c>
      <c r="J4" s="34" t="s">
        <v>252</v>
      </c>
      <c r="K4" s="409">
        <v>45446</v>
      </c>
      <c r="L4" s="257">
        <f t="shared" si="1"/>
        <v>4</v>
      </c>
      <c r="M4" s="409">
        <v>45450</v>
      </c>
      <c r="N4" s="412">
        <f t="shared" ca="1" si="2"/>
        <v>-9</v>
      </c>
      <c r="O4" s="34" t="str">
        <f>VLOOKUP(M4,Mapping!L:M,2,0)</f>
        <v>W23_2024</v>
      </c>
      <c r="P4" s="34" t="str">
        <f t="shared" ca="1" si="3"/>
        <v>Not Due</v>
      </c>
      <c r="Q4" s="34"/>
      <c r="R4" s="34"/>
      <c r="S4" s="34"/>
    </row>
    <row r="5" spans="1:19" ht="12.75" customHeight="1" x14ac:dyDescent="0.2">
      <c r="A5" s="34" t="s">
        <v>58</v>
      </c>
      <c r="B5" s="630" t="s">
        <v>685</v>
      </c>
      <c r="C5" s="34" t="s">
        <v>264</v>
      </c>
      <c r="D5" s="34" t="s">
        <v>79</v>
      </c>
      <c r="E5" s="34" t="s">
        <v>686</v>
      </c>
      <c r="F5" s="34" t="s">
        <v>35</v>
      </c>
      <c r="G5" s="631">
        <v>100000</v>
      </c>
      <c r="H5" s="257">
        <f>IF(F5="TND",1,IF(F5="EUR",Vertical_Cash_flow!$C$16,IF(F5="USD",Vertical_Cash_flow!$F$16,0)))</f>
        <v>1</v>
      </c>
      <c r="I5" s="257">
        <f t="shared" si="0"/>
        <v>100000</v>
      </c>
      <c r="J5" s="34" t="s">
        <v>252</v>
      </c>
      <c r="K5" s="409">
        <v>45453</v>
      </c>
      <c r="L5" s="257">
        <f t="shared" si="1"/>
        <v>4</v>
      </c>
      <c r="M5" s="409">
        <v>45457</v>
      </c>
      <c r="N5" s="412">
        <f t="shared" ca="1" si="2"/>
        <v>-16</v>
      </c>
      <c r="O5" s="34" t="str">
        <f>VLOOKUP(M5,Mapping!L:M,2,0)</f>
        <v>W24_2024</v>
      </c>
      <c r="P5" s="34" t="str">
        <f t="shared" ca="1" si="3"/>
        <v>Not Due</v>
      </c>
      <c r="Q5" s="34"/>
      <c r="R5" s="34"/>
      <c r="S5" s="34"/>
    </row>
    <row r="6" spans="1:19" ht="12.75" customHeight="1" x14ac:dyDescent="0.2">
      <c r="A6" s="34" t="s">
        <v>58</v>
      </c>
      <c r="B6" s="630" t="s">
        <v>685</v>
      </c>
      <c r="C6" s="34" t="s">
        <v>264</v>
      </c>
      <c r="D6" s="34" t="s">
        <v>79</v>
      </c>
      <c r="E6" s="34" t="s">
        <v>686</v>
      </c>
      <c r="F6" s="34" t="s">
        <v>35</v>
      </c>
      <c r="G6" s="631">
        <v>100000</v>
      </c>
      <c r="H6" s="257">
        <f>IF(F6="TND",1,IF(F6="EUR",Vertical_Cash_flow!$C$16,IF(F6="USD",Vertical_Cash_flow!$F$16,0)))</f>
        <v>1</v>
      </c>
      <c r="I6" s="257">
        <f t="shared" si="0"/>
        <v>100000</v>
      </c>
      <c r="J6" s="34" t="s">
        <v>252</v>
      </c>
      <c r="K6" s="409">
        <v>45460</v>
      </c>
      <c r="L6" s="257">
        <f t="shared" si="1"/>
        <v>4</v>
      </c>
      <c r="M6" s="409">
        <v>45464</v>
      </c>
      <c r="N6" s="412">
        <f t="shared" ca="1" si="2"/>
        <v>-23</v>
      </c>
      <c r="O6" s="34" t="str">
        <f>VLOOKUP(M6,Mapping!L:M,2,0)</f>
        <v>W25_2024</v>
      </c>
      <c r="P6" s="34" t="str">
        <f t="shared" ca="1" si="3"/>
        <v>Not Due</v>
      </c>
      <c r="Q6" s="34"/>
      <c r="R6" s="34"/>
      <c r="S6" s="34"/>
    </row>
    <row r="7" spans="1:19" ht="12.75" customHeight="1" x14ac:dyDescent="0.2">
      <c r="A7" s="34" t="s">
        <v>58</v>
      </c>
      <c r="B7" s="630" t="s">
        <v>685</v>
      </c>
      <c r="C7" s="34" t="s">
        <v>264</v>
      </c>
      <c r="D7" s="34" t="s">
        <v>79</v>
      </c>
      <c r="E7" s="34" t="s">
        <v>686</v>
      </c>
      <c r="F7" s="34" t="s">
        <v>35</v>
      </c>
      <c r="G7" s="631">
        <v>100000</v>
      </c>
      <c r="H7" s="257">
        <f>IF(F7="TND",1,IF(F7="EUR",Vertical_Cash_flow!$C$16,IF(F7="USD",Vertical_Cash_flow!$F$16,0)))</f>
        <v>1</v>
      </c>
      <c r="I7" s="257">
        <f t="shared" si="0"/>
        <v>100000</v>
      </c>
      <c r="J7" s="34" t="s">
        <v>252</v>
      </c>
      <c r="K7" s="409">
        <v>45467</v>
      </c>
      <c r="L7" s="257">
        <f t="shared" si="1"/>
        <v>4</v>
      </c>
      <c r="M7" s="409">
        <v>45471</v>
      </c>
      <c r="N7" s="412">
        <f t="shared" ca="1" si="2"/>
        <v>-30</v>
      </c>
      <c r="O7" s="34" t="str">
        <f>VLOOKUP(M7,Mapping!L:M,2,0)</f>
        <v>W26_2024</v>
      </c>
      <c r="P7" s="34" t="str">
        <f t="shared" ca="1" si="3"/>
        <v>Not Due</v>
      </c>
      <c r="Q7" s="34"/>
      <c r="R7" s="34"/>
      <c r="S7" s="34"/>
    </row>
    <row r="8" spans="1:19" ht="12.75" customHeight="1" x14ac:dyDescent="0.2">
      <c r="A8" s="34" t="s">
        <v>58</v>
      </c>
      <c r="B8" s="630" t="s">
        <v>685</v>
      </c>
      <c r="C8" s="34" t="s">
        <v>264</v>
      </c>
      <c r="D8" s="34" t="s">
        <v>79</v>
      </c>
      <c r="E8" s="34" t="s">
        <v>686</v>
      </c>
      <c r="F8" s="34" t="s">
        <v>35</v>
      </c>
      <c r="G8" s="631">
        <v>100000</v>
      </c>
      <c r="H8" s="257">
        <f>IF(F8="TND",1,IF(F8="EUR",Vertical_Cash_flow!$C$16,IF(F8="USD",Vertical_Cash_flow!$F$16,0)))</f>
        <v>1</v>
      </c>
      <c r="I8" s="257">
        <f t="shared" si="0"/>
        <v>100000</v>
      </c>
      <c r="J8" s="34" t="s">
        <v>252</v>
      </c>
      <c r="K8" s="409">
        <v>45474</v>
      </c>
      <c r="L8" s="257">
        <f t="shared" ref="L8:L31" si="4">M8-K8</f>
        <v>4</v>
      </c>
      <c r="M8" s="409">
        <v>45478</v>
      </c>
      <c r="N8" s="412">
        <f t="shared" ca="1" si="2"/>
        <v>-37</v>
      </c>
      <c r="O8" s="34" t="str">
        <f>VLOOKUP(M8,Mapping!L:M,2,0)</f>
        <v>W27_2024</v>
      </c>
      <c r="P8" s="34" t="str">
        <f t="shared" ca="1" si="3"/>
        <v>Not Due</v>
      </c>
      <c r="Q8" s="34"/>
      <c r="R8" s="34"/>
      <c r="S8" s="34"/>
    </row>
    <row r="9" spans="1:19" ht="12.75" customHeight="1" x14ac:dyDescent="0.2">
      <c r="A9" s="34" t="s">
        <v>58</v>
      </c>
      <c r="B9" s="630" t="s">
        <v>685</v>
      </c>
      <c r="C9" s="34" t="s">
        <v>264</v>
      </c>
      <c r="D9" s="34" t="s">
        <v>79</v>
      </c>
      <c r="E9" s="34" t="s">
        <v>686</v>
      </c>
      <c r="F9" s="34" t="s">
        <v>35</v>
      </c>
      <c r="G9" s="631">
        <v>100000</v>
      </c>
      <c r="H9" s="257">
        <f>IF(F9="TND",1,IF(F9="EUR",Vertical_Cash_flow!$C$16,IF(F9="USD",Vertical_Cash_flow!$F$16,0)))</f>
        <v>1</v>
      </c>
      <c r="I9" s="257">
        <f t="shared" ref="I9" si="5">G9/H9</f>
        <v>100000</v>
      </c>
      <c r="J9" s="34" t="s">
        <v>252</v>
      </c>
      <c r="K9" s="409">
        <v>45481</v>
      </c>
      <c r="L9" s="257">
        <f t="shared" ref="L9:L16" si="6">M9-K9</f>
        <v>4</v>
      </c>
      <c r="M9" s="409">
        <v>45485</v>
      </c>
      <c r="N9" s="412">
        <f t="shared" ref="N9" ca="1" si="7">$S$1-M9</f>
        <v>-44</v>
      </c>
      <c r="O9" s="34" t="str">
        <f>VLOOKUP(M9,Mapping!L:M,2,0)</f>
        <v>W28_2024</v>
      </c>
      <c r="P9" s="34" t="str">
        <f t="shared" ref="P9" ca="1" si="8">IF(N9="","",IF(N9&lt;0,"Not Due",IF(AND(N9&gt;=0,N9&lt;=30),"up 30 days",IF(AND(N9&gt;30,N9&lt;=60),"30-60 days",IF(AND(N9&gt;60,N9&lt;=90),"60-90 days",IF(AND(N9&gt;90,N9&lt;=120),"90-120 days",IF(AND(N9&gt;120,N9&lt;=180),"120-180 days",IF(AND(N9&gt;180,N9&lt;=360),"180-360 days",IF(N9&gt;360,"more than 360 days","ok")))))))))</f>
        <v>Not Due</v>
      </c>
      <c r="Q9" s="34"/>
      <c r="R9" s="34"/>
      <c r="S9" s="34"/>
    </row>
    <row r="10" spans="1:19" ht="12.75" customHeight="1" x14ac:dyDescent="0.2">
      <c r="A10" s="34" t="s">
        <v>56</v>
      </c>
      <c r="B10" s="630" t="s">
        <v>685</v>
      </c>
      <c r="C10" s="34" t="s">
        <v>264</v>
      </c>
      <c r="D10" s="34" t="s">
        <v>79</v>
      </c>
      <c r="E10" s="34" t="s">
        <v>686</v>
      </c>
      <c r="F10" s="34" t="s">
        <v>35</v>
      </c>
      <c r="G10" s="631">
        <v>10000</v>
      </c>
      <c r="H10" s="257">
        <f>IF(F10="TND",1,IF(F10="EUR",Vertical_Cash_flow!$C$16,IF(F10="USD",Vertical_Cash_flow!$F$16,0)))</f>
        <v>1</v>
      </c>
      <c r="I10" s="257">
        <f t="shared" si="0"/>
        <v>10000</v>
      </c>
      <c r="J10" s="34" t="s">
        <v>252</v>
      </c>
      <c r="K10" s="409">
        <v>45432</v>
      </c>
      <c r="L10" s="257">
        <f t="shared" si="6"/>
        <v>4</v>
      </c>
      <c r="M10" s="409">
        <v>45436</v>
      </c>
      <c r="N10" s="412">
        <f t="shared" ca="1" si="2"/>
        <v>5</v>
      </c>
      <c r="O10" s="34" t="str">
        <f>VLOOKUP(M10,Mapping!L:M,2,0)</f>
        <v>W21_2024</v>
      </c>
      <c r="P10" s="34" t="str">
        <f t="shared" ca="1" si="3"/>
        <v>up 30 days</v>
      </c>
      <c r="Q10" s="34"/>
      <c r="R10" s="34"/>
      <c r="S10" s="34"/>
    </row>
    <row r="11" spans="1:19" ht="12.75" customHeight="1" x14ac:dyDescent="0.2">
      <c r="A11" s="34" t="s">
        <v>56</v>
      </c>
      <c r="B11" s="630" t="s">
        <v>685</v>
      </c>
      <c r="C11" s="34" t="s">
        <v>264</v>
      </c>
      <c r="D11" s="34" t="s">
        <v>79</v>
      </c>
      <c r="E11" s="34" t="s">
        <v>686</v>
      </c>
      <c r="F11" s="34" t="s">
        <v>35</v>
      </c>
      <c r="G11" s="631">
        <v>10000</v>
      </c>
      <c r="H11" s="257">
        <f>IF(F11="TND",1,IF(F11="EUR",Vertical_Cash_flow!$C$16,IF(F11="USD",Vertical_Cash_flow!$F$16,0)))</f>
        <v>1</v>
      </c>
      <c r="I11" s="257">
        <f t="shared" si="0"/>
        <v>10000</v>
      </c>
      <c r="J11" s="34" t="s">
        <v>252</v>
      </c>
      <c r="K11" s="409">
        <v>45439</v>
      </c>
      <c r="L11" s="257">
        <f t="shared" si="6"/>
        <v>4</v>
      </c>
      <c r="M11" s="409">
        <v>45443</v>
      </c>
      <c r="N11" s="412">
        <f t="shared" ca="1" si="2"/>
        <v>-2</v>
      </c>
      <c r="O11" s="34" t="str">
        <f>VLOOKUP(M11,Mapping!L:M,2,0)</f>
        <v>W22_2024</v>
      </c>
      <c r="P11" s="34" t="str">
        <f t="shared" ca="1" si="3"/>
        <v>Not Due</v>
      </c>
      <c r="Q11" s="34"/>
      <c r="R11" s="34"/>
      <c r="S11" s="34"/>
    </row>
    <row r="12" spans="1:19" ht="12.75" customHeight="1" x14ac:dyDescent="0.2">
      <c r="A12" s="34" t="s">
        <v>56</v>
      </c>
      <c r="B12" s="630" t="s">
        <v>685</v>
      </c>
      <c r="C12" s="34" t="s">
        <v>264</v>
      </c>
      <c r="D12" s="34" t="s">
        <v>79</v>
      </c>
      <c r="E12" s="34" t="s">
        <v>686</v>
      </c>
      <c r="F12" s="34" t="s">
        <v>35</v>
      </c>
      <c r="G12" s="631">
        <v>10000</v>
      </c>
      <c r="H12" s="257">
        <f>IF(F12="TND",1,IF(F12="EUR",Vertical_Cash_flow!$C$16,IF(F12="USD",Vertical_Cash_flow!$F$16,0)))</f>
        <v>1</v>
      </c>
      <c r="I12" s="257">
        <f t="shared" si="0"/>
        <v>10000</v>
      </c>
      <c r="J12" s="34" t="s">
        <v>252</v>
      </c>
      <c r="K12" s="409">
        <v>45446</v>
      </c>
      <c r="L12" s="257">
        <f t="shared" si="6"/>
        <v>4</v>
      </c>
      <c r="M12" s="409">
        <v>45450</v>
      </c>
      <c r="N12" s="412">
        <f t="shared" ca="1" si="2"/>
        <v>-9</v>
      </c>
      <c r="O12" s="34" t="str">
        <f>VLOOKUP(M12,Mapping!L:M,2,0)</f>
        <v>W23_2024</v>
      </c>
      <c r="P12" s="34" t="str">
        <f t="shared" ca="1" si="3"/>
        <v>Not Due</v>
      </c>
      <c r="Q12" s="34"/>
      <c r="R12" s="34"/>
      <c r="S12" s="34"/>
    </row>
    <row r="13" spans="1:19" ht="12.75" customHeight="1" x14ac:dyDescent="0.2">
      <c r="A13" s="34" t="s">
        <v>56</v>
      </c>
      <c r="B13" s="630" t="s">
        <v>685</v>
      </c>
      <c r="C13" s="34" t="s">
        <v>264</v>
      </c>
      <c r="D13" s="34" t="s">
        <v>79</v>
      </c>
      <c r="E13" s="34" t="s">
        <v>686</v>
      </c>
      <c r="F13" s="34" t="s">
        <v>35</v>
      </c>
      <c r="G13" s="631">
        <v>10000</v>
      </c>
      <c r="H13" s="257">
        <f>IF(F13="TND",1,IF(F13="EUR",Vertical_Cash_flow!$C$16,IF(F13="USD",Vertical_Cash_flow!$F$16,0)))</f>
        <v>1</v>
      </c>
      <c r="I13" s="257">
        <f t="shared" si="0"/>
        <v>10000</v>
      </c>
      <c r="J13" s="34" t="s">
        <v>252</v>
      </c>
      <c r="K13" s="409">
        <v>45453</v>
      </c>
      <c r="L13" s="257">
        <f t="shared" si="6"/>
        <v>4</v>
      </c>
      <c r="M13" s="409">
        <v>45457</v>
      </c>
      <c r="N13" s="412">
        <f t="shared" ca="1" si="2"/>
        <v>-16</v>
      </c>
      <c r="O13" s="34" t="str">
        <f>VLOOKUP(M13,Mapping!L:M,2,0)</f>
        <v>W24_2024</v>
      </c>
      <c r="P13" s="34" t="str">
        <f t="shared" ca="1" si="3"/>
        <v>Not Due</v>
      </c>
      <c r="Q13" s="34"/>
      <c r="R13" s="34"/>
      <c r="S13" s="34"/>
    </row>
    <row r="14" spans="1:19" ht="12.75" customHeight="1" x14ac:dyDescent="0.2">
      <c r="A14" s="34" t="s">
        <v>56</v>
      </c>
      <c r="B14" s="630" t="s">
        <v>685</v>
      </c>
      <c r="C14" s="34" t="s">
        <v>264</v>
      </c>
      <c r="D14" s="34" t="s">
        <v>79</v>
      </c>
      <c r="E14" s="34" t="s">
        <v>686</v>
      </c>
      <c r="F14" s="34" t="s">
        <v>35</v>
      </c>
      <c r="G14" s="631">
        <v>10000</v>
      </c>
      <c r="H14" s="257">
        <f>IF(F14="TND",1,IF(F14="EUR",Vertical_Cash_flow!$C$16,IF(F14="USD",Vertical_Cash_flow!$F$16,0)))</f>
        <v>1</v>
      </c>
      <c r="I14" s="257">
        <f t="shared" si="0"/>
        <v>10000</v>
      </c>
      <c r="J14" s="34" t="s">
        <v>252</v>
      </c>
      <c r="K14" s="409">
        <v>45460</v>
      </c>
      <c r="L14" s="257">
        <f t="shared" si="6"/>
        <v>4</v>
      </c>
      <c r="M14" s="409">
        <v>45464</v>
      </c>
      <c r="N14" s="412">
        <f t="shared" ca="1" si="2"/>
        <v>-23</v>
      </c>
      <c r="O14" s="34" t="str">
        <f>VLOOKUP(M14,Mapping!L:M,2,0)</f>
        <v>W25_2024</v>
      </c>
      <c r="P14" s="34" t="str">
        <f t="shared" ca="1" si="3"/>
        <v>Not Due</v>
      </c>
      <c r="Q14" s="34"/>
      <c r="R14" s="34"/>
      <c r="S14" s="34"/>
    </row>
    <row r="15" spans="1:19" ht="12.75" customHeight="1" x14ac:dyDescent="0.2">
      <c r="A15" s="34" t="s">
        <v>56</v>
      </c>
      <c r="B15" s="630" t="s">
        <v>685</v>
      </c>
      <c r="C15" s="34" t="s">
        <v>264</v>
      </c>
      <c r="D15" s="34" t="s">
        <v>79</v>
      </c>
      <c r="E15" s="34" t="s">
        <v>686</v>
      </c>
      <c r="F15" s="34" t="s">
        <v>35</v>
      </c>
      <c r="G15" s="631">
        <v>10000</v>
      </c>
      <c r="H15" s="257">
        <f>IF(F15="TND",1,IF(F15="EUR",Vertical_Cash_flow!$C$16,IF(F15="USD",Vertical_Cash_flow!$F$16,0)))</f>
        <v>1</v>
      </c>
      <c r="I15" s="257">
        <f t="shared" si="0"/>
        <v>10000</v>
      </c>
      <c r="J15" s="34" t="s">
        <v>252</v>
      </c>
      <c r="K15" s="409">
        <v>45467</v>
      </c>
      <c r="L15" s="257">
        <f t="shared" si="6"/>
        <v>4</v>
      </c>
      <c r="M15" s="409">
        <v>45471</v>
      </c>
      <c r="N15" s="412">
        <f t="shared" ca="1" si="2"/>
        <v>-30</v>
      </c>
      <c r="O15" s="34" t="str">
        <f>VLOOKUP(M15,Mapping!L:M,2,0)</f>
        <v>W26_2024</v>
      </c>
      <c r="P15" s="34" t="str">
        <f t="shared" ca="1" si="3"/>
        <v>Not Due</v>
      </c>
      <c r="Q15" s="34"/>
      <c r="R15" s="34"/>
      <c r="S15" s="34"/>
    </row>
    <row r="16" spans="1:19" ht="12.75" customHeight="1" x14ac:dyDescent="0.2">
      <c r="A16" s="34" t="s">
        <v>56</v>
      </c>
      <c r="B16" s="630" t="s">
        <v>685</v>
      </c>
      <c r="C16" s="34" t="s">
        <v>264</v>
      </c>
      <c r="D16" s="34" t="s">
        <v>79</v>
      </c>
      <c r="E16" s="34" t="s">
        <v>686</v>
      </c>
      <c r="F16" s="34" t="s">
        <v>35</v>
      </c>
      <c r="G16" s="631">
        <v>10000</v>
      </c>
      <c r="H16" s="257">
        <f>IF(F16="TND",1,IF(F16="EUR",Vertical_Cash_flow!$C$16,IF(F16="USD",Vertical_Cash_flow!$F$16,0)))</f>
        <v>1</v>
      </c>
      <c r="I16" s="257">
        <f t="shared" si="0"/>
        <v>10000</v>
      </c>
      <c r="J16" s="34" t="s">
        <v>252</v>
      </c>
      <c r="K16" s="409">
        <v>45474</v>
      </c>
      <c r="L16" s="257">
        <f t="shared" si="6"/>
        <v>4</v>
      </c>
      <c r="M16" s="409">
        <v>45478</v>
      </c>
      <c r="N16" s="412">
        <f t="shared" ca="1" si="2"/>
        <v>-37</v>
      </c>
      <c r="O16" s="34" t="str">
        <f>VLOOKUP(M16,Mapping!L:M,2,0)</f>
        <v>W27_2024</v>
      </c>
      <c r="P16" s="34" t="str">
        <f t="shared" ca="1" si="3"/>
        <v>Not Due</v>
      </c>
      <c r="Q16" s="34"/>
      <c r="R16" s="34"/>
      <c r="S16" s="34"/>
    </row>
    <row r="17" spans="1:19" ht="12.75" customHeight="1" x14ac:dyDescent="0.2">
      <c r="A17" s="34" t="s">
        <v>56</v>
      </c>
      <c r="B17" s="630" t="s">
        <v>685</v>
      </c>
      <c r="C17" s="34" t="s">
        <v>264</v>
      </c>
      <c r="D17" s="34" t="s">
        <v>79</v>
      </c>
      <c r="E17" s="34" t="s">
        <v>686</v>
      </c>
      <c r="F17" s="34" t="s">
        <v>35</v>
      </c>
      <c r="G17" s="631">
        <v>10000</v>
      </c>
      <c r="H17" s="257">
        <f>IF(F17="TND",1,IF(F17="EUR",Vertical_Cash_flow!$C$16,IF(F17="USD",Vertical_Cash_flow!$F$16,0)))</f>
        <v>1</v>
      </c>
      <c r="I17" s="257">
        <f t="shared" ref="I17" si="9">G17/H17</f>
        <v>10000</v>
      </c>
      <c r="J17" s="34" t="s">
        <v>252</v>
      </c>
      <c r="K17" s="409">
        <v>45481</v>
      </c>
      <c r="L17" s="257">
        <f t="shared" ref="L17" si="10">M17-K17</f>
        <v>4</v>
      </c>
      <c r="M17" s="409">
        <v>45485</v>
      </c>
      <c r="N17" s="412">
        <f t="shared" ref="N17" ca="1" si="11">$S$1-M17</f>
        <v>-44</v>
      </c>
      <c r="O17" s="34" t="str">
        <f>VLOOKUP(M17,Mapping!L:M,2,0)</f>
        <v>W28_2024</v>
      </c>
      <c r="P17" s="34" t="str">
        <f t="shared" ref="P17" ca="1" si="12">IF(N17="","",IF(N17&lt;0,"Not Due",IF(AND(N17&gt;=0,N17&lt;=30),"up 30 days",IF(AND(N17&gt;30,N17&lt;=60),"30-60 days",IF(AND(N17&gt;60,N17&lt;=90),"60-90 days",IF(AND(N17&gt;90,N17&lt;=120),"90-120 days",IF(AND(N17&gt;120,N17&lt;=180),"120-180 days",IF(AND(N17&gt;180,N17&lt;=360),"180-360 days",IF(N17&gt;360,"more than 360 days","ok")))))))))</f>
        <v>Not Due</v>
      </c>
      <c r="Q17" s="34"/>
      <c r="R17" s="34"/>
      <c r="S17" s="34"/>
    </row>
    <row r="18" spans="1:19" ht="12.75" customHeight="1" x14ac:dyDescent="0.2">
      <c r="A18" s="33" t="s">
        <v>58</v>
      </c>
      <c r="B18" s="632" t="s">
        <v>683</v>
      </c>
      <c r="C18" s="33" t="s">
        <v>75</v>
      </c>
      <c r="D18" s="33" t="s">
        <v>6</v>
      </c>
      <c r="E18" s="33" t="s">
        <v>686</v>
      </c>
      <c r="F18" s="33" t="s">
        <v>35</v>
      </c>
      <c r="G18" s="633">
        <v>269280.69300000003</v>
      </c>
      <c r="H18" s="255">
        <f>IF(F18="TND",1,IF(F18="EUR",Vertical_Cash_flow!$C$16,IF(F18="USD",Vertical_Cash_flow!$F$16,0)))</f>
        <v>1</v>
      </c>
      <c r="I18" s="255">
        <f t="shared" si="0"/>
        <v>269280.69300000003</v>
      </c>
      <c r="J18" s="33" t="s">
        <v>251</v>
      </c>
      <c r="K18" s="634">
        <v>45432</v>
      </c>
      <c r="L18" s="255">
        <f t="shared" si="4"/>
        <v>3</v>
      </c>
      <c r="M18" s="634">
        <v>45435</v>
      </c>
      <c r="N18" s="411">
        <f t="shared" ca="1" si="2"/>
        <v>6</v>
      </c>
      <c r="O18" s="33" t="str">
        <f>VLOOKUP(M18,Mapping!L:M,2,0)</f>
        <v>W21_2024</v>
      </c>
      <c r="P18" s="33" t="str">
        <f t="shared" ca="1" si="3"/>
        <v>up 30 days</v>
      </c>
    </row>
    <row r="19" spans="1:19" ht="12.75" customHeight="1" x14ac:dyDescent="0.2">
      <c r="A19" s="33" t="s">
        <v>56</v>
      </c>
      <c r="B19" s="632" t="s">
        <v>683</v>
      </c>
      <c r="C19" s="33" t="s">
        <v>75</v>
      </c>
      <c r="D19" s="33" t="s">
        <v>6</v>
      </c>
      <c r="E19" s="33" t="s">
        <v>686</v>
      </c>
      <c r="F19" s="33" t="s">
        <v>35</v>
      </c>
      <c r="G19" s="633">
        <v>65890.600000000006</v>
      </c>
      <c r="H19" s="255">
        <f>IF(F19="TND",1,IF(F19="EUR",Vertical_Cash_flow!$C$16,IF(F19="USD",Vertical_Cash_flow!$F$16,0)))</f>
        <v>1</v>
      </c>
      <c r="I19" s="255">
        <f t="shared" si="0"/>
        <v>65890.600000000006</v>
      </c>
      <c r="J19" s="33" t="s">
        <v>251</v>
      </c>
      <c r="K19" s="634">
        <v>45432</v>
      </c>
      <c r="L19" s="255">
        <f t="shared" si="4"/>
        <v>3</v>
      </c>
      <c r="M19" s="634">
        <v>45435</v>
      </c>
      <c r="N19" s="411">
        <f t="shared" ca="1" si="2"/>
        <v>6</v>
      </c>
      <c r="O19" s="33" t="str">
        <f>VLOOKUP(M19,Mapping!L:M,2,0)</f>
        <v>W21_2024</v>
      </c>
      <c r="P19" s="33" t="str">
        <f t="shared" ca="1" si="3"/>
        <v>up 30 days</v>
      </c>
    </row>
    <row r="20" spans="1:19" s="34" customFormat="1" ht="12.75" customHeight="1" x14ac:dyDescent="0.2">
      <c r="A20" s="34" t="s">
        <v>58</v>
      </c>
      <c r="B20" s="630" t="s">
        <v>683</v>
      </c>
      <c r="C20" s="34" t="s">
        <v>75</v>
      </c>
      <c r="D20" s="34" t="s">
        <v>6</v>
      </c>
      <c r="E20" s="34" t="s">
        <v>686</v>
      </c>
      <c r="F20" s="34" t="s">
        <v>35</v>
      </c>
      <c r="G20" s="631">
        <v>350000</v>
      </c>
      <c r="H20" s="257">
        <f>IF(F20="TND",1,IF(F20="EUR",Vertical_Cash_flow!$C$16,IF(F20="USD",Vertical_Cash_flow!$F$16,0)))</f>
        <v>1</v>
      </c>
      <c r="I20" s="257">
        <f t="shared" si="0"/>
        <v>350000</v>
      </c>
      <c r="J20" s="34" t="s">
        <v>252</v>
      </c>
      <c r="K20" s="622">
        <v>45463</v>
      </c>
      <c r="L20" s="257">
        <f t="shared" si="4"/>
        <v>3</v>
      </c>
      <c r="M20" s="622">
        <v>45466</v>
      </c>
      <c r="N20" s="412">
        <f t="shared" ca="1" si="2"/>
        <v>-25</v>
      </c>
      <c r="O20" s="34" t="str">
        <f>VLOOKUP(M20,Mapping!L:M,2,0)</f>
        <v>W26_2024</v>
      </c>
      <c r="P20" s="34" t="str">
        <f t="shared" ca="1" si="3"/>
        <v>Not Due</v>
      </c>
    </row>
    <row r="21" spans="1:19" s="34" customFormat="1" ht="12.75" customHeight="1" x14ac:dyDescent="0.2">
      <c r="A21" s="34" t="s">
        <v>56</v>
      </c>
      <c r="B21" s="630" t="s">
        <v>683</v>
      </c>
      <c r="C21" s="34" t="s">
        <v>75</v>
      </c>
      <c r="D21" s="34" t="s">
        <v>6</v>
      </c>
      <c r="E21" s="34" t="s">
        <v>686</v>
      </c>
      <c r="F21" s="34" t="s">
        <v>35</v>
      </c>
      <c r="G21" s="631">
        <v>150000</v>
      </c>
      <c r="H21" s="257">
        <f>IF(F21="TND",1,IF(F21="EUR",Vertical_Cash_flow!$C$16,IF(F21="USD",Vertical_Cash_flow!$F$16,0)))</f>
        <v>1</v>
      </c>
      <c r="I21" s="257">
        <f t="shared" si="0"/>
        <v>150000</v>
      </c>
      <c r="J21" s="34" t="s">
        <v>252</v>
      </c>
      <c r="K21" s="622">
        <v>45463</v>
      </c>
      <c r="L21" s="257">
        <f t="shared" si="4"/>
        <v>3</v>
      </c>
      <c r="M21" s="622">
        <v>45466</v>
      </c>
      <c r="N21" s="412">
        <f t="shared" ca="1" si="2"/>
        <v>-25</v>
      </c>
      <c r="O21" s="34" t="str">
        <f>VLOOKUP(M21,Mapping!L:M,2,0)</f>
        <v>W26_2024</v>
      </c>
      <c r="P21" s="34" t="str">
        <f t="shared" ca="1" si="3"/>
        <v>Not Due</v>
      </c>
    </row>
    <row r="22" spans="1:19" s="34" customFormat="1" ht="12.75" customHeight="1" x14ac:dyDescent="0.2">
      <c r="A22" s="34" t="s">
        <v>58</v>
      </c>
      <c r="B22" s="635" t="s">
        <v>766</v>
      </c>
      <c r="C22" s="34" t="s">
        <v>70</v>
      </c>
      <c r="D22" s="34" t="s">
        <v>29</v>
      </c>
      <c r="F22" s="34" t="s">
        <v>35</v>
      </c>
      <c r="G22" s="631">
        <v>220000</v>
      </c>
      <c r="H22" s="257">
        <f>IF(F22="TND",1,IF(F22="EUR",Vertical_Cash_flow!$C$16,IF(F22="USD",Vertical_Cash_flow!$F$16,0)))</f>
        <v>1</v>
      </c>
      <c r="I22" s="257">
        <f t="shared" si="0"/>
        <v>220000</v>
      </c>
      <c r="J22" s="34" t="s">
        <v>252</v>
      </c>
      <c r="K22" s="622">
        <v>45437</v>
      </c>
      <c r="L22" s="257">
        <f t="shared" si="4"/>
        <v>6</v>
      </c>
      <c r="M22" s="622">
        <v>45443</v>
      </c>
      <c r="N22" s="412">
        <f t="shared" ca="1" si="2"/>
        <v>-2</v>
      </c>
      <c r="O22" s="34" t="str">
        <f>VLOOKUP(M22,Mapping!L:M,2,0)</f>
        <v>W22_2024</v>
      </c>
      <c r="P22" s="34" t="str">
        <f t="shared" ca="1" si="3"/>
        <v>Not Due</v>
      </c>
    </row>
    <row r="23" spans="1:19" s="34" customFormat="1" ht="12.75" customHeight="1" x14ac:dyDescent="0.2">
      <c r="A23" s="34" t="s">
        <v>58</v>
      </c>
      <c r="B23" s="635" t="s">
        <v>766</v>
      </c>
      <c r="C23" s="34" t="s">
        <v>70</v>
      </c>
      <c r="D23" s="34" t="s">
        <v>29</v>
      </c>
      <c r="F23" s="34" t="s">
        <v>35</v>
      </c>
      <c r="G23" s="631">
        <v>220000</v>
      </c>
      <c r="H23" s="257">
        <f>IF(F23="TND",1,IF(F23="EUR",Vertical_Cash_flow!$C$16,IF(F23="USD",Vertical_Cash_flow!$F$16,0)))</f>
        <v>1</v>
      </c>
      <c r="I23" s="257">
        <f t="shared" si="0"/>
        <v>220000</v>
      </c>
      <c r="J23" s="34" t="s">
        <v>252</v>
      </c>
      <c r="K23" s="622">
        <v>45468</v>
      </c>
      <c r="L23" s="257">
        <f t="shared" si="4"/>
        <v>5</v>
      </c>
      <c r="M23" s="622">
        <v>45473</v>
      </c>
      <c r="N23" s="412">
        <f t="shared" ca="1" si="2"/>
        <v>-32</v>
      </c>
      <c r="O23" s="34" t="str">
        <f>VLOOKUP(M23,Mapping!L:M,2,0)</f>
        <v>W27_2024</v>
      </c>
      <c r="P23" s="34" t="str">
        <f t="shared" ca="1" si="3"/>
        <v>Not Due</v>
      </c>
    </row>
    <row r="24" spans="1:19" s="34" customFormat="1" ht="12.75" customHeight="1" x14ac:dyDescent="0.2">
      <c r="A24" s="34" t="s">
        <v>58</v>
      </c>
      <c r="B24" s="630" t="s">
        <v>666</v>
      </c>
      <c r="C24" s="34" t="s">
        <v>70</v>
      </c>
      <c r="D24" s="34" t="s">
        <v>5</v>
      </c>
      <c r="E24" s="34" t="s">
        <v>60</v>
      </c>
      <c r="F24" s="34" t="s">
        <v>35</v>
      </c>
      <c r="G24" s="631">
        <v>8000</v>
      </c>
      <c r="H24" s="257">
        <f>IF(F24="TND",1,IF(F24="EUR",Vertical_Cash_flow!$C$16,IF(F24="USD",Vertical_Cash_flow!$F$16,0)))</f>
        <v>1</v>
      </c>
      <c r="I24" s="257">
        <f t="shared" si="0"/>
        <v>8000</v>
      </c>
      <c r="J24" s="34" t="s">
        <v>252</v>
      </c>
      <c r="K24" s="622">
        <v>45437</v>
      </c>
      <c r="L24" s="257">
        <f t="shared" si="4"/>
        <v>6</v>
      </c>
      <c r="M24" s="622">
        <v>45443</v>
      </c>
      <c r="N24" s="412">
        <f t="shared" ca="1" si="2"/>
        <v>-2</v>
      </c>
      <c r="O24" s="34" t="str">
        <f>VLOOKUP(M24,Mapping!L:M,2,0)</f>
        <v>W22_2024</v>
      </c>
      <c r="P24" s="34" t="str">
        <f t="shared" ca="1" si="3"/>
        <v>Not Due</v>
      </c>
    </row>
    <row r="25" spans="1:19" s="34" customFormat="1" ht="12.75" customHeight="1" x14ac:dyDescent="0.2">
      <c r="A25" s="34" t="s">
        <v>58</v>
      </c>
      <c r="B25" s="630" t="s">
        <v>666</v>
      </c>
      <c r="C25" s="34" t="s">
        <v>70</v>
      </c>
      <c r="D25" s="34" t="s">
        <v>5</v>
      </c>
      <c r="E25" s="34" t="s">
        <v>61</v>
      </c>
      <c r="F25" s="34" t="s">
        <v>35</v>
      </c>
      <c r="G25" s="631">
        <v>7200</v>
      </c>
      <c r="H25" s="257">
        <f>IF(F25="TND",1,IF(F25="EUR",Vertical_Cash_flow!$C$16,IF(F25="USD",Vertical_Cash_flow!$F$16,0)))</f>
        <v>1</v>
      </c>
      <c r="I25" s="257">
        <f t="shared" si="0"/>
        <v>7200</v>
      </c>
      <c r="J25" s="34" t="s">
        <v>252</v>
      </c>
      <c r="K25" s="622">
        <v>45437</v>
      </c>
      <c r="L25" s="257">
        <f t="shared" si="4"/>
        <v>6</v>
      </c>
      <c r="M25" s="622">
        <v>45443</v>
      </c>
      <c r="N25" s="412">
        <f t="shared" ca="1" si="2"/>
        <v>-2</v>
      </c>
      <c r="O25" s="34" t="str">
        <f>VLOOKUP(M25,Mapping!L:M,2,0)</f>
        <v>W22_2024</v>
      </c>
      <c r="P25" s="34" t="str">
        <f t="shared" ca="1" si="3"/>
        <v>Not Due</v>
      </c>
    </row>
    <row r="26" spans="1:19" s="34" customFormat="1" ht="12.75" customHeight="1" x14ac:dyDescent="0.2">
      <c r="A26" s="636" t="s">
        <v>58</v>
      </c>
      <c r="B26" s="630" t="s">
        <v>666</v>
      </c>
      <c r="C26" s="34" t="s">
        <v>70</v>
      </c>
      <c r="D26" s="34" t="s">
        <v>5</v>
      </c>
      <c r="F26" s="34" t="s">
        <v>35</v>
      </c>
      <c r="G26" s="631">
        <v>250000</v>
      </c>
      <c r="H26" s="257">
        <f>IF(F26="TND",1,IF(F26="EUR",Vertical_Cash_flow!$C$16,IF(F26="USD",Vertical_Cash_flow!$F$16,0)))</f>
        <v>1</v>
      </c>
      <c r="I26" s="257">
        <f t="shared" si="0"/>
        <v>250000</v>
      </c>
      <c r="J26" s="34" t="s">
        <v>252</v>
      </c>
      <c r="K26" s="622">
        <v>45437</v>
      </c>
      <c r="L26" s="257">
        <f t="shared" si="4"/>
        <v>6</v>
      </c>
      <c r="M26" s="622">
        <v>45443</v>
      </c>
      <c r="N26" s="412">
        <f t="shared" ca="1" si="2"/>
        <v>-2</v>
      </c>
      <c r="O26" s="34" t="str">
        <f>VLOOKUP(M26,Mapping!L:M,2,0)</f>
        <v>W22_2024</v>
      </c>
      <c r="P26" s="34" t="str">
        <f t="shared" ca="1" si="3"/>
        <v>Not Due</v>
      </c>
    </row>
    <row r="27" spans="1:19" s="34" customFormat="1" ht="12.75" customHeight="1" x14ac:dyDescent="0.2">
      <c r="A27" s="34" t="s">
        <v>58</v>
      </c>
      <c r="B27" s="630" t="s">
        <v>666</v>
      </c>
      <c r="C27" s="34" t="s">
        <v>70</v>
      </c>
      <c r="D27" s="34" t="s">
        <v>5</v>
      </c>
      <c r="E27" s="34" t="s">
        <v>60</v>
      </c>
      <c r="F27" s="34" t="s">
        <v>35</v>
      </c>
      <c r="G27" s="631">
        <v>8000</v>
      </c>
      <c r="H27" s="257">
        <f>IF(F27="TND",1,IF(F27="EUR",Vertical_Cash_flow!$C$16,IF(F27="USD",Vertical_Cash_flow!$F$16,0)))</f>
        <v>1</v>
      </c>
      <c r="I27" s="257">
        <f t="shared" si="0"/>
        <v>8000</v>
      </c>
      <c r="J27" s="34" t="s">
        <v>252</v>
      </c>
      <c r="K27" s="622">
        <v>45468</v>
      </c>
      <c r="L27" s="257">
        <f t="shared" si="4"/>
        <v>5</v>
      </c>
      <c r="M27" s="622">
        <v>45473</v>
      </c>
      <c r="N27" s="412">
        <f t="shared" ca="1" si="2"/>
        <v>-32</v>
      </c>
      <c r="O27" s="34" t="str">
        <f>VLOOKUP(M27,Mapping!L:M,2,0)</f>
        <v>W27_2024</v>
      </c>
      <c r="P27" s="34" t="str">
        <f t="shared" ca="1" si="3"/>
        <v>Not Due</v>
      </c>
    </row>
    <row r="28" spans="1:19" s="34" customFormat="1" ht="12.75" customHeight="1" x14ac:dyDescent="0.2">
      <c r="A28" s="34" t="s">
        <v>58</v>
      </c>
      <c r="B28" s="630" t="s">
        <v>666</v>
      </c>
      <c r="C28" s="34" t="s">
        <v>70</v>
      </c>
      <c r="D28" s="34" t="s">
        <v>5</v>
      </c>
      <c r="E28" s="34" t="s">
        <v>61</v>
      </c>
      <c r="F28" s="34" t="s">
        <v>35</v>
      </c>
      <c r="G28" s="631">
        <v>7200</v>
      </c>
      <c r="H28" s="257">
        <f>IF(F28="TND",1,IF(F28="EUR",Vertical_Cash_flow!$C$16,IF(F28="USD",Vertical_Cash_flow!$F$16,0)))</f>
        <v>1</v>
      </c>
      <c r="I28" s="257">
        <f t="shared" si="0"/>
        <v>7200</v>
      </c>
      <c r="J28" s="34" t="s">
        <v>252</v>
      </c>
      <c r="K28" s="622">
        <v>45468</v>
      </c>
      <c r="L28" s="257">
        <f t="shared" si="4"/>
        <v>5</v>
      </c>
      <c r="M28" s="622">
        <v>45473</v>
      </c>
      <c r="N28" s="412">
        <f t="shared" ca="1" si="2"/>
        <v>-32</v>
      </c>
      <c r="O28" s="34" t="str">
        <f>VLOOKUP(M28,Mapping!L:M,2,0)</f>
        <v>W27_2024</v>
      </c>
      <c r="P28" s="34" t="str">
        <f t="shared" ca="1" si="3"/>
        <v>Not Due</v>
      </c>
    </row>
    <row r="29" spans="1:19" s="34" customFormat="1" ht="12.75" customHeight="1" x14ac:dyDescent="0.2">
      <c r="A29" s="636" t="s">
        <v>58</v>
      </c>
      <c r="B29" s="630" t="s">
        <v>666</v>
      </c>
      <c r="C29" s="34" t="s">
        <v>70</v>
      </c>
      <c r="D29" s="34" t="s">
        <v>5</v>
      </c>
      <c r="F29" s="34" t="s">
        <v>35</v>
      </c>
      <c r="G29" s="631">
        <v>250000</v>
      </c>
      <c r="H29" s="257">
        <f>IF(F29="TND",1,IF(F29="EUR",Vertical_Cash_flow!$C$16,IF(F29="USD",Vertical_Cash_flow!$F$16,0)))</f>
        <v>1</v>
      </c>
      <c r="I29" s="257">
        <f t="shared" si="0"/>
        <v>250000</v>
      </c>
      <c r="J29" s="34" t="s">
        <v>252</v>
      </c>
      <c r="K29" s="622">
        <v>45468</v>
      </c>
      <c r="L29" s="257">
        <f t="shared" si="4"/>
        <v>5</v>
      </c>
      <c r="M29" s="622">
        <v>45473</v>
      </c>
      <c r="N29" s="412">
        <f t="shared" ca="1" si="2"/>
        <v>-32</v>
      </c>
      <c r="O29" s="34" t="str">
        <f>VLOOKUP(M29,Mapping!L:M,2,0)</f>
        <v>W27_2024</v>
      </c>
      <c r="P29" s="34" t="str">
        <f t="shared" ca="1" si="3"/>
        <v>Not Due</v>
      </c>
    </row>
    <row r="30" spans="1:19" s="34" customFormat="1" ht="12.75" customHeight="1" x14ac:dyDescent="0.2">
      <c r="A30" s="34" t="s">
        <v>56</v>
      </c>
      <c r="B30" s="630" t="s">
        <v>666</v>
      </c>
      <c r="C30" s="34" t="s">
        <v>70</v>
      </c>
      <c r="D30" s="34" t="s">
        <v>5</v>
      </c>
      <c r="F30" s="34" t="s">
        <v>35</v>
      </c>
      <c r="G30" s="631">
        <v>62000</v>
      </c>
      <c r="H30" s="257">
        <f>IF(F30="TND",1,IF(F30="EUR",Vertical_Cash_flow!$C$16,IF(F30="USD",Vertical_Cash_flow!$F$16,0)))</f>
        <v>1</v>
      </c>
      <c r="I30" s="257">
        <f t="shared" si="0"/>
        <v>62000</v>
      </c>
      <c r="J30" s="34" t="s">
        <v>252</v>
      </c>
      <c r="K30" s="622">
        <v>45468</v>
      </c>
      <c r="L30" s="257">
        <f t="shared" si="4"/>
        <v>5</v>
      </c>
      <c r="M30" s="622">
        <v>45473</v>
      </c>
      <c r="N30" s="412">
        <f t="shared" ca="1" si="2"/>
        <v>-32</v>
      </c>
      <c r="O30" s="34" t="str">
        <f>VLOOKUP(M30,Mapping!L:M,2,0)</f>
        <v>W27_2024</v>
      </c>
      <c r="P30" s="34" t="str">
        <f t="shared" ca="1" si="3"/>
        <v>Not Due</v>
      </c>
    </row>
    <row r="31" spans="1:19" s="34" customFormat="1" ht="12.75" customHeight="1" x14ac:dyDescent="0.2">
      <c r="A31" s="34" t="s">
        <v>56</v>
      </c>
      <c r="B31" s="630" t="s">
        <v>666</v>
      </c>
      <c r="C31" s="34" t="s">
        <v>70</v>
      </c>
      <c r="D31" s="34" t="s">
        <v>5</v>
      </c>
      <c r="F31" s="34" t="s">
        <v>35</v>
      </c>
      <c r="G31" s="631">
        <v>62000</v>
      </c>
      <c r="H31" s="257">
        <f>IF(F31="TND",1,IF(F31="EUR",Vertical_Cash_flow!$C$16,IF(F31="USD",Vertical_Cash_flow!$F$16,0)))</f>
        <v>1</v>
      </c>
      <c r="I31" s="257">
        <f t="shared" si="0"/>
        <v>62000</v>
      </c>
      <c r="J31" s="34" t="s">
        <v>252</v>
      </c>
      <c r="K31" s="622">
        <v>45437</v>
      </c>
      <c r="L31" s="257">
        <f t="shared" si="4"/>
        <v>6</v>
      </c>
      <c r="M31" s="622">
        <v>45443</v>
      </c>
      <c r="N31" s="412">
        <f t="shared" ca="1" si="2"/>
        <v>-2</v>
      </c>
      <c r="O31" s="34" t="str">
        <f>VLOOKUP(M31,Mapping!L:M,2,0)</f>
        <v>W22_2024</v>
      </c>
      <c r="P31" s="34" t="str">
        <f t="shared" ca="1" si="3"/>
        <v>Not Due</v>
      </c>
    </row>
    <row r="32" spans="1:19" s="34" customFormat="1" ht="12.75" customHeight="1" x14ac:dyDescent="0.2">
      <c r="A32" s="34" t="s">
        <v>56</v>
      </c>
      <c r="B32" s="630" t="s">
        <v>663</v>
      </c>
      <c r="C32" s="34" t="s">
        <v>70</v>
      </c>
      <c r="D32" s="34" t="s">
        <v>684</v>
      </c>
      <c r="F32" s="34" t="s">
        <v>35</v>
      </c>
      <c r="G32" s="631">
        <v>25000</v>
      </c>
      <c r="H32" s="257">
        <f>IF(F32="TND",1,IF(F32="EUR",Vertical_Cash_flow!$C$16,IF(F32="USD",Vertical_Cash_flow!$F$16,0)))</f>
        <v>1</v>
      </c>
      <c r="I32" s="257">
        <f t="shared" si="0"/>
        <v>25000</v>
      </c>
      <c r="J32" s="34" t="s">
        <v>252</v>
      </c>
      <c r="K32" s="622">
        <v>45412</v>
      </c>
      <c r="L32" s="257">
        <v>30</v>
      </c>
      <c r="M32" s="622">
        <v>45443</v>
      </c>
      <c r="N32" s="412">
        <f t="shared" ca="1" si="2"/>
        <v>-2</v>
      </c>
      <c r="O32" s="34" t="str">
        <f>VLOOKUP(M32,Mapping!L:M,2,0)</f>
        <v>W22_2024</v>
      </c>
      <c r="P32" s="34" t="str">
        <f t="shared" ca="1" si="3"/>
        <v>Not Due</v>
      </c>
    </row>
    <row r="33" spans="1:16" s="34" customFormat="1" ht="12.75" customHeight="1" x14ac:dyDescent="0.2">
      <c r="A33" s="34" t="s">
        <v>58</v>
      </c>
      <c r="B33" s="630" t="s">
        <v>663</v>
      </c>
      <c r="C33" s="34" t="s">
        <v>70</v>
      </c>
      <c r="D33" s="34" t="s">
        <v>684</v>
      </c>
      <c r="F33" s="34" t="s">
        <v>35</v>
      </c>
      <c r="G33" s="631">
        <v>6500</v>
      </c>
      <c r="H33" s="257">
        <f>IF(F33="TND",1,IF(F33="EUR",Vertical_Cash_flow!$C$16,IF(F33="USD",Vertical_Cash_flow!$F$16,0)))</f>
        <v>1</v>
      </c>
      <c r="I33" s="257">
        <f t="shared" si="0"/>
        <v>6500</v>
      </c>
      <c r="J33" s="34" t="s">
        <v>252</v>
      </c>
      <c r="K33" s="622">
        <v>45412</v>
      </c>
      <c r="L33" s="257">
        <v>30</v>
      </c>
      <c r="M33" s="622">
        <v>45443</v>
      </c>
      <c r="N33" s="412">
        <f t="shared" ca="1" si="2"/>
        <v>-2</v>
      </c>
      <c r="O33" s="34" t="str">
        <f>VLOOKUP(M33,Mapping!L:M,2,0)</f>
        <v>W22_2024</v>
      </c>
      <c r="P33" s="34" t="str">
        <f t="shared" ca="1" si="3"/>
        <v>Not Due</v>
      </c>
    </row>
    <row r="34" spans="1:16" s="34" customFormat="1" ht="12.75" customHeight="1" x14ac:dyDescent="0.2">
      <c r="A34" s="34" t="s">
        <v>56</v>
      </c>
      <c r="B34" s="630" t="s">
        <v>663</v>
      </c>
      <c r="C34" s="34" t="s">
        <v>70</v>
      </c>
      <c r="D34" s="34" t="s">
        <v>684</v>
      </c>
      <c r="F34" s="34" t="s">
        <v>35</v>
      </c>
      <c r="G34" s="631">
        <v>25000</v>
      </c>
      <c r="H34" s="257">
        <f>IF(F34="TND",1,IF(F34="EUR",Vertical_Cash_flow!$C$16,IF(F34="USD",Vertical_Cash_flow!$F$16,0)))</f>
        <v>1</v>
      </c>
      <c r="I34" s="257">
        <f t="shared" si="0"/>
        <v>25000</v>
      </c>
      <c r="J34" s="34" t="s">
        <v>252</v>
      </c>
      <c r="K34" s="622">
        <v>45443</v>
      </c>
      <c r="L34" s="257">
        <v>30</v>
      </c>
      <c r="M34" s="622">
        <v>45473</v>
      </c>
      <c r="N34" s="412">
        <f t="shared" ca="1" si="2"/>
        <v>-32</v>
      </c>
      <c r="O34" s="34" t="str">
        <f>VLOOKUP(M34,Mapping!L:M,2,0)</f>
        <v>W27_2024</v>
      </c>
      <c r="P34" s="34" t="str">
        <f t="shared" ca="1" si="3"/>
        <v>Not Due</v>
      </c>
    </row>
    <row r="35" spans="1:16" s="34" customFormat="1" ht="12.75" customHeight="1" x14ac:dyDescent="0.2">
      <c r="A35" s="34" t="s">
        <v>58</v>
      </c>
      <c r="B35" s="630" t="s">
        <v>663</v>
      </c>
      <c r="C35" s="34" t="s">
        <v>70</v>
      </c>
      <c r="D35" s="34" t="s">
        <v>684</v>
      </c>
      <c r="F35" s="34" t="s">
        <v>35</v>
      </c>
      <c r="G35" s="631">
        <v>6500</v>
      </c>
      <c r="H35" s="257">
        <f>IF(F35="TND",1,IF(F35="EUR",Vertical_Cash_flow!$C$16,IF(F35="USD",Vertical_Cash_flow!$F$16,0)))</f>
        <v>1</v>
      </c>
      <c r="I35" s="257">
        <f t="shared" si="0"/>
        <v>6500</v>
      </c>
      <c r="J35" s="34" t="s">
        <v>252</v>
      </c>
      <c r="K35" s="622">
        <v>45443</v>
      </c>
      <c r="L35" s="257">
        <v>30</v>
      </c>
      <c r="M35" s="622">
        <v>45473</v>
      </c>
      <c r="N35" s="412">
        <f t="shared" ca="1" si="2"/>
        <v>-32</v>
      </c>
      <c r="O35" s="34" t="str">
        <f>VLOOKUP(M35,Mapping!L:M,2,0)</f>
        <v>W27_2024</v>
      </c>
      <c r="P35" s="34" t="str">
        <f t="shared" ca="1" si="3"/>
        <v>Not Due</v>
      </c>
    </row>
    <row r="36" spans="1:16" ht="15" x14ac:dyDescent="0.25">
      <c r="A36" s="33" t="s">
        <v>58</v>
      </c>
      <c r="B36" t="s">
        <v>975</v>
      </c>
      <c r="C36" s="33" t="s">
        <v>264</v>
      </c>
      <c r="D36" s="33" t="s">
        <v>79</v>
      </c>
      <c r="F36" s="33" t="s">
        <v>35</v>
      </c>
      <c r="G36" s="355">
        <v>2106.3029999999999</v>
      </c>
      <c r="H36" s="255">
        <f>IF(F36="TND",1,IF(F36="EUR",Vertical_Cash_flow!$C$16,IF(F36="USD",Vertical_Cash_flow!$F$16,0)))</f>
        <v>1</v>
      </c>
      <c r="I36" s="255">
        <f t="shared" ref="I36:I99" si="13">G36/H36</f>
        <v>2106.3029999999999</v>
      </c>
      <c r="J36" s="33" t="s">
        <v>251</v>
      </c>
      <c r="K36" s="39">
        <v>45379</v>
      </c>
      <c r="L36" s="255">
        <f t="shared" ref="L36:L99" si="14">M36-K36</f>
        <v>38</v>
      </c>
      <c r="M36" s="625">
        <v>45417</v>
      </c>
      <c r="N36" s="411">
        <f t="shared" ref="N36:N99" ca="1" si="15">$S$1-M36</f>
        <v>24</v>
      </c>
      <c r="O36" s="33" t="str">
        <f>VLOOKUP(M36,Mapping!L:M,2,0)</f>
        <v>W19_2024</v>
      </c>
      <c r="P36" s="33" t="str">
        <f t="shared" ref="P36:P99" ca="1" si="16">IF(N36="","",IF(N36&lt;0,"Not Due",IF(AND(N36&gt;=0,N36&lt;=30),"up 30 days",IF(AND(N36&gt;30,N36&lt;=60),"30-60 days",IF(AND(N36&gt;60,N36&lt;=90),"60-90 days",IF(AND(N36&gt;90,N36&lt;=120),"90-120 days",IF(AND(N36&gt;120,N36&lt;=180),"120-180 days",IF(AND(N36&gt;180,N36&lt;=360),"180-360 days",IF(N36&gt;360,"more than 360 days","ok")))))))))</f>
        <v>up 30 days</v>
      </c>
    </row>
    <row r="37" spans="1:16" ht="15" customHeight="1" x14ac:dyDescent="0.25">
      <c r="A37" s="33" t="s">
        <v>58</v>
      </c>
      <c r="B37" t="s">
        <v>3761</v>
      </c>
      <c r="C37" s="33" t="s">
        <v>264</v>
      </c>
      <c r="D37" s="33" t="s">
        <v>79</v>
      </c>
      <c r="F37" s="33" t="s">
        <v>35</v>
      </c>
      <c r="G37" s="355">
        <v>6426.7860000000001</v>
      </c>
      <c r="H37" s="255">
        <f>IF(F37="TND",1,IF(F37="EUR",Vertical_Cash_flow!$C$16,IF(F37="USD",Vertical_Cash_flow!$F$16,0)))</f>
        <v>1</v>
      </c>
      <c r="I37" s="255">
        <f t="shared" si="13"/>
        <v>6426.7860000000001</v>
      </c>
      <c r="J37" s="33" t="s">
        <v>251</v>
      </c>
      <c r="K37" s="39">
        <v>45432</v>
      </c>
      <c r="L37" s="255">
        <f t="shared" si="14"/>
        <v>0</v>
      </c>
      <c r="M37" s="625">
        <v>45432</v>
      </c>
      <c r="N37" s="411">
        <f t="shared" ca="1" si="15"/>
        <v>9</v>
      </c>
      <c r="O37" s="33" t="str">
        <f>VLOOKUP(M37,Mapping!L:M,2,0)</f>
        <v>W21_2024</v>
      </c>
      <c r="P37" s="33" t="str">
        <f t="shared" ca="1" si="16"/>
        <v>up 30 days</v>
      </c>
    </row>
    <row r="38" spans="1:16" ht="15" customHeight="1" x14ac:dyDescent="0.25">
      <c r="A38" s="33" t="s">
        <v>58</v>
      </c>
      <c r="B38" t="s">
        <v>663</v>
      </c>
      <c r="C38" s="33" t="s">
        <v>264</v>
      </c>
      <c r="D38" s="33" t="s">
        <v>684</v>
      </c>
      <c r="F38" s="33" t="s">
        <v>35</v>
      </c>
      <c r="G38" s="355">
        <v>8923.8439999999991</v>
      </c>
      <c r="H38" s="255">
        <f>IF(F38="TND",1,IF(F38="EUR",Vertical_Cash_flow!$C$16,IF(F38="USD",Vertical_Cash_flow!$F$16,0)))</f>
        <v>1</v>
      </c>
      <c r="I38" s="255">
        <f t="shared" si="13"/>
        <v>8923.8439999999991</v>
      </c>
      <c r="J38" s="33" t="s">
        <v>251</v>
      </c>
      <c r="K38" s="39">
        <v>45427</v>
      </c>
      <c r="L38" s="255">
        <f t="shared" si="14"/>
        <v>0</v>
      </c>
      <c r="M38" s="625">
        <v>45427</v>
      </c>
      <c r="N38" s="411">
        <f t="shared" ca="1" si="15"/>
        <v>14</v>
      </c>
      <c r="O38" s="33" t="str">
        <f>VLOOKUP(M38,Mapping!L:M,2,0)</f>
        <v>W20_2024</v>
      </c>
      <c r="P38" s="33" t="str">
        <f t="shared" ca="1" si="16"/>
        <v>up 30 days</v>
      </c>
    </row>
    <row r="39" spans="1:16" ht="15" customHeight="1" x14ac:dyDescent="0.25">
      <c r="A39" s="33" t="s">
        <v>58</v>
      </c>
      <c r="B39" s="623" t="s">
        <v>1239</v>
      </c>
      <c r="C39" s="33" t="s">
        <v>264</v>
      </c>
      <c r="D39" s="33" t="s">
        <v>79</v>
      </c>
      <c r="F39" s="33" t="s">
        <v>35</v>
      </c>
      <c r="G39" s="624">
        <v>268.036</v>
      </c>
      <c r="H39" s="255">
        <f>IF(F39="TND",1,IF(F39="EUR",Vertical_Cash_flow!$C$16,IF(F39="USD",Vertical_Cash_flow!$F$16,0)))</f>
        <v>1</v>
      </c>
      <c r="I39" s="255">
        <f t="shared" si="13"/>
        <v>268.036</v>
      </c>
      <c r="J39" s="33" t="s">
        <v>251</v>
      </c>
      <c r="K39" s="625">
        <v>45331</v>
      </c>
      <c r="L39" s="255">
        <f t="shared" si="14"/>
        <v>76</v>
      </c>
      <c r="M39" s="625">
        <v>45407</v>
      </c>
      <c r="N39" s="411">
        <f t="shared" ca="1" si="15"/>
        <v>34</v>
      </c>
      <c r="O39" s="33" t="str">
        <f>VLOOKUP(M39,Mapping!L:M,2,0)</f>
        <v>W17_2024</v>
      </c>
      <c r="P39" s="33" t="str">
        <f t="shared" ca="1" si="16"/>
        <v>30-60 days</v>
      </c>
    </row>
    <row r="40" spans="1:16" ht="15" x14ac:dyDescent="0.25">
      <c r="A40" s="33" t="s">
        <v>58</v>
      </c>
      <c r="B40" t="s">
        <v>3765</v>
      </c>
      <c r="C40" s="33" t="s">
        <v>264</v>
      </c>
      <c r="D40" s="33" t="s">
        <v>79</v>
      </c>
      <c r="F40" s="33" t="s">
        <v>35</v>
      </c>
      <c r="G40" s="355">
        <v>1427.365</v>
      </c>
      <c r="H40" s="255">
        <f>IF(F40="TND",1,IF(F40="EUR",Vertical_Cash_flow!$C$16,IF(F40="USD",Vertical_Cash_flow!$F$16,0)))</f>
        <v>1</v>
      </c>
      <c r="I40" s="255">
        <f t="shared" si="13"/>
        <v>1427.365</v>
      </c>
      <c r="J40" s="33" t="s">
        <v>251</v>
      </c>
      <c r="K40" s="39">
        <v>45432</v>
      </c>
      <c r="L40" s="255">
        <f t="shared" si="14"/>
        <v>0</v>
      </c>
      <c r="M40" s="625">
        <v>45432</v>
      </c>
      <c r="N40" s="411">
        <f t="shared" ca="1" si="15"/>
        <v>9</v>
      </c>
      <c r="O40" s="33" t="str">
        <f>VLOOKUP(M40,Mapping!L:M,2,0)</f>
        <v>W21_2024</v>
      </c>
      <c r="P40" s="33" t="str">
        <f t="shared" ca="1" si="16"/>
        <v>up 30 days</v>
      </c>
    </row>
    <row r="41" spans="1:16" ht="15" x14ac:dyDescent="0.25">
      <c r="A41" s="33" t="s">
        <v>58</v>
      </c>
      <c r="B41" t="s">
        <v>3759</v>
      </c>
      <c r="C41" s="33" t="s">
        <v>264</v>
      </c>
      <c r="D41" s="33" t="s">
        <v>79</v>
      </c>
      <c r="F41" s="33" t="s">
        <v>35</v>
      </c>
      <c r="G41" s="355">
        <v>4199.5810000000001</v>
      </c>
      <c r="H41" s="255">
        <f>IF(F41="TND",1,IF(F41="EUR",Vertical_Cash_flow!$C$16,IF(F41="USD",Vertical_Cash_flow!$F$16,0)))</f>
        <v>1</v>
      </c>
      <c r="I41" s="255">
        <f t="shared" si="13"/>
        <v>4199.5810000000001</v>
      </c>
      <c r="J41" s="33" t="s">
        <v>251</v>
      </c>
      <c r="K41" s="39">
        <v>45429</v>
      </c>
      <c r="L41" s="255">
        <f t="shared" si="14"/>
        <v>0</v>
      </c>
      <c r="M41" s="625">
        <v>45429</v>
      </c>
      <c r="N41" s="411">
        <f t="shared" ca="1" si="15"/>
        <v>12</v>
      </c>
      <c r="O41" s="33" t="str">
        <f>VLOOKUP(M41,Mapping!L:M,2,0)</f>
        <v>W20_2024</v>
      </c>
      <c r="P41" s="33" t="str">
        <f t="shared" ca="1" si="16"/>
        <v>up 30 days</v>
      </c>
    </row>
    <row r="42" spans="1:16" ht="15" x14ac:dyDescent="0.25">
      <c r="A42" s="33" t="s">
        <v>58</v>
      </c>
      <c r="B42" t="s">
        <v>3001</v>
      </c>
      <c r="C42" s="33" t="s">
        <v>264</v>
      </c>
      <c r="D42" s="33" t="s">
        <v>79</v>
      </c>
      <c r="F42" s="33" t="s">
        <v>35</v>
      </c>
      <c r="G42" s="355">
        <v>881.6</v>
      </c>
      <c r="H42" s="255">
        <f>IF(F42="TND",1,IF(F42="EUR",Vertical_Cash_flow!$C$16,IF(F42="USD",Vertical_Cash_flow!$F$16,0)))</f>
        <v>1</v>
      </c>
      <c r="I42" s="255">
        <f t="shared" si="13"/>
        <v>881.6</v>
      </c>
      <c r="J42" s="33" t="s">
        <v>251</v>
      </c>
      <c r="K42" s="39">
        <v>45407</v>
      </c>
      <c r="L42" s="255">
        <f t="shared" si="14"/>
        <v>0</v>
      </c>
      <c r="M42" s="625">
        <v>45407</v>
      </c>
      <c r="N42" s="411">
        <f t="shared" ca="1" si="15"/>
        <v>34</v>
      </c>
      <c r="O42" s="33" t="str">
        <f>VLOOKUP(M42,Mapping!L:M,2,0)</f>
        <v>W17_2024</v>
      </c>
      <c r="P42" s="33" t="str">
        <f t="shared" ca="1" si="16"/>
        <v>30-60 days</v>
      </c>
    </row>
    <row r="43" spans="1:16" ht="15" x14ac:dyDescent="0.25">
      <c r="A43" s="33" t="s">
        <v>58</v>
      </c>
      <c r="B43" t="s">
        <v>3001</v>
      </c>
      <c r="C43" s="33" t="s">
        <v>264</v>
      </c>
      <c r="D43" s="33" t="s">
        <v>79</v>
      </c>
      <c r="F43" s="33" t="s">
        <v>35</v>
      </c>
      <c r="G43" s="355">
        <v>2805.8580000000002</v>
      </c>
      <c r="H43" s="255">
        <f>IF(F43="TND",1,IF(F43="EUR",Vertical_Cash_flow!$C$16,IF(F43="USD",Vertical_Cash_flow!$F$16,0)))</f>
        <v>1</v>
      </c>
      <c r="I43" s="255">
        <f t="shared" si="13"/>
        <v>2805.8580000000002</v>
      </c>
      <c r="J43" s="33" t="s">
        <v>251</v>
      </c>
      <c r="K43" s="39">
        <v>45432</v>
      </c>
      <c r="L43" s="255">
        <f t="shared" si="14"/>
        <v>0</v>
      </c>
      <c r="M43" s="625">
        <v>45432</v>
      </c>
      <c r="N43" s="411">
        <f t="shared" ca="1" si="15"/>
        <v>9</v>
      </c>
      <c r="O43" s="33" t="str">
        <f>VLOOKUP(M43,Mapping!L:M,2,0)</f>
        <v>W21_2024</v>
      </c>
      <c r="P43" s="33" t="str">
        <f t="shared" ca="1" si="16"/>
        <v>up 30 days</v>
      </c>
    </row>
    <row r="44" spans="1:16" ht="15" x14ac:dyDescent="0.25">
      <c r="A44" s="33" t="s">
        <v>58</v>
      </c>
      <c r="B44" t="s">
        <v>3764</v>
      </c>
      <c r="C44" s="33" t="s">
        <v>264</v>
      </c>
      <c r="D44" s="33" t="s">
        <v>79</v>
      </c>
      <c r="F44" s="33" t="s">
        <v>35</v>
      </c>
      <c r="G44" s="355">
        <v>1274.328</v>
      </c>
      <c r="H44" s="255">
        <f>IF(F44="TND",1,IF(F44="EUR",Vertical_Cash_flow!$C$16,IF(F44="USD",Vertical_Cash_flow!$F$16,0)))</f>
        <v>1</v>
      </c>
      <c r="I44" s="255">
        <f t="shared" si="13"/>
        <v>1274.328</v>
      </c>
      <c r="J44" s="33" t="s">
        <v>251</v>
      </c>
      <c r="K44" s="39">
        <v>45432</v>
      </c>
      <c r="L44" s="255">
        <f t="shared" si="14"/>
        <v>0</v>
      </c>
      <c r="M44" s="625">
        <v>45432</v>
      </c>
      <c r="N44" s="411">
        <f t="shared" ca="1" si="15"/>
        <v>9</v>
      </c>
      <c r="O44" s="33" t="str">
        <f>VLOOKUP(M44,Mapping!L:M,2,0)</f>
        <v>W21_2024</v>
      </c>
      <c r="P44" s="33" t="str">
        <f t="shared" ca="1" si="16"/>
        <v>up 30 days</v>
      </c>
    </row>
    <row r="45" spans="1:16" ht="15" x14ac:dyDescent="0.25">
      <c r="A45" s="33" t="s">
        <v>58</v>
      </c>
      <c r="B45" t="s">
        <v>665</v>
      </c>
      <c r="C45" s="33" t="s">
        <v>264</v>
      </c>
      <c r="D45" s="33" t="s">
        <v>79</v>
      </c>
      <c r="F45" s="33" t="s">
        <v>35</v>
      </c>
      <c r="G45" s="355">
        <v>2216.317</v>
      </c>
      <c r="H45" s="255">
        <f>IF(F45="TND",1,IF(F45="EUR",Vertical_Cash_flow!$C$16,IF(F45="USD",Vertical_Cash_flow!$F$16,0)))</f>
        <v>1</v>
      </c>
      <c r="I45" s="255">
        <f t="shared" si="13"/>
        <v>2216.317</v>
      </c>
      <c r="J45" s="33" t="s">
        <v>251</v>
      </c>
      <c r="K45" s="39">
        <v>45358</v>
      </c>
      <c r="L45" s="255">
        <f t="shared" si="14"/>
        <v>59</v>
      </c>
      <c r="M45" s="625">
        <v>45417</v>
      </c>
      <c r="N45" s="411">
        <f t="shared" ca="1" si="15"/>
        <v>24</v>
      </c>
      <c r="O45" s="33" t="str">
        <f>VLOOKUP(M45,Mapping!L:M,2,0)</f>
        <v>W19_2024</v>
      </c>
      <c r="P45" s="33" t="str">
        <f t="shared" ca="1" si="16"/>
        <v>up 30 days</v>
      </c>
    </row>
    <row r="46" spans="1:16" ht="15" x14ac:dyDescent="0.25">
      <c r="A46" s="33" t="s">
        <v>58</v>
      </c>
      <c r="B46" t="s">
        <v>665</v>
      </c>
      <c r="C46" s="33" t="s">
        <v>264</v>
      </c>
      <c r="D46" s="33" t="s">
        <v>79</v>
      </c>
      <c r="F46" s="33" t="s">
        <v>35</v>
      </c>
      <c r="G46" s="355">
        <v>239.476</v>
      </c>
      <c r="H46" s="255">
        <f>IF(F46="TND",1,IF(F46="EUR",Vertical_Cash_flow!$C$16,IF(F46="USD",Vertical_Cash_flow!$F$16,0)))</f>
        <v>1</v>
      </c>
      <c r="I46" s="255">
        <f t="shared" si="13"/>
        <v>239.476</v>
      </c>
      <c r="J46" s="33" t="s">
        <v>251</v>
      </c>
      <c r="K46" s="39">
        <v>45379</v>
      </c>
      <c r="L46" s="255">
        <f t="shared" si="14"/>
        <v>38</v>
      </c>
      <c r="M46" s="625">
        <v>45417</v>
      </c>
      <c r="N46" s="411">
        <f t="shared" ca="1" si="15"/>
        <v>24</v>
      </c>
      <c r="O46" s="33" t="str">
        <f>VLOOKUP(M46,Mapping!L:M,2,0)</f>
        <v>W19_2024</v>
      </c>
      <c r="P46" s="33" t="str">
        <f t="shared" ca="1" si="16"/>
        <v>up 30 days</v>
      </c>
    </row>
    <row r="47" spans="1:16" ht="15" x14ac:dyDescent="0.25">
      <c r="A47" s="33" t="s">
        <v>58</v>
      </c>
      <c r="B47" s="623" t="s">
        <v>743</v>
      </c>
      <c r="C47" s="33" t="s">
        <v>264</v>
      </c>
      <c r="D47" s="33" t="s">
        <v>79</v>
      </c>
      <c r="F47" s="33" t="s">
        <v>35</v>
      </c>
      <c r="G47" s="624">
        <v>2408.2510000000002</v>
      </c>
      <c r="H47" s="255">
        <f>IF(F47="TND",1,IF(F47="EUR",Vertical_Cash_flow!$C$16,IF(F47="USD",Vertical_Cash_flow!$F$16,0)))</f>
        <v>1</v>
      </c>
      <c r="I47" s="255">
        <f t="shared" si="13"/>
        <v>2408.2510000000002</v>
      </c>
      <c r="J47" s="33" t="s">
        <v>251</v>
      </c>
      <c r="K47" s="625">
        <v>45345</v>
      </c>
      <c r="L47" s="255">
        <f t="shared" si="14"/>
        <v>87</v>
      </c>
      <c r="M47" s="625">
        <v>45432</v>
      </c>
      <c r="N47" s="411">
        <f t="shared" ca="1" si="15"/>
        <v>9</v>
      </c>
      <c r="O47" s="33" t="str">
        <f>VLOOKUP(M47,Mapping!L:M,2,0)</f>
        <v>W21_2024</v>
      </c>
      <c r="P47" s="33" t="str">
        <f t="shared" ca="1" si="16"/>
        <v>up 30 days</v>
      </c>
    </row>
    <row r="48" spans="1:16" ht="15" x14ac:dyDescent="0.25">
      <c r="A48" s="33" t="s">
        <v>58</v>
      </c>
      <c r="B48" t="s">
        <v>743</v>
      </c>
      <c r="C48" s="33" t="s">
        <v>264</v>
      </c>
      <c r="D48" s="33" t="s">
        <v>79</v>
      </c>
      <c r="F48" s="33" t="s">
        <v>35</v>
      </c>
      <c r="G48" s="355">
        <v>1049.201</v>
      </c>
      <c r="H48" s="255">
        <f>IF(F48="TND",1,IF(F48="EUR",Vertical_Cash_flow!$C$16,IF(F48="USD",Vertical_Cash_flow!$F$16,0)))</f>
        <v>1</v>
      </c>
      <c r="I48" s="255">
        <f t="shared" si="13"/>
        <v>1049.201</v>
      </c>
      <c r="J48" s="33" t="s">
        <v>251</v>
      </c>
      <c r="K48" s="39">
        <v>45397</v>
      </c>
      <c r="L48" s="255">
        <f t="shared" si="14"/>
        <v>35</v>
      </c>
      <c r="M48" s="625">
        <v>45432</v>
      </c>
      <c r="N48" s="411">
        <f t="shared" ca="1" si="15"/>
        <v>9</v>
      </c>
      <c r="O48" s="33" t="str">
        <f>VLOOKUP(M48,Mapping!L:M,2,0)</f>
        <v>W21_2024</v>
      </c>
      <c r="P48" s="33" t="str">
        <f t="shared" ca="1" si="16"/>
        <v>up 30 days</v>
      </c>
    </row>
    <row r="49" spans="1:16" ht="15" x14ac:dyDescent="0.25">
      <c r="A49" s="33" t="s">
        <v>58</v>
      </c>
      <c r="B49" t="s">
        <v>3752</v>
      </c>
      <c r="C49" s="33" t="s">
        <v>264</v>
      </c>
      <c r="D49" s="33" t="s">
        <v>79</v>
      </c>
      <c r="F49" s="33" t="s">
        <v>35</v>
      </c>
      <c r="G49" s="355">
        <v>4332</v>
      </c>
      <c r="H49" s="255">
        <f>IF(F49="TND",1,IF(F49="EUR",Vertical_Cash_flow!$C$16,IF(F49="USD",Vertical_Cash_flow!$F$16,0)))</f>
        <v>1</v>
      </c>
      <c r="I49" s="255">
        <f t="shared" si="13"/>
        <v>4332</v>
      </c>
      <c r="J49" s="33" t="s">
        <v>251</v>
      </c>
      <c r="K49" s="39">
        <v>45412</v>
      </c>
      <c r="L49" s="255">
        <f t="shared" si="14"/>
        <v>0</v>
      </c>
      <c r="M49" s="625">
        <v>45412</v>
      </c>
      <c r="N49" s="411">
        <f t="shared" ca="1" si="15"/>
        <v>29</v>
      </c>
      <c r="O49" s="33" t="str">
        <f>VLOOKUP(M49,Mapping!L:M,2,0)</f>
        <v>W18_2024</v>
      </c>
      <c r="P49" s="33" t="str">
        <f t="shared" ca="1" si="16"/>
        <v>up 30 days</v>
      </c>
    </row>
    <row r="50" spans="1:16" ht="15" x14ac:dyDescent="0.25">
      <c r="A50" s="33" t="s">
        <v>58</v>
      </c>
      <c r="B50" t="s">
        <v>3752</v>
      </c>
      <c r="C50" s="33" t="s">
        <v>264</v>
      </c>
      <c r="D50" s="33" t="s">
        <v>79</v>
      </c>
      <c r="F50" s="33" t="s">
        <v>35</v>
      </c>
      <c r="G50" s="355">
        <v>4332</v>
      </c>
      <c r="H50" s="255">
        <f>IF(F50="TND",1,IF(F50="EUR",Vertical_Cash_flow!$C$16,IF(F50="USD",Vertical_Cash_flow!$F$16,0)))</f>
        <v>1</v>
      </c>
      <c r="I50" s="255">
        <f t="shared" si="13"/>
        <v>4332</v>
      </c>
      <c r="J50" s="33" t="s">
        <v>251</v>
      </c>
      <c r="K50" s="39">
        <v>45427</v>
      </c>
      <c r="L50" s="255">
        <f t="shared" si="14"/>
        <v>0</v>
      </c>
      <c r="M50" s="625">
        <v>45427</v>
      </c>
      <c r="N50" s="411">
        <f t="shared" ca="1" si="15"/>
        <v>14</v>
      </c>
      <c r="O50" s="33" t="str">
        <f>VLOOKUP(M50,Mapping!L:M,2,0)</f>
        <v>W20_2024</v>
      </c>
      <c r="P50" s="33" t="str">
        <f t="shared" ca="1" si="16"/>
        <v>up 30 days</v>
      </c>
    </row>
    <row r="51" spans="1:16" ht="15" x14ac:dyDescent="0.25">
      <c r="A51" s="33" t="s">
        <v>58</v>
      </c>
      <c r="B51" t="s">
        <v>3753</v>
      </c>
      <c r="C51" s="33" t="s">
        <v>264</v>
      </c>
      <c r="D51" s="33" t="s">
        <v>79</v>
      </c>
      <c r="F51" s="33" t="s">
        <v>35</v>
      </c>
      <c r="G51" s="355">
        <v>12376.848</v>
      </c>
      <c r="H51" s="255">
        <f>IF(F51="TND",1,IF(F51="EUR",Vertical_Cash_flow!$C$16,IF(F51="USD",Vertical_Cash_flow!$F$16,0)))</f>
        <v>1</v>
      </c>
      <c r="I51" s="255">
        <f t="shared" si="13"/>
        <v>12376.848</v>
      </c>
      <c r="J51" s="33" t="s">
        <v>251</v>
      </c>
      <c r="K51" s="39">
        <v>45418</v>
      </c>
      <c r="L51" s="255">
        <f t="shared" si="14"/>
        <v>0</v>
      </c>
      <c r="M51" s="625">
        <v>45418</v>
      </c>
      <c r="N51" s="411">
        <f t="shared" ca="1" si="15"/>
        <v>23</v>
      </c>
      <c r="O51" s="33" t="str">
        <f>VLOOKUP(M51,Mapping!L:M,2,0)</f>
        <v>W19_2024</v>
      </c>
      <c r="P51" s="33" t="str">
        <f t="shared" ca="1" si="16"/>
        <v>up 30 days</v>
      </c>
    </row>
    <row r="52" spans="1:16" ht="15" x14ac:dyDescent="0.25">
      <c r="A52" s="33" t="s">
        <v>58</v>
      </c>
      <c r="B52" t="s">
        <v>767</v>
      </c>
      <c r="C52" s="33" t="s">
        <v>264</v>
      </c>
      <c r="D52" s="33" t="s">
        <v>79</v>
      </c>
      <c r="F52" s="33" t="s">
        <v>35</v>
      </c>
      <c r="G52" s="355">
        <v>155.59200000000001</v>
      </c>
      <c r="H52" s="255">
        <f>IF(F52="TND",1,IF(F52="EUR",Vertical_Cash_flow!$C$16,IF(F52="USD",Vertical_Cash_flow!$F$16,0)))</f>
        <v>1</v>
      </c>
      <c r="I52" s="255">
        <f t="shared" si="13"/>
        <v>155.59200000000001</v>
      </c>
      <c r="J52" s="33" t="s">
        <v>251</v>
      </c>
      <c r="K52" s="39">
        <v>45420</v>
      </c>
      <c r="L52" s="255">
        <f t="shared" si="14"/>
        <v>0</v>
      </c>
      <c r="M52" s="625">
        <v>45420</v>
      </c>
      <c r="N52" s="411">
        <f t="shared" ca="1" si="15"/>
        <v>21</v>
      </c>
      <c r="O52" s="33" t="str">
        <f>VLOOKUP(M52,Mapping!L:M,2,0)</f>
        <v>W19_2024</v>
      </c>
      <c r="P52" s="33" t="str">
        <f t="shared" ca="1" si="16"/>
        <v>up 30 days</v>
      </c>
    </row>
    <row r="53" spans="1:16" ht="15" x14ac:dyDescent="0.25">
      <c r="A53" s="33" t="s">
        <v>58</v>
      </c>
      <c r="B53" t="s">
        <v>767</v>
      </c>
      <c r="C53" s="33" t="s">
        <v>264</v>
      </c>
      <c r="D53" s="33" t="s">
        <v>79</v>
      </c>
      <c r="F53" s="33" t="s">
        <v>35</v>
      </c>
      <c r="G53" s="355">
        <v>428.89499999999998</v>
      </c>
      <c r="H53" s="255">
        <f>IF(F53="TND",1,IF(F53="EUR",Vertical_Cash_flow!$C$16,IF(F53="USD",Vertical_Cash_flow!$F$16,0)))</f>
        <v>1</v>
      </c>
      <c r="I53" s="255">
        <f t="shared" si="13"/>
        <v>428.89499999999998</v>
      </c>
      <c r="J53" s="33" t="s">
        <v>251</v>
      </c>
      <c r="K53" s="39">
        <v>45420</v>
      </c>
      <c r="L53" s="255">
        <f t="shared" si="14"/>
        <v>0</v>
      </c>
      <c r="M53" s="625">
        <v>45420</v>
      </c>
      <c r="N53" s="411">
        <f t="shared" ca="1" si="15"/>
        <v>21</v>
      </c>
      <c r="O53" s="33" t="str">
        <f>VLOOKUP(M53,Mapping!L:M,2,0)</f>
        <v>W19_2024</v>
      </c>
      <c r="P53" s="33" t="str">
        <f t="shared" ca="1" si="16"/>
        <v>up 30 days</v>
      </c>
    </row>
    <row r="54" spans="1:16" ht="15" x14ac:dyDescent="0.25">
      <c r="A54" s="33" t="s">
        <v>58</v>
      </c>
      <c r="B54" t="s">
        <v>767</v>
      </c>
      <c r="C54" s="33" t="s">
        <v>264</v>
      </c>
      <c r="D54" s="33" t="s">
        <v>79</v>
      </c>
      <c r="F54" s="33" t="s">
        <v>35</v>
      </c>
      <c r="G54" s="355">
        <v>79.823999999999998</v>
      </c>
      <c r="H54" s="255">
        <f>IF(F54="TND",1,IF(F54="EUR",Vertical_Cash_flow!$C$16,IF(F54="USD",Vertical_Cash_flow!$F$16,0)))</f>
        <v>1</v>
      </c>
      <c r="I54" s="255">
        <f t="shared" si="13"/>
        <v>79.823999999999998</v>
      </c>
      <c r="J54" s="33" t="s">
        <v>251</v>
      </c>
      <c r="K54" s="39">
        <v>45420</v>
      </c>
      <c r="L54" s="255">
        <f t="shared" si="14"/>
        <v>0</v>
      </c>
      <c r="M54" s="625">
        <v>45420</v>
      </c>
      <c r="N54" s="411">
        <f t="shared" ca="1" si="15"/>
        <v>21</v>
      </c>
      <c r="O54" s="33" t="str">
        <f>VLOOKUP(M54,Mapping!L:M,2,0)</f>
        <v>W19_2024</v>
      </c>
      <c r="P54" s="33" t="str">
        <f t="shared" ca="1" si="16"/>
        <v>up 30 days</v>
      </c>
    </row>
    <row r="55" spans="1:16" ht="15" x14ac:dyDescent="0.25">
      <c r="A55" s="33" t="s">
        <v>58</v>
      </c>
      <c r="B55" t="s">
        <v>767</v>
      </c>
      <c r="C55" s="33" t="s">
        <v>264</v>
      </c>
      <c r="D55" s="33" t="s">
        <v>79</v>
      </c>
      <c r="F55" s="33" t="s">
        <v>35</v>
      </c>
      <c r="G55" s="355">
        <v>54.942</v>
      </c>
      <c r="H55" s="255">
        <f>IF(F55="TND",1,IF(F55="EUR",Vertical_Cash_flow!$C$16,IF(F55="USD",Vertical_Cash_flow!$F$16,0)))</f>
        <v>1</v>
      </c>
      <c r="I55" s="255">
        <f t="shared" si="13"/>
        <v>54.942</v>
      </c>
      <c r="J55" s="33" t="s">
        <v>251</v>
      </c>
      <c r="K55" s="39">
        <v>45420</v>
      </c>
      <c r="L55" s="255">
        <f t="shared" si="14"/>
        <v>0</v>
      </c>
      <c r="M55" s="625">
        <v>45420</v>
      </c>
      <c r="N55" s="411">
        <f t="shared" ca="1" si="15"/>
        <v>21</v>
      </c>
      <c r="O55" s="33" t="str">
        <f>VLOOKUP(M55,Mapping!L:M,2,0)</f>
        <v>W19_2024</v>
      </c>
      <c r="P55" s="33" t="str">
        <f t="shared" ca="1" si="16"/>
        <v>up 30 days</v>
      </c>
    </row>
    <row r="56" spans="1:16" ht="15" x14ac:dyDescent="0.25">
      <c r="A56" s="33" t="s">
        <v>58</v>
      </c>
      <c r="B56" t="s">
        <v>767</v>
      </c>
      <c r="C56" s="33" t="s">
        <v>264</v>
      </c>
      <c r="D56" s="33" t="s">
        <v>79</v>
      </c>
      <c r="F56" s="33" t="s">
        <v>35</v>
      </c>
      <c r="G56" s="355">
        <v>887.33699999999999</v>
      </c>
      <c r="H56" s="255">
        <f>IF(F56="TND",1,IF(F56="EUR",Vertical_Cash_flow!$C$16,IF(F56="USD",Vertical_Cash_flow!$F$16,0)))</f>
        <v>1</v>
      </c>
      <c r="I56" s="255">
        <f t="shared" si="13"/>
        <v>887.33699999999999</v>
      </c>
      <c r="J56" s="33" t="s">
        <v>251</v>
      </c>
      <c r="K56" s="39">
        <v>45420</v>
      </c>
      <c r="L56" s="255">
        <f t="shared" si="14"/>
        <v>0</v>
      </c>
      <c r="M56" s="625">
        <v>45420</v>
      </c>
      <c r="N56" s="411">
        <f t="shared" ca="1" si="15"/>
        <v>21</v>
      </c>
      <c r="O56" s="33" t="str">
        <f>VLOOKUP(M56,Mapping!L:M,2,0)</f>
        <v>W19_2024</v>
      </c>
      <c r="P56" s="33" t="str">
        <f t="shared" ca="1" si="16"/>
        <v>up 30 days</v>
      </c>
    </row>
    <row r="57" spans="1:16" ht="15" x14ac:dyDescent="0.25">
      <c r="A57" s="33" t="s">
        <v>58</v>
      </c>
      <c r="B57" t="s">
        <v>767</v>
      </c>
      <c r="C57" s="33" t="s">
        <v>264</v>
      </c>
      <c r="D57" s="33" t="s">
        <v>79</v>
      </c>
      <c r="F57" s="33" t="s">
        <v>35</v>
      </c>
      <c r="G57" s="355">
        <v>890</v>
      </c>
      <c r="H57" s="255">
        <f>IF(F57="TND",1,IF(F57="EUR",Vertical_Cash_flow!$C$16,IF(F57="USD",Vertical_Cash_flow!$F$16,0)))</f>
        <v>1</v>
      </c>
      <c r="I57" s="255">
        <f t="shared" si="13"/>
        <v>890</v>
      </c>
      <c r="J57" s="33" t="s">
        <v>251</v>
      </c>
      <c r="K57" s="39">
        <v>45420</v>
      </c>
      <c r="L57" s="255">
        <f t="shared" si="14"/>
        <v>0</v>
      </c>
      <c r="M57" s="625">
        <v>45420</v>
      </c>
      <c r="N57" s="411">
        <f t="shared" ca="1" si="15"/>
        <v>21</v>
      </c>
      <c r="O57" s="33" t="str">
        <f>VLOOKUP(M57,Mapping!L:M,2,0)</f>
        <v>W19_2024</v>
      </c>
      <c r="P57" s="33" t="str">
        <f t="shared" ca="1" si="16"/>
        <v>up 30 days</v>
      </c>
    </row>
    <row r="58" spans="1:16" ht="15" x14ac:dyDescent="0.25">
      <c r="A58" s="33" t="s">
        <v>58</v>
      </c>
      <c r="B58" t="s">
        <v>3757</v>
      </c>
      <c r="C58" s="33" t="s">
        <v>264</v>
      </c>
      <c r="D58" s="33" t="s">
        <v>79</v>
      </c>
      <c r="F58" s="33" t="s">
        <v>35</v>
      </c>
      <c r="G58" s="355">
        <v>2434.9749999999999</v>
      </c>
      <c r="H58" s="255">
        <f>IF(F58="TND",1,IF(F58="EUR",Vertical_Cash_flow!$C$16,IF(F58="USD",Vertical_Cash_flow!$F$16,0)))</f>
        <v>1</v>
      </c>
      <c r="I58" s="255">
        <f t="shared" si="13"/>
        <v>2434.9749999999999</v>
      </c>
      <c r="J58" s="33" t="s">
        <v>251</v>
      </c>
      <c r="K58" s="39">
        <v>45419</v>
      </c>
      <c r="L58" s="255">
        <f t="shared" si="14"/>
        <v>0</v>
      </c>
      <c r="M58" s="625">
        <v>45419</v>
      </c>
      <c r="N58" s="411">
        <f t="shared" ca="1" si="15"/>
        <v>22</v>
      </c>
      <c r="O58" s="33" t="str">
        <f>VLOOKUP(M58,Mapping!L:M,2,0)</f>
        <v>W19_2024</v>
      </c>
      <c r="P58" s="33" t="str">
        <f t="shared" ca="1" si="16"/>
        <v>up 30 days</v>
      </c>
    </row>
    <row r="59" spans="1:16" ht="15" x14ac:dyDescent="0.25">
      <c r="A59" s="33" t="s">
        <v>58</v>
      </c>
      <c r="B59" t="s">
        <v>3757</v>
      </c>
      <c r="C59" s="33" t="s">
        <v>264</v>
      </c>
      <c r="D59" s="33" t="s">
        <v>79</v>
      </c>
      <c r="F59" s="33" t="s">
        <v>35</v>
      </c>
      <c r="G59" s="355">
        <v>1281.328</v>
      </c>
      <c r="H59" s="255">
        <f>IF(F59="TND",1,IF(F59="EUR",Vertical_Cash_flow!$C$16,IF(F59="USD",Vertical_Cash_flow!$F$16,0)))</f>
        <v>1</v>
      </c>
      <c r="I59" s="255">
        <f t="shared" si="13"/>
        <v>1281.328</v>
      </c>
      <c r="J59" s="33" t="s">
        <v>251</v>
      </c>
      <c r="K59" s="39">
        <v>45432</v>
      </c>
      <c r="L59" s="255">
        <f t="shared" si="14"/>
        <v>0</v>
      </c>
      <c r="M59" s="625">
        <v>45432</v>
      </c>
      <c r="N59" s="411">
        <f t="shared" ca="1" si="15"/>
        <v>9</v>
      </c>
      <c r="O59" s="33" t="str">
        <f>VLOOKUP(M59,Mapping!L:M,2,0)</f>
        <v>W21_2024</v>
      </c>
      <c r="P59" s="33" t="str">
        <f t="shared" ca="1" si="16"/>
        <v>up 30 days</v>
      </c>
    </row>
    <row r="60" spans="1:16" ht="15" x14ac:dyDescent="0.25">
      <c r="A60" s="33" t="s">
        <v>58</v>
      </c>
      <c r="B60" t="s">
        <v>3758</v>
      </c>
      <c r="C60" s="33" t="s">
        <v>264</v>
      </c>
      <c r="D60" s="33" t="s">
        <v>79</v>
      </c>
      <c r="F60" s="33" t="s">
        <v>35</v>
      </c>
      <c r="G60" s="355">
        <v>778</v>
      </c>
      <c r="H60" s="255">
        <f>IF(F60="TND",1,IF(F60="EUR",Vertical_Cash_flow!$C$16,IF(F60="USD",Vertical_Cash_flow!$F$16,0)))</f>
        <v>1</v>
      </c>
      <c r="I60" s="255">
        <f t="shared" si="13"/>
        <v>778</v>
      </c>
      <c r="J60" s="33" t="s">
        <v>251</v>
      </c>
      <c r="K60" s="39">
        <v>45427</v>
      </c>
      <c r="L60" s="255">
        <f t="shared" si="14"/>
        <v>0</v>
      </c>
      <c r="M60" s="625">
        <v>45427</v>
      </c>
      <c r="N60" s="411">
        <f t="shared" ca="1" si="15"/>
        <v>14</v>
      </c>
      <c r="O60" s="33" t="str">
        <f>VLOOKUP(M60,Mapping!L:M,2,0)</f>
        <v>W20_2024</v>
      </c>
      <c r="P60" s="33" t="str">
        <f t="shared" ca="1" si="16"/>
        <v>up 30 days</v>
      </c>
    </row>
    <row r="61" spans="1:16" ht="15" x14ac:dyDescent="0.25">
      <c r="A61" s="33" t="s">
        <v>58</v>
      </c>
      <c r="B61" t="s">
        <v>973</v>
      </c>
      <c r="C61" s="33" t="s">
        <v>264</v>
      </c>
      <c r="D61" s="33" t="s">
        <v>79</v>
      </c>
      <c r="F61" s="33" t="s">
        <v>35</v>
      </c>
      <c r="G61" s="355">
        <v>1169.9359999999999</v>
      </c>
      <c r="H61" s="255">
        <f>IF(F61="TND",1,IF(F61="EUR",Vertical_Cash_flow!$C$16,IF(F61="USD",Vertical_Cash_flow!$F$16,0)))</f>
        <v>1</v>
      </c>
      <c r="I61" s="255">
        <f t="shared" si="13"/>
        <v>1169.9359999999999</v>
      </c>
      <c r="J61" s="33" t="s">
        <v>251</v>
      </c>
      <c r="K61" s="39">
        <v>45427</v>
      </c>
      <c r="L61" s="255">
        <f t="shared" si="14"/>
        <v>0</v>
      </c>
      <c r="M61" s="625">
        <v>45427</v>
      </c>
      <c r="N61" s="411">
        <f t="shared" ca="1" si="15"/>
        <v>14</v>
      </c>
      <c r="O61" s="33" t="str">
        <f>VLOOKUP(M61,Mapping!L:M,2,0)</f>
        <v>W20_2024</v>
      </c>
      <c r="P61" s="33" t="str">
        <f t="shared" ca="1" si="16"/>
        <v>up 30 days</v>
      </c>
    </row>
    <row r="62" spans="1:16" ht="15" customHeight="1" x14ac:dyDescent="0.25">
      <c r="A62" s="33" t="s">
        <v>58</v>
      </c>
      <c r="B62" t="s">
        <v>3767</v>
      </c>
      <c r="C62" s="33" t="s">
        <v>264</v>
      </c>
      <c r="D62" s="33" t="s">
        <v>79</v>
      </c>
      <c r="F62" s="33" t="s">
        <v>35</v>
      </c>
      <c r="G62" s="355">
        <v>7730.1509999999998</v>
      </c>
      <c r="H62" s="255">
        <f>IF(F62="TND",1,IF(F62="EUR",Vertical_Cash_flow!$C$16,IF(F62="USD",Vertical_Cash_flow!$F$16,0)))</f>
        <v>1</v>
      </c>
      <c r="I62" s="255">
        <f t="shared" si="13"/>
        <v>7730.1509999999998</v>
      </c>
      <c r="J62" s="33" t="s">
        <v>251</v>
      </c>
      <c r="K62" s="39">
        <v>45415</v>
      </c>
      <c r="L62" s="255">
        <f t="shared" si="14"/>
        <v>17</v>
      </c>
      <c r="M62" s="625">
        <v>45432</v>
      </c>
      <c r="N62" s="411">
        <f t="shared" ca="1" si="15"/>
        <v>9</v>
      </c>
      <c r="O62" s="33" t="str">
        <f>VLOOKUP(M62,Mapping!L:M,2,0)</f>
        <v>W21_2024</v>
      </c>
      <c r="P62" s="33" t="str">
        <f t="shared" ca="1" si="16"/>
        <v>up 30 days</v>
      </c>
    </row>
    <row r="63" spans="1:16" ht="15" x14ac:dyDescent="0.25">
      <c r="A63" s="33" t="s">
        <v>58</v>
      </c>
      <c r="B63" t="s">
        <v>3760</v>
      </c>
      <c r="C63" s="33" t="s">
        <v>264</v>
      </c>
      <c r="D63" s="33" t="s">
        <v>79</v>
      </c>
      <c r="F63" s="33" t="s">
        <v>35</v>
      </c>
      <c r="G63" s="355">
        <v>477.16</v>
      </c>
      <c r="H63" s="255">
        <f>IF(F63="TND",1,IF(F63="EUR",Vertical_Cash_flow!$C$16,IF(F63="USD",Vertical_Cash_flow!$F$16,0)))</f>
        <v>1</v>
      </c>
      <c r="I63" s="255">
        <f t="shared" si="13"/>
        <v>477.16</v>
      </c>
      <c r="J63" s="33" t="s">
        <v>251</v>
      </c>
      <c r="K63" s="39">
        <v>45432</v>
      </c>
      <c r="L63" s="255">
        <f t="shared" si="14"/>
        <v>0</v>
      </c>
      <c r="M63" s="625">
        <v>45432</v>
      </c>
      <c r="N63" s="411">
        <f t="shared" ca="1" si="15"/>
        <v>9</v>
      </c>
      <c r="O63" s="33" t="str">
        <f>VLOOKUP(M63,Mapping!L:M,2,0)</f>
        <v>W21_2024</v>
      </c>
      <c r="P63" s="33" t="str">
        <f t="shared" ca="1" si="16"/>
        <v>up 30 days</v>
      </c>
    </row>
    <row r="64" spans="1:16" ht="15" x14ac:dyDescent="0.25">
      <c r="A64" s="33" t="s">
        <v>58</v>
      </c>
      <c r="B64" t="s">
        <v>2997</v>
      </c>
      <c r="C64" s="33" t="s">
        <v>264</v>
      </c>
      <c r="D64" s="33" t="s">
        <v>79</v>
      </c>
      <c r="F64" s="33" t="s">
        <v>35</v>
      </c>
      <c r="G64" s="355">
        <v>4000</v>
      </c>
      <c r="H64" s="255">
        <f>IF(F64="TND",1,IF(F64="EUR",Vertical_Cash_flow!$C$16,IF(F64="USD",Vertical_Cash_flow!$F$16,0)))</f>
        <v>1</v>
      </c>
      <c r="I64" s="255">
        <f t="shared" si="13"/>
        <v>4000</v>
      </c>
      <c r="J64" s="33" t="s">
        <v>251</v>
      </c>
      <c r="K64" s="39">
        <v>45406</v>
      </c>
      <c r="L64" s="255">
        <f t="shared" si="14"/>
        <v>0</v>
      </c>
      <c r="M64" s="625">
        <v>45406</v>
      </c>
      <c r="N64" s="411">
        <f t="shared" ca="1" si="15"/>
        <v>35</v>
      </c>
      <c r="O64" s="33" t="str">
        <f>VLOOKUP(M64,Mapping!L:M,2,0)</f>
        <v>W17_2024</v>
      </c>
      <c r="P64" s="33" t="str">
        <f t="shared" ca="1" si="16"/>
        <v>30-60 days</v>
      </c>
    </row>
    <row r="65" spans="1:16" ht="15" x14ac:dyDescent="0.25">
      <c r="A65" s="33" t="s">
        <v>58</v>
      </c>
      <c r="B65" t="s">
        <v>2997</v>
      </c>
      <c r="C65" s="33" t="s">
        <v>264</v>
      </c>
      <c r="D65" s="33" t="s">
        <v>79</v>
      </c>
      <c r="F65" s="33" t="s">
        <v>35</v>
      </c>
      <c r="G65" s="355">
        <v>2000</v>
      </c>
      <c r="H65" s="255">
        <f>IF(F65="TND",1,IF(F65="EUR",Vertical_Cash_flow!$C$16,IF(F65="USD",Vertical_Cash_flow!$F$16,0)))</f>
        <v>1</v>
      </c>
      <c r="I65" s="255">
        <f t="shared" si="13"/>
        <v>2000</v>
      </c>
      <c r="J65" s="33" t="s">
        <v>251</v>
      </c>
      <c r="K65" s="39">
        <v>45411</v>
      </c>
      <c r="L65" s="255">
        <f t="shared" si="14"/>
        <v>0</v>
      </c>
      <c r="M65" s="625">
        <v>45411</v>
      </c>
      <c r="N65" s="411">
        <f t="shared" ca="1" si="15"/>
        <v>30</v>
      </c>
      <c r="O65" s="33" t="str">
        <f>VLOOKUP(M65,Mapping!L:M,2,0)</f>
        <v>W18_2024</v>
      </c>
      <c r="P65" s="33" t="str">
        <f t="shared" ca="1" si="16"/>
        <v>up 30 days</v>
      </c>
    </row>
    <row r="66" spans="1:16" ht="15" x14ac:dyDescent="0.25">
      <c r="A66" s="33" t="s">
        <v>58</v>
      </c>
      <c r="B66" t="s">
        <v>2997</v>
      </c>
      <c r="C66" s="33" t="s">
        <v>264</v>
      </c>
      <c r="D66" s="33" t="s">
        <v>79</v>
      </c>
      <c r="F66" s="33" t="s">
        <v>35</v>
      </c>
      <c r="G66" s="355">
        <v>4000</v>
      </c>
      <c r="H66" s="255">
        <f>IF(F66="TND",1,IF(F66="EUR",Vertical_Cash_flow!$C$16,IF(F66="USD",Vertical_Cash_flow!$F$16,0)))</f>
        <v>1</v>
      </c>
      <c r="I66" s="255">
        <f t="shared" si="13"/>
        <v>4000</v>
      </c>
      <c r="J66" s="33" t="s">
        <v>251</v>
      </c>
      <c r="K66" s="39">
        <v>45420</v>
      </c>
      <c r="L66" s="255">
        <f t="shared" si="14"/>
        <v>0</v>
      </c>
      <c r="M66" s="625">
        <v>45420</v>
      </c>
      <c r="N66" s="411">
        <f t="shared" ca="1" si="15"/>
        <v>21</v>
      </c>
      <c r="O66" s="33" t="str">
        <f>VLOOKUP(M66,Mapping!L:M,2,0)</f>
        <v>W19_2024</v>
      </c>
      <c r="P66" s="33" t="str">
        <f t="shared" ca="1" si="16"/>
        <v>up 30 days</v>
      </c>
    </row>
    <row r="67" spans="1:16" ht="15" x14ac:dyDescent="0.25">
      <c r="A67" s="33" t="s">
        <v>58</v>
      </c>
      <c r="B67" t="s">
        <v>2997</v>
      </c>
      <c r="C67" s="33" t="s">
        <v>264</v>
      </c>
      <c r="D67" s="33" t="s">
        <v>79</v>
      </c>
      <c r="F67" s="33" t="s">
        <v>35</v>
      </c>
      <c r="G67" s="355">
        <v>431.78</v>
      </c>
      <c r="H67" s="255">
        <f>IF(F67="TND",1,IF(F67="EUR",Vertical_Cash_flow!$C$16,IF(F67="USD",Vertical_Cash_flow!$F$16,0)))</f>
        <v>1</v>
      </c>
      <c r="I67" s="255">
        <f t="shared" si="13"/>
        <v>431.78</v>
      </c>
      <c r="J67" s="33" t="s">
        <v>251</v>
      </c>
      <c r="K67" s="39">
        <v>45425</v>
      </c>
      <c r="L67" s="255">
        <f t="shared" si="14"/>
        <v>0</v>
      </c>
      <c r="M67" s="625">
        <v>45425</v>
      </c>
      <c r="N67" s="411">
        <f t="shared" ca="1" si="15"/>
        <v>16</v>
      </c>
      <c r="O67" s="33" t="str">
        <f>VLOOKUP(M67,Mapping!L:M,2,0)</f>
        <v>W20_2024</v>
      </c>
      <c r="P67" s="33" t="str">
        <f t="shared" ca="1" si="16"/>
        <v>up 30 days</v>
      </c>
    </row>
    <row r="68" spans="1:16" ht="15" x14ac:dyDescent="0.25">
      <c r="A68" s="33" t="s">
        <v>58</v>
      </c>
      <c r="B68" t="s">
        <v>2997</v>
      </c>
      <c r="C68" s="33" t="s">
        <v>264</v>
      </c>
      <c r="D68" s="33" t="s">
        <v>79</v>
      </c>
      <c r="F68" s="33" t="s">
        <v>35</v>
      </c>
      <c r="G68" s="355">
        <v>431.78</v>
      </c>
      <c r="H68" s="255">
        <f>IF(F68="TND",1,IF(F68="EUR",Vertical_Cash_flow!$C$16,IF(F68="USD",Vertical_Cash_flow!$F$16,0)))</f>
        <v>1</v>
      </c>
      <c r="I68" s="255">
        <f t="shared" si="13"/>
        <v>431.78</v>
      </c>
      <c r="J68" s="33" t="s">
        <v>251</v>
      </c>
      <c r="K68" s="39">
        <v>45425</v>
      </c>
      <c r="L68" s="255">
        <f t="shared" si="14"/>
        <v>0</v>
      </c>
      <c r="M68" s="625">
        <v>45425</v>
      </c>
      <c r="N68" s="411">
        <f t="shared" ca="1" si="15"/>
        <v>16</v>
      </c>
      <c r="O68" s="33" t="str">
        <f>VLOOKUP(M68,Mapping!L:M,2,0)</f>
        <v>W20_2024</v>
      </c>
      <c r="P68" s="33" t="str">
        <f t="shared" ca="1" si="16"/>
        <v>up 30 days</v>
      </c>
    </row>
    <row r="69" spans="1:16" ht="15" x14ac:dyDescent="0.25">
      <c r="A69" s="33" t="s">
        <v>58</v>
      </c>
      <c r="B69" t="s">
        <v>2997</v>
      </c>
      <c r="C69" s="33" t="s">
        <v>264</v>
      </c>
      <c r="D69" s="33" t="s">
        <v>79</v>
      </c>
      <c r="F69" s="33" t="s">
        <v>35</v>
      </c>
      <c r="G69" s="355">
        <v>2000</v>
      </c>
      <c r="H69" s="255">
        <f>IF(F69="TND",1,IF(F69="EUR",Vertical_Cash_flow!$C$16,IF(F69="USD",Vertical_Cash_flow!$F$16,0)))</f>
        <v>1</v>
      </c>
      <c r="I69" s="255">
        <f t="shared" si="13"/>
        <v>2000</v>
      </c>
      <c r="J69" s="33" t="s">
        <v>251</v>
      </c>
      <c r="K69" s="39">
        <v>45425</v>
      </c>
      <c r="L69" s="255">
        <f t="shared" si="14"/>
        <v>0</v>
      </c>
      <c r="M69" s="625">
        <v>45425</v>
      </c>
      <c r="N69" s="411">
        <f t="shared" ca="1" si="15"/>
        <v>16</v>
      </c>
      <c r="O69" s="33" t="str">
        <f>VLOOKUP(M69,Mapping!L:M,2,0)</f>
        <v>W20_2024</v>
      </c>
      <c r="P69" s="33" t="str">
        <f t="shared" ca="1" si="16"/>
        <v>up 30 days</v>
      </c>
    </row>
    <row r="70" spans="1:16" ht="15" x14ac:dyDescent="0.25">
      <c r="A70" s="33" t="s">
        <v>58</v>
      </c>
      <c r="B70" t="s">
        <v>2997</v>
      </c>
      <c r="C70" s="33" t="s">
        <v>264</v>
      </c>
      <c r="D70" s="33" t="s">
        <v>79</v>
      </c>
      <c r="F70" s="33" t="s">
        <v>35</v>
      </c>
      <c r="G70" s="355">
        <v>2000</v>
      </c>
      <c r="H70" s="255">
        <f>IF(F70="TND",1,IF(F70="EUR",Vertical_Cash_flow!$C$16,IF(F70="USD",Vertical_Cash_flow!$F$16,0)))</f>
        <v>1</v>
      </c>
      <c r="I70" s="255">
        <f t="shared" si="13"/>
        <v>2000</v>
      </c>
      <c r="J70" s="33" t="s">
        <v>251</v>
      </c>
      <c r="K70" s="39">
        <v>45425</v>
      </c>
      <c r="L70" s="255">
        <f t="shared" si="14"/>
        <v>0</v>
      </c>
      <c r="M70" s="625">
        <v>45425</v>
      </c>
      <c r="N70" s="411">
        <f t="shared" ca="1" si="15"/>
        <v>16</v>
      </c>
      <c r="O70" s="33" t="str">
        <f>VLOOKUP(M70,Mapping!L:M,2,0)</f>
        <v>W20_2024</v>
      </c>
      <c r="P70" s="33" t="str">
        <f t="shared" ca="1" si="16"/>
        <v>up 30 days</v>
      </c>
    </row>
    <row r="71" spans="1:16" ht="15" x14ac:dyDescent="0.25">
      <c r="A71" s="33" t="s">
        <v>58</v>
      </c>
      <c r="B71" t="s">
        <v>2997</v>
      </c>
      <c r="C71" s="33" t="s">
        <v>264</v>
      </c>
      <c r="D71" s="33" t="s">
        <v>79</v>
      </c>
      <c r="F71" s="33" t="s">
        <v>35</v>
      </c>
      <c r="G71" s="355">
        <v>431.78</v>
      </c>
      <c r="H71" s="255">
        <f>IF(F71="TND",1,IF(F71="EUR",Vertical_Cash_flow!$C$16,IF(F71="USD",Vertical_Cash_flow!$F$16,0)))</f>
        <v>1</v>
      </c>
      <c r="I71" s="255">
        <f t="shared" si="13"/>
        <v>431.78</v>
      </c>
      <c r="J71" s="33" t="s">
        <v>251</v>
      </c>
      <c r="K71" s="39">
        <v>45425</v>
      </c>
      <c r="L71" s="255">
        <f t="shared" si="14"/>
        <v>0</v>
      </c>
      <c r="M71" s="625">
        <v>45425</v>
      </c>
      <c r="N71" s="411">
        <f t="shared" ca="1" si="15"/>
        <v>16</v>
      </c>
      <c r="O71" s="33" t="str">
        <f>VLOOKUP(M71,Mapping!L:M,2,0)</f>
        <v>W20_2024</v>
      </c>
      <c r="P71" s="33" t="str">
        <f t="shared" ca="1" si="16"/>
        <v>up 30 days</v>
      </c>
    </row>
    <row r="72" spans="1:16" ht="15" x14ac:dyDescent="0.25">
      <c r="A72" s="33" t="s">
        <v>58</v>
      </c>
      <c r="B72" t="s">
        <v>2997</v>
      </c>
      <c r="C72" s="33" t="s">
        <v>264</v>
      </c>
      <c r="D72" s="33" t="s">
        <v>79</v>
      </c>
      <c r="F72" s="33" t="s">
        <v>35</v>
      </c>
      <c r="G72" s="355">
        <v>431.78</v>
      </c>
      <c r="H72" s="255">
        <f>IF(F72="TND",1,IF(F72="EUR",Vertical_Cash_flow!$C$16,IF(F72="USD",Vertical_Cash_flow!$F$16,0)))</f>
        <v>1</v>
      </c>
      <c r="I72" s="255">
        <f t="shared" si="13"/>
        <v>431.78</v>
      </c>
      <c r="J72" s="33" t="s">
        <v>251</v>
      </c>
      <c r="K72" s="39">
        <v>45425</v>
      </c>
      <c r="L72" s="255">
        <f t="shared" si="14"/>
        <v>0</v>
      </c>
      <c r="M72" s="625">
        <v>45425</v>
      </c>
      <c r="N72" s="411">
        <f t="shared" ca="1" si="15"/>
        <v>16</v>
      </c>
      <c r="O72" s="33" t="str">
        <f>VLOOKUP(M72,Mapping!L:M,2,0)</f>
        <v>W20_2024</v>
      </c>
      <c r="P72" s="33" t="str">
        <f t="shared" ca="1" si="16"/>
        <v>up 30 days</v>
      </c>
    </row>
    <row r="73" spans="1:16" ht="15" x14ac:dyDescent="0.25">
      <c r="A73" s="33" t="s">
        <v>58</v>
      </c>
      <c r="B73" t="s">
        <v>2997</v>
      </c>
      <c r="C73" s="33" t="s">
        <v>264</v>
      </c>
      <c r="D73" s="33" t="s">
        <v>79</v>
      </c>
      <c r="F73" s="33" t="s">
        <v>35</v>
      </c>
      <c r="G73" s="355">
        <v>2000</v>
      </c>
      <c r="H73" s="255">
        <f>IF(F73="TND",1,IF(F73="EUR",Vertical_Cash_flow!$C$16,IF(F73="USD",Vertical_Cash_flow!$F$16,0)))</f>
        <v>1</v>
      </c>
      <c r="I73" s="255">
        <f t="shared" si="13"/>
        <v>2000</v>
      </c>
      <c r="J73" s="33" t="s">
        <v>251</v>
      </c>
      <c r="K73" s="39">
        <v>45425</v>
      </c>
      <c r="L73" s="255">
        <f t="shared" si="14"/>
        <v>0</v>
      </c>
      <c r="M73" s="625">
        <v>45425</v>
      </c>
      <c r="N73" s="411">
        <f t="shared" ca="1" si="15"/>
        <v>16</v>
      </c>
      <c r="O73" s="33" t="str">
        <f>VLOOKUP(M73,Mapping!L:M,2,0)</f>
        <v>W20_2024</v>
      </c>
      <c r="P73" s="33" t="str">
        <f t="shared" ca="1" si="16"/>
        <v>up 30 days</v>
      </c>
    </row>
    <row r="74" spans="1:16" ht="15" x14ac:dyDescent="0.25">
      <c r="A74" s="33" t="s">
        <v>58</v>
      </c>
      <c r="B74" t="s">
        <v>2997</v>
      </c>
      <c r="C74" s="33" t="s">
        <v>264</v>
      </c>
      <c r="D74" s="33" t="s">
        <v>79</v>
      </c>
      <c r="F74" s="33" t="s">
        <v>35</v>
      </c>
      <c r="G74" s="355">
        <v>2000</v>
      </c>
      <c r="H74" s="255">
        <f>IF(F74="TND",1,IF(F74="EUR",Vertical_Cash_flow!$C$16,IF(F74="USD",Vertical_Cash_flow!$F$16,0)))</f>
        <v>1</v>
      </c>
      <c r="I74" s="255">
        <f t="shared" si="13"/>
        <v>2000</v>
      </c>
      <c r="J74" s="33" t="s">
        <v>251</v>
      </c>
      <c r="K74" s="39">
        <v>45425</v>
      </c>
      <c r="L74" s="255">
        <f t="shared" si="14"/>
        <v>0</v>
      </c>
      <c r="M74" s="625">
        <v>45425</v>
      </c>
      <c r="N74" s="411">
        <f t="shared" ca="1" si="15"/>
        <v>16</v>
      </c>
      <c r="O74" s="33" t="str">
        <f>VLOOKUP(M74,Mapping!L:M,2,0)</f>
        <v>W20_2024</v>
      </c>
      <c r="P74" s="33" t="str">
        <f t="shared" ca="1" si="16"/>
        <v>up 30 days</v>
      </c>
    </row>
    <row r="75" spans="1:16" ht="15" x14ac:dyDescent="0.25">
      <c r="A75" s="33" t="s">
        <v>58</v>
      </c>
      <c r="B75" t="s">
        <v>2997</v>
      </c>
      <c r="C75" s="33" t="s">
        <v>264</v>
      </c>
      <c r="D75" s="33" t="s">
        <v>79</v>
      </c>
      <c r="F75" s="33" t="s">
        <v>35</v>
      </c>
      <c r="G75" s="355">
        <v>431.78</v>
      </c>
      <c r="H75" s="255">
        <f>IF(F75="TND",1,IF(F75="EUR",Vertical_Cash_flow!$C$16,IF(F75="USD",Vertical_Cash_flow!$F$16,0)))</f>
        <v>1</v>
      </c>
      <c r="I75" s="255">
        <f t="shared" si="13"/>
        <v>431.78</v>
      </c>
      <c r="J75" s="33" t="s">
        <v>251</v>
      </c>
      <c r="K75" s="39">
        <v>45429</v>
      </c>
      <c r="L75" s="255">
        <f t="shared" si="14"/>
        <v>0</v>
      </c>
      <c r="M75" s="625">
        <v>45429</v>
      </c>
      <c r="N75" s="411">
        <f t="shared" ca="1" si="15"/>
        <v>12</v>
      </c>
      <c r="O75" s="33" t="str">
        <f>VLOOKUP(M75,Mapping!L:M,2,0)</f>
        <v>W20_2024</v>
      </c>
      <c r="P75" s="33" t="str">
        <f t="shared" ca="1" si="16"/>
        <v>up 30 days</v>
      </c>
    </row>
    <row r="76" spans="1:16" ht="15" x14ac:dyDescent="0.25">
      <c r="A76" s="33" t="s">
        <v>58</v>
      </c>
      <c r="B76" t="s">
        <v>2997</v>
      </c>
      <c r="C76" s="33" t="s">
        <v>264</v>
      </c>
      <c r="D76" s="33" t="s">
        <v>79</v>
      </c>
      <c r="F76" s="33" t="s">
        <v>35</v>
      </c>
      <c r="G76" s="355">
        <v>2000</v>
      </c>
      <c r="H76" s="255">
        <f>IF(F76="TND",1,IF(F76="EUR",Vertical_Cash_flow!$C$16,IF(F76="USD",Vertical_Cash_flow!$F$16,0)))</f>
        <v>1</v>
      </c>
      <c r="I76" s="255">
        <f t="shared" si="13"/>
        <v>2000</v>
      </c>
      <c r="J76" s="33" t="s">
        <v>251</v>
      </c>
      <c r="K76" s="39">
        <v>45429</v>
      </c>
      <c r="L76" s="255">
        <f t="shared" si="14"/>
        <v>0</v>
      </c>
      <c r="M76" s="625">
        <v>45429</v>
      </c>
      <c r="N76" s="411">
        <f t="shared" ca="1" si="15"/>
        <v>12</v>
      </c>
      <c r="O76" s="33" t="str">
        <f>VLOOKUP(M76,Mapping!L:M,2,0)</f>
        <v>W20_2024</v>
      </c>
      <c r="P76" s="33" t="str">
        <f t="shared" ca="1" si="16"/>
        <v>up 30 days</v>
      </c>
    </row>
    <row r="77" spans="1:16" ht="15" x14ac:dyDescent="0.25">
      <c r="A77" s="33" t="s">
        <v>58</v>
      </c>
      <c r="B77" t="s">
        <v>2997</v>
      </c>
      <c r="C77" s="33" t="s">
        <v>264</v>
      </c>
      <c r="D77" s="33" t="s">
        <v>79</v>
      </c>
      <c r="F77" s="33" t="s">
        <v>35</v>
      </c>
      <c r="G77" s="355">
        <v>1660.203</v>
      </c>
      <c r="H77" s="255">
        <f>IF(F77="TND",1,IF(F77="EUR",Vertical_Cash_flow!$C$16,IF(F77="USD",Vertical_Cash_flow!$F$16,0)))</f>
        <v>1</v>
      </c>
      <c r="I77" s="255">
        <f t="shared" si="13"/>
        <v>1660.203</v>
      </c>
      <c r="J77" s="33" t="s">
        <v>251</v>
      </c>
      <c r="K77" s="39">
        <v>45432</v>
      </c>
      <c r="L77" s="255">
        <f t="shared" si="14"/>
        <v>0</v>
      </c>
      <c r="M77" s="625">
        <v>45432</v>
      </c>
      <c r="N77" s="411">
        <f t="shared" ca="1" si="15"/>
        <v>9</v>
      </c>
      <c r="O77" s="33" t="str">
        <f>VLOOKUP(M77,Mapping!L:M,2,0)</f>
        <v>W21_2024</v>
      </c>
      <c r="P77" s="33" t="str">
        <f t="shared" ca="1" si="16"/>
        <v>up 30 days</v>
      </c>
    </row>
    <row r="78" spans="1:16" ht="15" x14ac:dyDescent="0.25">
      <c r="A78" s="33" t="s">
        <v>58</v>
      </c>
      <c r="B78" t="s">
        <v>3756</v>
      </c>
      <c r="C78" s="33" t="s">
        <v>264</v>
      </c>
      <c r="D78" s="33" t="s">
        <v>79</v>
      </c>
      <c r="F78" s="33" t="s">
        <v>35</v>
      </c>
      <c r="G78" s="355">
        <v>1392.1379999999999</v>
      </c>
      <c r="H78" s="255">
        <f>IF(F78="TND",1,IF(F78="EUR",Vertical_Cash_flow!$C$16,IF(F78="USD",Vertical_Cash_flow!$F$16,0)))</f>
        <v>1</v>
      </c>
      <c r="I78" s="255">
        <f t="shared" si="13"/>
        <v>1392.1379999999999</v>
      </c>
      <c r="J78" s="33" t="s">
        <v>251</v>
      </c>
      <c r="K78" s="39">
        <v>45419</v>
      </c>
      <c r="L78" s="255">
        <f t="shared" si="14"/>
        <v>0</v>
      </c>
      <c r="M78" s="625">
        <v>45419</v>
      </c>
      <c r="N78" s="411">
        <f t="shared" ca="1" si="15"/>
        <v>22</v>
      </c>
      <c r="O78" s="33" t="str">
        <f>VLOOKUP(M78,Mapping!L:M,2,0)</f>
        <v>W19_2024</v>
      </c>
      <c r="P78" s="33" t="str">
        <f t="shared" ca="1" si="16"/>
        <v>up 30 days</v>
      </c>
    </row>
    <row r="79" spans="1:16" ht="15" x14ac:dyDescent="0.25">
      <c r="A79" s="33" t="s">
        <v>58</v>
      </c>
      <c r="B79" t="s">
        <v>3006</v>
      </c>
      <c r="C79" s="33" t="s">
        <v>264</v>
      </c>
      <c r="D79" s="33" t="s">
        <v>79</v>
      </c>
      <c r="F79" s="33" t="s">
        <v>35</v>
      </c>
      <c r="G79" s="355">
        <v>1914.921</v>
      </c>
      <c r="H79" s="255">
        <f>IF(F79="TND",1,IF(F79="EUR",Vertical_Cash_flow!$C$16,IF(F79="USD",Vertical_Cash_flow!$F$16,0)))</f>
        <v>1</v>
      </c>
      <c r="I79" s="255">
        <f t="shared" si="13"/>
        <v>1914.921</v>
      </c>
      <c r="J79" s="33" t="s">
        <v>251</v>
      </c>
      <c r="K79" s="39">
        <v>45407</v>
      </c>
      <c r="L79" s="255">
        <f t="shared" si="14"/>
        <v>0</v>
      </c>
      <c r="M79" s="625">
        <v>45407</v>
      </c>
      <c r="N79" s="411">
        <f t="shared" ca="1" si="15"/>
        <v>34</v>
      </c>
      <c r="O79" s="33" t="str">
        <f>VLOOKUP(M79,Mapping!L:M,2,0)</f>
        <v>W17_2024</v>
      </c>
      <c r="P79" s="33" t="str">
        <f t="shared" ca="1" si="16"/>
        <v>30-60 days</v>
      </c>
    </row>
    <row r="80" spans="1:16" ht="15" x14ac:dyDescent="0.25">
      <c r="A80" s="33" t="s">
        <v>58</v>
      </c>
      <c r="B80" t="s">
        <v>3762</v>
      </c>
      <c r="C80" s="33" t="s">
        <v>264</v>
      </c>
      <c r="D80" s="33" t="s">
        <v>79</v>
      </c>
      <c r="F80" s="33" t="s">
        <v>35</v>
      </c>
      <c r="G80" s="355">
        <v>1577.384</v>
      </c>
      <c r="H80" s="255">
        <f>IF(F80="TND",1,IF(F80="EUR",Vertical_Cash_flow!$C$16,IF(F80="USD",Vertical_Cash_flow!$F$16,0)))</f>
        <v>1</v>
      </c>
      <c r="I80" s="255">
        <f t="shared" si="13"/>
        <v>1577.384</v>
      </c>
      <c r="J80" s="33" t="s">
        <v>251</v>
      </c>
      <c r="K80" s="39">
        <v>45432</v>
      </c>
      <c r="L80" s="255">
        <f t="shared" si="14"/>
        <v>0</v>
      </c>
      <c r="M80" s="625">
        <v>45432</v>
      </c>
      <c r="N80" s="411">
        <f t="shared" ca="1" si="15"/>
        <v>9</v>
      </c>
      <c r="O80" s="33" t="str">
        <f>VLOOKUP(M80,Mapping!L:M,2,0)</f>
        <v>W21_2024</v>
      </c>
      <c r="P80" s="33" t="str">
        <f t="shared" ca="1" si="16"/>
        <v>up 30 days</v>
      </c>
    </row>
    <row r="81" spans="1:16" ht="15" x14ac:dyDescent="0.25">
      <c r="A81" s="33" t="s">
        <v>58</v>
      </c>
      <c r="B81" t="s">
        <v>845</v>
      </c>
      <c r="C81" s="33" t="s">
        <v>75</v>
      </c>
      <c r="D81" s="33" t="s">
        <v>30</v>
      </c>
      <c r="F81" s="33" t="s">
        <v>35</v>
      </c>
      <c r="G81" s="355">
        <v>14072.907999999999</v>
      </c>
      <c r="H81" s="255">
        <f>IF(F81="TND",1,IF(F81="EUR",Vertical_Cash_flow!$C$16,IF(F81="USD",Vertical_Cash_flow!$F$16,0)))</f>
        <v>1</v>
      </c>
      <c r="I81" s="255">
        <f t="shared" si="13"/>
        <v>14072.907999999999</v>
      </c>
      <c r="J81" s="33" t="s">
        <v>251</v>
      </c>
      <c r="K81" s="39">
        <v>45425</v>
      </c>
      <c r="L81" s="255">
        <f t="shared" si="14"/>
        <v>0</v>
      </c>
      <c r="M81" s="625">
        <v>45425</v>
      </c>
      <c r="N81" s="411">
        <f t="shared" ca="1" si="15"/>
        <v>16</v>
      </c>
      <c r="O81" s="33" t="str">
        <f>VLOOKUP(M81,Mapping!L:M,2,0)</f>
        <v>W20_2024</v>
      </c>
      <c r="P81" s="33" t="str">
        <f t="shared" ca="1" si="16"/>
        <v>up 30 days</v>
      </c>
    </row>
    <row r="82" spans="1:16" ht="15" x14ac:dyDescent="0.25">
      <c r="A82" s="33" t="s">
        <v>58</v>
      </c>
      <c r="B82" t="s">
        <v>845</v>
      </c>
      <c r="C82" s="33" t="s">
        <v>75</v>
      </c>
      <c r="D82" s="33" t="s">
        <v>30</v>
      </c>
      <c r="F82" s="33" t="s">
        <v>35</v>
      </c>
      <c r="G82" s="355">
        <v>3584.4169999999999</v>
      </c>
      <c r="H82" s="255">
        <f>IF(F82="TND",1,IF(F82="EUR",Vertical_Cash_flow!$C$16,IF(F82="USD",Vertical_Cash_flow!$F$16,0)))</f>
        <v>1</v>
      </c>
      <c r="I82" s="255">
        <f t="shared" si="13"/>
        <v>3584.4169999999999</v>
      </c>
      <c r="J82" s="33" t="s">
        <v>251</v>
      </c>
      <c r="K82" s="39">
        <v>45429</v>
      </c>
      <c r="L82" s="255">
        <f t="shared" si="14"/>
        <v>0</v>
      </c>
      <c r="M82" s="625">
        <v>45429</v>
      </c>
      <c r="N82" s="411">
        <f t="shared" ca="1" si="15"/>
        <v>12</v>
      </c>
      <c r="O82" s="33" t="str">
        <f>VLOOKUP(M82,Mapping!L:M,2,0)</f>
        <v>W20_2024</v>
      </c>
      <c r="P82" s="33" t="str">
        <f t="shared" ca="1" si="16"/>
        <v>up 30 days</v>
      </c>
    </row>
    <row r="83" spans="1:16" ht="15" x14ac:dyDescent="0.25">
      <c r="A83" s="33" t="s">
        <v>58</v>
      </c>
      <c r="B83" t="s">
        <v>3766</v>
      </c>
      <c r="C83" s="33" t="s">
        <v>264</v>
      </c>
      <c r="D83" s="33" t="s">
        <v>79</v>
      </c>
      <c r="F83" s="33" t="s">
        <v>35</v>
      </c>
      <c r="G83" s="355">
        <v>12494.245999999999</v>
      </c>
      <c r="H83" s="255">
        <f>IF(F83="TND",1,IF(F83="EUR",Vertical_Cash_flow!$C$16,IF(F83="USD",Vertical_Cash_flow!$F$16,0)))</f>
        <v>1</v>
      </c>
      <c r="I83" s="255">
        <f t="shared" si="13"/>
        <v>12494.245999999999</v>
      </c>
      <c r="J83" s="33" t="s">
        <v>251</v>
      </c>
      <c r="K83" s="39">
        <v>45415</v>
      </c>
      <c r="L83" s="255">
        <f t="shared" si="14"/>
        <v>0</v>
      </c>
      <c r="M83" s="625">
        <v>45415</v>
      </c>
      <c r="N83" s="411">
        <f t="shared" ca="1" si="15"/>
        <v>26</v>
      </c>
      <c r="O83" s="33" t="str">
        <f>VLOOKUP(M83,Mapping!L:M,2,0)</f>
        <v>W18_2024</v>
      </c>
      <c r="P83" s="33" t="str">
        <f t="shared" ca="1" si="16"/>
        <v>up 30 days</v>
      </c>
    </row>
    <row r="84" spans="1:16" ht="15" x14ac:dyDescent="0.25">
      <c r="A84" s="33" t="s">
        <v>58</v>
      </c>
      <c r="B84" t="s">
        <v>3004</v>
      </c>
      <c r="C84" s="33" t="s">
        <v>264</v>
      </c>
      <c r="D84" s="33" t="s">
        <v>79</v>
      </c>
      <c r="F84" s="33" t="s">
        <v>35</v>
      </c>
      <c r="G84" s="355">
        <v>920</v>
      </c>
      <c r="H84" s="255">
        <f>IF(F84="TND",1,IF(F84="EUR",Vertical_Cash_flow!$C$16,IF(F84="USD",Vertical_Cash_flow!$F$16,0)))</f>
        <v>1</v>
      </c>
      <c r="I84" s="255">
        <f t="shared" si="13"/>
        <v>920</v>
      </c>
      <c r="J84" s="33" t="s">
        <v>251</v>
      </c>
      <c r="K84" s="39">
        <v>45405</v>
      </c>
      <c r="L84" s="255">
        <f t="shared" si="14"/>
        <v>0</v>
      </c>
      <c r="M84" s="625">
        <v>45405</v>
      </c>
      <c r="N84" s="411">
        <f t="shared" ca="1" si="15"/>
        <v>36</v>
      </c>
      <c r="O84" s="33" t="str">
        <f>VLOOKUP(M84,Mapping!L:M,2,0)</f>
        <v>W17_2024</v>
      </c>
      <c r="P84" s="33" t="str">
        <f t="shared" ca="1" si="16"/>
        <v>30-60 days</v>
      </c>
    </row>
    <row r="85" spans="1:16" ht="15" x14ac:dyDescent="0.25">
      <c r="A85" s="33" t="s">
        <v>58</v>
      </c>
      <c r="B85" t="s">
        <v>3755</v>
      </c>
      <c r="C85" s="33" t="s">
        <v>264</v>
      </c>
      <c r="D85" s="33" t="s">
        <v>79</v>
      </c>
      <c r="F85" s="33" t="s">
        <v>35</v>
      </c>
      <c r="G85" s="355">
        <v>435.35</v>
      </c>
      <c r="H85" s="255">
        <f>IF(F85="TND",1,IF(F85="EUR",Vertical_Cash_flow!$C$16,IF(F85="USD",Vertical_Cash_flow!$F$16,0)))</f>
        <v>1</v>
      </c>
      <c r="I85" s="255">
        <f t="shared" si="13"/>
        <v>435.35</v>
      </c>
      <c r="J85" s="33" t="s">
        <v>251</v>
      </c>
      <c r="K85" s="39">
        <v>45418</v>
      </c>
      <c r="L85" s="255">
        <f t="shared" si="14"/>
        <v>0</v>
      </c>
      <c r="M85" s="625">
        <v>45418</v>
      </c>
      <c r="N85" s="411">
        <f t="shared" ca="1" si="15"/>
        <v>23</v>
      </c>
      <c r="O85" s="33" t="str">
        <f>VLOOKUP(M85,Mapping!L:M,2,0)</f>
        <v>W19_2024</v>
      </c>
      <c r="P85" s="33" t="str">
        <f t="shared" ca="1" si="16"/>
        <v>up 30 days</v>
      </c>
    </row>
    <row r="86" spans="1:16" ht="15" x14ac:dyDescent="0.25">
      <c r="A86" s="33" t="s">
        <v>58</v>
      </c>
      <c r="B86" t="s">
        <v>1473</v>
      </c>
      <c r="C86" s="33" t="s">
        <v>264</v>
      </c>
      <c r="D86" s="33" t="s">
        <v>79</v>
      </c>
      <c r="F86" s="33" t="s">
        <v>35</v>
      </c>
      <c r="G86" s="355">
        <v>5748.116</v>
      </c>
      <c r="H86" s="255">
        <f>IF(F86="TND",1,IF(F86="EUR",Vertical_Cash_flow!$C$16,IF(F86="USD",Vertical_Cash_flow!$F$16,0)))</f>
        <v>1</v>
      </c>
      <c r="I86" s="255">
        <f t="shared" si="13"/>
        <v>5748.116</v>
      </c>
      <c r="J86" s="33" t="s">
        <v>251</v>
      </c>
      <c r="K86" s="39">
        <v>45414</v>
      </c>
      <c r="L86" s="255">
        <f t="shared" si="14"/>
        <v>18</v>
      </c>
      <c r="M86" s="625">
        <v>45432</v>
      </c>
      <c r="N86" s="411">
        <f t="shared" ca="1" si="15"/>
        <v>9</v>
      </c>
      <c r="O86" s="33" t="str">
        <f>VLOOKUP(M86,Mapping!L:M,2,0)</f>
        <v>W21_2024</v>
      </c>
      <c r="P86" s="33" t="str">
        <f t="shared" ca="1" si="16"/>
        <v>up 30 days</v>
      </c>
    </row>
    <row r="87" spans="1:16" ht="15" x14ac:dyDescent="0.25">
      <c r="A87" s="33" t="s">
        <v>58</v>
      </c>
      <c r="B87" t="s">
        <v>3005</v>
      </c>
      <c r="C87" s="33" t="s">
        <v>264</v>
      </c>
      <c r="D87" s="33" t="s">
        <v>79</v>
      </c>
      <c r="F87" s="33" t="s">
        <v>35</v>
      </c>
      <c r="G87" s="355">
        <v>8611.84</v>
      </c>
      <c r="H87" s="255">
        <f>IF(F87="TND",1,IF(F87="EUR",Vertical_Cash_flow!$C$16,IF(F87="USD",Vertical_Cash_flow!$F$16,0)))</f>
        <v>1</v>
      </c>
      <c r="I87" s="255">
        <f t="shared" si="13"/>
        <v>8611.84</v>
      </c>
      <c r="J87" s="33" t="s">
        <v>251</v>
      </c>
      <c r="K87" s="39">
        <v>45407</v>
      </c>
      <c r="L87" s="255">
        <f t="shared" si="14"/>
        <v>0</v>
      </c>
      <c r="M87" s="625">
        <v>45407</v>
      </c>
      <c r="N87" s="411">
        <f t="shared" ca="1" si="15"/>
        <v>34</v>
      </c>
      <c r="O87" s="33" t="str">
        <f>VLOOKUP(M87,Mapping!L:M,2,0)</f>
        <v>W17_2024</v>
      </c>
      <c r="P87" s="33" t="str">
        <f t="shared" ca="1" si="16"/>
        <v>30-60 days</v>
      </c>
    </row>
    <row r="88" spans="1:16" ht="15" x14ac:dyDescent="0.25">
      <c r="A88" s="33" t="s">
        <v>58</v>
      </c>
      <c r="B88" t="s">
        <v>2999</v>
      </c>
      <c r="C88" s="33" t="s">
        <v>264</v>
      </c>
      <c r="D88" s="33" t="s">
        <v>79</v>
      </c>
      <c r="F88" s="33" t="s">
        <v>35</v>
      </c>
      <c r="G88" s="355">
        <v>5039.8959999999997</v>
      </c>
      <c r="H88" s="255">
        <f>IF(F88="TND",1,IF(F88="EUR",Vertical_Cash_flow!$C$16,IF(F88="USD",Vertical_Cash_flow!$F$16,0)))</f>
        <v>1</v>
      </c>
      <c r="I88" s="255">
        <f t="shared" si="13"/>
        <v>5039.8959999999997</v>
      </c>
      <c r="J88" s="33" t="s">
        <v>251</v>
      </c>
      <c r="K88" s="39">
        <v>45406</v>
      </c>
      <c r="L88" s="255">
        <f t="shared" si="14"/>
        <v>0</v>
      </c>
      <c r="M88" s="625">
        <v>45406</v>
      </c>
      <c r="N88" s="411">
        <f t="shared" ca="1" si="15"/>
        <v>35</v>
      </c>
      <c r="O88" s="33" t="str">
        <f>VLOOKUP(M88,Mapping!L:M,2,0)</f>
        <v>W17_2024</v>
      </c>
      <c r="P88" s="33" t="str">
        <f t="shared" ca="1" si="16"/>
        <v>30-60 days</v>
      </c>
    </row>
    <row r="89" spans="1:16" ht="15" x14ac:dyDescent="0.25">
      <c r="A89" s="33" t="s">
        <v>58</v>
      </c>
      <c r="B89" t="s">
        <v>771</v>
      </c>
      <c r="C89" s="33" t="s">
        <v>264</v>
      </c>
      <c r="D89" s="33" t="s">
        <v>79</v>
      </c>
      <c r="F89" s="33" t="s">
        <v>35</v>
      </c>
      <c r="G89" s="355">
        <v>1258.29</v>
      </c>
      <c r="H89" s="255">
        <f>IF(F89="TND",1,IF(F89="EUR",Vertical_Cash_flow!$C$16,IF(F89="USD",Vertical_Cash_flow!$F$16,0)))</f>
        <v>1</v>
      </c>
      <c r="I89" s="255">
        <f t="shared" si="13"/>
        <v>1258.29</v>
      </c>
      <c r="J89" s="33" t="s">
        <v>251</v>
      </c>
      <c r="K89" s="39">
        <v>45418</v>
      </c>
      <c r="L89" s="255">
        <f t="shared" si="14"/>
        <v>0</v>
      </c>
      <c r="M89" s="625">
        <v>45418</v>
      </c>
      <c r="N89" s="411">
        <f t="shared" ca="1" si="15"/>
        <v>23</v>
      </c>
      <c r="O89" s="33" t="str">
        <f>VLOOKUP(M89,Mapping!L:M,2,0)</f>
        <v>W19_2024</v>
      </c>
      <c r="P89" s="33" t="str">
        <f t="shared" ca="1" si="16"/>
        <v>up 30 days</v>
      </c>
    </row>
    <row r="90" spans="1:16" ht="15" x14ac:dyDescent="0.25">
      <c r="A90" s="33" t="s">
        <v>58</v>
      </c>
      <c r="B90" t="s">
        <v>1469</v>
      </c>
      <c r="C90" s="33" t="s">
        <v>264</v>
      </c>
      <c r="D90" s="33" t="s">
        <v>79</v>
      </c>
      <c r="F90" s="33" t="s">
        <v>35</v>
      </c>
      <c r="G90" s="355">
        <v>758.26400000000001</v>
      </c>
      <c r="H90" s="255">
        <f>IF(F90="TND",1,IF(F90="EUR",Vertical_Cash_flow!$C$16,IF(F90="USD",Vertical_Cash_flow!$F$16,0)))</f>
        <v>1</v>
      </c>
      <c r="I90" s="255">
        <f t="shared" si="13"/>
        <v>758.26400000000001</v>
      </c>
      <c r="J90" s="33" t="s">
        <v>251</v>
      </c>
      <c r="K90" s="39">
        <v>45407</v>
      </c>
      <c r="L90" s="255">
        <f t="shared" si="14"/>
        <v>0</v>
      </c>
      <c r="M90" s="625">
        <v>45407</v>
      </c>
      <c r="N90" s="411">
        <f t="shared" ca="1" si="15"/>
        <v>34</v>
      </c>
      <c r="O90" s="33" t="str">
        <f>VLOOKUP(M90,Mapping!L:M,2,0)</f>
        <v>W17_2024</v>
      </c>
      <c r="P90" s="33" t="str">
        <f t="shared" ca="1" si="16"/>
        <v>30-60 days</v>
      </c>
    </row>
    <row r="91" spans="1:16" ht="15" x14ac:dyDescent="0.25">
      <c r="A91" s="33" t="s">
        <v>58</v>
      </c>
      <c r="B91" t="s">
        <v>1469</v>
      </c>
      <c r="C91" s="33" t="s">
        <v>264</v>
      </c>
      <c r="D91" s="33" t="s">
        <v>79</v>
      </c>
      <c r="F91" s="33" t="s">
        <v>35</v>
      </c>
      <c r="G91" s="355">
        <v>358</v>
      </c>
      <c r="H91" s="255">
        <f>IF(F91="TND",1,IF(F91="EUR",Vertical_Cash_flow!$C$16,IF(F91="USD",Vertical_Cash_flow!$F$16,0)))</f>
        <v>1</v>
      </c>
      <c r="I91" s="255">
        <f t="shared" si="13"/>
        <v>358</v>
      </c>
      <c r="J91" s="33" t="s">
        <v>251</v>
      </c>
      <c r="K91" s="39">
        <v>45432</v>
      </c>
      <c r="L91" s="255">
        <f t="shared" si="14"/>
        <v>0</v>
      </c>
      <c r="M91" s="625">
        <v>45432</v>
      </c>
      <c r="N91" s="411">
        <f t="shared" ca="1" si="15"/>
        <v>9</v>
      </c>
      <c r="O91" s="33" t="str">
        <f>VLOOKUP(M91,Mapping!L:M,2,0)</f>
        <v>W21_2024</v>
      </c>
      <c r="P91" s="33" t="str">
        <f t="shared" ca="1" si="16"/>
        <v>up 30 days</v>
      </c>
    </row>
    <row r="92" spans="1:16" ht="15" x14ac:dyDescent="0.25">
      <c r="A92" s="33" t="s">
        <v>58</v>
      </c>
      <c r="B92" t="s">
        <v>3763</v>
      </c>
      <c r="C92" s="33" t="s">
        <v>264</v>
      </c>
      <c r="D92" s="33" t="s">
        <v>79</v>
      </c>
      <c r="F92" s="33" t="s">
        <v>35</v>
      </c>
      <c r="G92" s="355">
        <v>693.43600000000004</v>
      </c>
      <c r="H92" s="255">
        <f>IF(F92="TND",1,IF(F92="EUR",Vertical_Cash_flow!$C$16,IF(F92="USD",Vertical_Cash_flow!$F$16,0)))</f>
        <v>1</v>
      </c>
      <c r="I92" s="255">
        <f t="shared" si="13"/>
        <v>693.43600000000004</v>
      </c>
      <c r="J92" s="33" t="s">
        <v>251</v>
      </c>
      <c r="K92" s="39">
        <v>45432</v>
      </c>
      <c r="L92" s="255">
        <f t="shared" si="14"/>
        <v>0</v>
      </c>
      <c r="M92" s="625">
        <v>45432</v>
      </c>
      <c r="N92" s="411">
        <f t="shared" ca="1" si="15"/>
        <v>9</v>
      </c>
      <c r="O92" s="33" t="str">
        <f>VLOOKUP(M92,Mapping!L:M,2,0)</f>
        <v>W21_2024</v>
      </c>
      <c r="P92" s="33" t="str">
        <f t="shared" ca="1" si="16"/>
        <v>up 30 days</v>
      </c>
    </row>
    <row r="93" spans="1:16" ht="15" x14ac:dyDescent="0.25">
      <c r="A93" s="33" t="s">
        <v>58</v>
      </c>
      <c r="B93" t="s">
        <v>3754</v>
      </c>
      <c r="C93" s="33" t="s">
        <v>264</v>
      </c>
      <c r="D93" s="33" t="s">
        <v>79</v>
      </c>
      <c r="F93" s="33" t="s">
        <v>35</v>
      </c>
      <c r="G93" s="355">
        <v>1495.999</v>
      </c>
      <c r="H93" s="255">
        <f>IF(F93="TND",1,IF(F93="EUR",Vertical_Cash_flow!$C$16,IF(F93="USD",Vertical_Cash_flow!$F$16,0)))</f>
        <v>1</v>
      </c>
      <c r="I93" s="255">
        <f t="shared" si="13"/>
        <v>1495.999</v>
      </c>
      <c r="J93" s="33" t="s">
        <v>251</v>
      </c>
      <c r="K93" s="39">
        <v>45418</v>
      </c>
      <c r="L93" s="255">
        <f t="shared" si="14"/>
        <v>0</v>
      </c>
      <c r="M93" s="625">
        <v>45418</v>
      </c>
      <c r="N93" s="411">
        <f t="shared" ca="1" si="15"/>
        <v>23</v>
      </c>
      <c r="O93" s="33" t="str">
        <f>VLOOKUP(M93,Mapping!L:M,2,0)</f>
        <v>W19_2024</v>
      </c>
      <c r="P93" s="33" t="str">
        <f t="shared" ca="1" si="16"/>
        <v>up 30 days</v>
      </c>
    </row>
    <row r="94" spans="1:16" ht="15" x14ac:dyDescent="0.25">
      <c r="A94" s="33" t="s">
        <v>58</v>
      </c>
      <c r="B94" s="623" t="s">
        <v>1475</v>
      </c>
      <c r="C94" s="33" t="s">
        <v>264</v>
      </c>
      <c r="D94" s="33" t="s">
        <v>79</v>
      </c>
      <c r="F94" s="33" t="s">
        <v>35</v>
      </c>
      <c r="G94" s="624">
        <v>3356.8</v>
      </c>
      <c r="H94" s="255">
        <f>IF(F94="TND",1,IF(F94="EUR",Vertical_Cash_flow!$C$16,IF(F94="USD",Vertical_Cash_flow!$F$16,0)))</f>
        <v>1</v>
      </c>
      <c r="I94" s="255">
        <f t="shared" si="13"/>
        <v>3356.8</v>
      </c>
      <c r="J94" s="33" t="s">
        <v>251</v>
      </c>
      <c r="K94" s="625">
        <v>45345</v>
      </c>
      <c r="L94" s="255">
        <f t="shared" si="14"/>
        <v>77</v>
      </c>
      <c r="M94" s="625">
        <v>45422</v>
      </c>
      <c r="N94" s="411">
        <f t="shared" ca="1" si="15"/>
        <v>19</v>
      </c>
      <c r="O94" s="33" t="str">
        <f>VLOOKUP(M94,Mapping!L:M,2,0)</f>
        <v>W19_2024</v>
      </c>
      <c r="P94" s="33" t="str">
        <f t="shared" ca="1" si="16"/>
        <v>up 30 days</v>
      </c>
    </row>
    <row r="95" spans="1:16" ht="15" x14ac:dyDescent="0.25">
      <c r="A95" s="33" t="s">
        <v>58</v>
      </c>
      <c r="B95" t="s">
        <v>1475</v>
      </c>
      <c r="C95" s="33" t="s">
        <v>264</v>
      </c>
      <c r="D95" s="33" t="s">
        <v>79</v>
      </c>
      <c r="F95" s="33" t="s">
        <v>35</v>
      </c>
      <c r="G95" s="355">
        <v>239</v>
      </c>
      <c r="H95" s="255">
        <f>IF(F95="TND",1,IF(F95="EUR",Vertical_Cash_flow!$C$16,IF(F95="USD",Vertical_Cash_flow!$F$16,0)))</f>
        <v>1</v>
      </c>
      <c r="I95" s="255">
        <f t="shared" si="13"/>
        <v>239</v>
      </c>
      <c r="J95" s="33" t="s">
        <v>251</v>
      </c>
      <c r="K95" s="39">
        <v>45355</v>
      </c>
      <c r="L95" s="255">
        <f t="shared" si="14"/>
        <v>72</v>
      </c>
      <c r="M95" s="625">
        <v>45427</v>
      </c>
      <c r="N95" s="411">
        <f t="shared" ca="1" si="15"/>
        <v>14</v>
      </c>
      <c r="O95" s="33" t="str">
        <f>VLOOKUP(M95,Mapping!L:M,2,0)</f>
        <v>W20_2024</v>
      </c>
      <c r="P95" s="33" t="str">
        <f t="shared" ca="1" si="16"/>
        <v>up 30 days</v>
      </c>
    </row>
    <row r="96" spans="1:16" ht="15" x14ac:dyDescent="0.25">
      <c r="A96" s="33" t="s">
        <v>58</v>
      </c>
      <c r="B96" t="s">
        <v>1475</v>
      </c>
      <c r="C96" s="33" t="s">
        <v>264</v>
      </c>
      <c r="D96" s="33" t="s">
        <v>79</v>
      </c>
      <c r="F96" s="33" t="s">
        <v>35</v>
      </c>
      <c r="G96" s="355">
        <v>358.786</v>
      </c>
      <c r="H96" s="255">
        <f>IF(F96="TND",1,IF(F96="EUR",Vertical_Cash_flow!$C$16,IF(F96="USD",Vertical_Cash_flow!$F$16,0)))</f>
        <v>1</v>
      </c>
      <c r="I96" s="255">
        <f t="shared" si="13"/>
        <v>358.786</v>
      </c>
      <c r="J96" s="33" t="s">
        <v>251</v>
      </c>
      <c r="K96" s="39">
        <v>45397</v>
      </c>
      <c r="L96" s="255">
        <f t="shared" si="14"/>
        <v>30</v>
      </c>
      <c r="M96" s="625">
        <v>45427</v>
      </c>
      <c r="N96" s="411">
        <f t="shared" ca="1" si="15"/>
        <v>14</v>
      </c>
      <c r="O96" s="33" t="str">
        <f>VLOOKUP(M96,Mapping!L:M,2,0)</f>
        <v>W20_2024</v>
      </c>
      <c r="P96" s="33" t="str">
        <f t="shared" ca="1" si="16"/>
        <v>up 30 days</v>
      </c>
    </row>
    <row r="97" spans="1:16" ht="15" x14ac:dyDescent="0.25">
      <c r="A97" s="33" t="s">
        <v>58</v>
      </c>
      <c r="B97" t="s">
        <v>762</v>
      </c>
      <c r="C97" s="33" t="s">
        <v>264</v>
      </c>
      <c r="D97" s="33" t="s">
        <v>79</v>
      </c>
      <c r="F97" s="33" t="s">
        <v>35</v>
      </c>
      <c r="G97" s="355">
        <v>6496.3050000000003</v>
      </c>
      <c r="H97" s="255">
        <f>IF(F97="TND",1,IF(F97="EUR",Vertical_Cash_flow!$C$16,IF(F97="USD",Vertical_Cash_flow!$F$16,0)))</f>
        <v>1</v>
      </c>
      <c r="I97" s="255">
        <f t="shared" si="13"/>
        <v>6496.3050000000003</v>
      </c>
      <c r="J97" s="33" t="s">
        <v>251</v>
      </c>
      <c r="K97" s="39">
        <v>45407</v>
      </c>
      <c r="L97" s="255">
        <f t="shared" si="14"/>
        <v>20</v>
      </c>
      <c r="M97" s="625">
        <v>45427</v>
      </c>
      <c r="N97" s="411">
        <f t="shared" ca="1" si="15"/>
        <v>14</v>
      </c>
      <c r="O97" s="33" t="str">
        <f>VLOOKUP(M97,Mapping!L:M,2,0)</f>
        <v>W20_2024</v>
      </c>
      <c r="P97" s="33" t="str">
        <f t="shared" ca="1" si="16"/>
        <v>up 30 days</v>
      </c>
    </row>
    <row r="98" spans="1:16" ht="15" x14ac:dyDescent="0.25">
      <c r="A98" s="33" t="s">
        <v>58</v>
      </c>
      <c r="B98" t="s">
        <v>1047</v>
      </c>
      <c r="C98" s="33" t="s">
        <v>264</v>
      </c>
      <c r="D98" s="33" t="s">
        <v>79</v>
      </c>
      <c r="F98" s="33" t="s">
        <v>35</v>
      </c>
      <c r="G98" s="355">
        <v>871.4</v>
      </c>
      <c r="H98" s="255">
        <f>IF(F98="TND",1,IF(F98="EUR",Vertical_Cash_flow!$C$16,IF(F98="USD",Vertical_Cash_flow!$F$16,0)))</f>
        <v>1</v>
      </c>
      <c r="I98" s="255">
        <f t="shared" si="13"/>
        <v>871.4</v>
      </c>
      <c r="J98" s="33" t="s">
        <v>251</v>
      </c>
      <c r="K98" s="39">
        <v>45418</v>
      </c>
      <c r="L98" s="255">
        <f t="shared" si="14"/>
        <v>0</v>
      </c>
      <c r="M98" s="625">
        <v>45418</v>
      </c>
      <c r="N98" s="411">
        <f t="shared" ca="1" si="15"/>
        <v>23</v>
      </c>
      <c r="O98" s="33" t="str">
        <f>VLOOKUP(M98,Mapping!L:M,2,0)</f>
        <v>W19_2024</v>
      </c>
      <c r="P98" s="33" t="str">
        <f t="shared" ca="1" si="16"/>
        <v>up 30 days</v>
      </c>
    </row>
    <row r="99" spans="1:16" s="34" customFormat="1" ht="15" x14ac:dyDescent="0.25">
      <c r="A99" s="34" t="s">
        <v>58</v>
      </c>
      <c r="B99" s="34" t="s">
        <v>975</v>
      </c>
      <c r="C99" s="34" t="s">
        <v>264</v>
      </c>
      <c r="D99" s="34" t="s">
        <v>79</v>
      </c>
      <c r="F99" s="34" t="s">
        <v>35</v>
      </c>
      <c r="G99" s="629">
        <v>2106.3029999999999</v>
      </c>
      <c r="H99" s="257">
        <f>IF(F99="TND",1,IF(F99="EUR",Vertical_Cash_flow!$C$16,IF(F99="USD",Vertical_Cash_flow!$F$16,0)))</f>
        <v>1</v>
      </c>
      <c r="I99" s="257">
        <f t="shared" si="13"/>
        <v>2106.3029999999999</v>
      </c>
      <c r="J99" s="34" t="s">
        <v>252</v>
      </c>
      <c r="K99" s="409">
        <v>45379</v>
      </c>
      <c r="L99" s="257">
        <f t="shared" si="14"/>
        <v>57</v>
      </c>
      <c r="M99" s="628">
        <v>45436</v>
      </c>
      <c r="N99" s="412">
        <f t="shared" ca="1" si="15"/>
        <v>5</v>
      </c>
      <c r="O99" s="34" t="str">
        <f>VLOOKUP(M99,Mapping!L:M,2,0)</f>
        <v>W21_2024</v>
      </c>
      <c r="P99" s="34" t="str">
        <f t="shared" ca="1" si="16"/>
        <v>up 30 days</v>
      </c>
    </row>
    <row r="100" spans="1:16" s="34" customFormat="1" ht="15" customHeight="1" x14ac:dyDescent="0.25">
      <c r="A100" s="34" t="s">
        <v>58</v>
      </c>
      <c r="B100" s="34" t="s">
        <v>3761</v>
      </c>
      <c r="C100" s="34" t="s">
        <v>264</v>
      </c>
      <c r="D100" s="34" t="s">
        <v>79</v>
      </c>
      <c r="F100" s="34" t="s">
        <v>35</v>
      </c>
      <c r="G100" s="629">
        <v>6426.7860000000001</v>
      </c>
      <c r="H100" s="257">
        <f>IF(F100="TND",1,IF(F100="EUR",Vertical_Cash_flow!$C$16,IF(F100="USD",Vertical_Cash_flow!$F$16,0)))</f>
        <v>1</v>
      </c>
      <c r="I100" s="257">
        <f t="shared" ref="I100:I163" si="17">G100/H100</f>
        <v>6426.7860000000001</v>
      </c>
      <c r="J100" s="34" t="s">
        <v>252</v>
      </c>
      <c r="K100" s="409">
        <v>45432</v>
      </c>
      <c r="L100" s="257">
        <f t="shared" ref="L100:L163" si="18">M100-K100</f>
        <v>4</v>
      </c>
      <c r="M100" s="628">
        <v>45436</v>
      </c>
      <c r="N100" s="412">
        <f t="shared" ref="N100:N163" ca="1" si="19">$S$1-M100</f>
        <v>5</v>
      </c>
      <c r="O100" s="34" t="str">
        <f>VLOOKUP(M100,Mapping!L:M,2,0)</f>
        <v>W21_2024</v>
      </c>
      <c r="P100" s="34" t="str">
        <f t="shared" ref="P100:P163" ca="1" si="20">IF(N100="","",IF(N100&lt;0,"Not Due",IF(AND(N100&gt;=0,N100&lt;=30),"up 30 days",IF(AND(N100&gt;30,N100&lt;=60),"30-60 days",IF(AND(N100&gt;60,N100&lt;=90),"60-90 days",IF(AND(N100&gt;90,N100&lt;=120),"90-120 days",IF(AND(N100&gt;120,N100&lt;=180),"120-180 days",IF(AND(N100&gt;180,N100&lt;=360),"180-360 days",IF(N100&gt;360,"more than 360 days","ok")))))))))</f>
        <v>up 30 days</v>
      </c>
    </row>
    <row r="101" spans="1:16" s="34" customFormat="1" ht="15" customHeight="1" x14ac:dyDescent="0.25">
      <c r="A101" s="34" t="s">
        <v>58</v>
      </c>
      <c r="B101" s="34" t="s">
        <v>663</v>
      </c>
      <c r="C101" s="34" t="s">
        <v>264</v>
      </c>
      <c r="D101" s="34" t="s">
        <v>684</v>
      </c>
      <c r="F101" s="34" t="s">
        <v>35</v>
      </c>
      <c r="G101" s="629">
        <v>8923.8439999999991</v>
      </c>
      <c r="H101" s="257">
        <f>IF(F101="TND",1,IF(F101="EUR",Vertical_Cash_flow!$C$16,IF(F101="USD",Vertical_Cash_flow!$F$16,0)))</f>
        <v>1</v>
      </c>
      <c r="I101" s="257">
        <f t="shared" si="17"/>
        <v>8923.8439999999991</v>
      </c>
      <c r="J101" s="34" t="s">
        <v>252</v>
      </c>
      <c r="K101" s="409">
        <v>45427</v>
      </c>
      <c r="L101" s="257">
        <f t="shared" si="18"/>
        <v>9</v>
      </c>
      <c r="M101" s="628">
        <v>45436</v>
      </c>
      <c r="N101" s="412">
        <f t="shared" ca="1" si="19"/>
        <v>5</v>
      </c>
      <c r="O101" s="34" t="str">
        <f>VLOOKUP(M101,Mapping!L:M,2,0)</f>
        <v>W21_2024</v>
      </c>
      <c r="P101" s="34" t="str">
        <f t="shared" ca="1" si="20"/>
        <v>up 30 days</v>
      </c>
    </row>
    <row r="102" spans="1:16" s="34" customFormat="1" ht="15" customHeight="1" x14ac:dyDescent="0.25">
      <c r="A102" s="34" t="s">
        <v>58</v>
      </c>
      <c r="B102" s="626" t="s">
        <v>1239</v>
      </c>
      <c r="C102" s="34" t="s">
        <v>264</v>
      </c>
      <c r="D102" s="34" t="s">
        <v>79</v>
      </c>
      <c r="F102" s="34" t="s">
        <v>35</v>
      </c>
      <c r="G102" s="627">
        <v>268.036</v>
      </c>
      <c r="H102" s="257">
        <f>IF(F102="TND",1,IF(F102="EUR",Vertical_Cash_flow!$C$16,IF(F102="USD",Vertical_Cash_flow!$F$16,0)))</f>
        <v>1</v>
      </c>
      <c r="I102" s="257">
        <f t="shared" si="17"/>
        <v>268.036</v>
      </c>
      <c r="J102" s="34" t="s">
        <v>252</v>
      </c>
      <c r="K102" s="628">
        <v>45331</v>
      </c>
      <c r="L102" s="257">
        <f t="shared" si="18"/>
        <v>105</v>
      </c>
      <c r="M102" s="628">
        <v>45436</v>
      </c>
      <c r="N102" s="412">
        <f t="shared" ca="1" si="19"/>
        <v>5</v>
      </c>
      <c r="O102" s="34" t="str">
        <f>VLOOKUP(M102,Mapping!L:M,2,0)</f>
        <v>W21_2024</v>
      </c>
      <c r="P102" s="34" t="str">
        <f t="shared" ca="1" si="20"/>
        <v>up 30 days</v>
      </c>
    </row>
    <row r="103" spans="1:16" s="34" customFormat="1" ht="15" x14ac:dyDescent="0.25">
      <c r="A103" s="34" t="s">
        <v>58</v>
      </c>
      <c r="B103" s="34" t="s">
        <v>3765</v>
      </c>
      <c r="C103" s="34" t="s">
        <v>264</v>
      </c>
      <c r="D103" s="34" t="s">
        <v>79</v>
      </c>
      <c r="F103" s="34" t="s">
        <v>35</v>
      </c>
      <c r="G103" s="629">
        <v>1427.365</v>
      </c>
      <c r="H103" s="257">
        <f>IF(F103="TND",1,IF(F103="EUR",Vertical_Cash_flow!$C$16,IF(F103="USD",Vertical_Cash_flow!$F$16,0)))</f>
        <v>1</v>
      </c>
      <c r="I103" s="257">
        <f t="shared" si="17"/>
        <v>1427.365</v>
      </c>
      <c r="J103" s="34" t="s">
        <v>252</v>
      </c>
      <c r="K103" s="409">
        <v>45432</v>
      </c>
      <c r="L103" s="257">
        <f t="shared" si="18"/>
        <v>4</v>
      </c>
      <c r="M103" s="628">
        <v>45436</v>
      </c>
      <c r="N103" s="412">
        <f t="shared" ca="1" si="19"/>
        <v>5</v>
      </c>
      <c r="O103" s="34" t="str">
        <f>VLOOKUP(M103,Mapping!L:M,2,0)</f>
        <v>W21_2024</v>
      </c>
      <c r="P103" s="34" t="str">
        <f t="shared" ca="1" si="20"/>
        <v>up 30 days</v>
      </c>
    </row>
    <row r="104" spans="1:16" s="34" customFormat="1" ht="15" x14ac:dyDescent="0.25">
      <c r="A104" s="34" t="s">
        <v>58</v>
      </c>
      <c r="B104" s="34" t="s">
        <v>3759</v>
      </c>
      <c r="C104" s="34" t="s">
        <v>264</v>
      </c>
      <c r="D104" s="34" t="s">
        <v>79</v>
      </c>
      <c r="F104" s="34" t="s">
        <v>35</v>
      </c>
      <c r="G104" s="629">
        <v>4199.5810000000001</v>
      </c>
      <c r="H104" s="257">
        <f>IF(F104="TND",1,IF(F104="EUR",Vertical_Cash_flow!$C$16,IF(F104="USD",Vertical_Cash_flow!$F$16,0)))</f>
        <v>1</v>
      </c>
      <c r="I104" s="257">
        <f t="shared" si="17"/>
        <v>4199.5810000000001</v>
      </c>
      <c r="J104" s="34" t="s">
        <v>252</v>
      </c>
      <c r="K104" s="409">
        <v>45429</v>
      </c>
      <c r="L104" s="257">
        <f t="shared" si="18"/>
        <v>7</v>
      </c>
      <c r="M104" s="628">
        <v>45436</v>
      </c>
      <c r="N104" s="412">
        <f t="shared" ca="1" si="19"/>
        <v>5</v>
      </c>
      <c r="O104" s="34" t="str">
        <f>VLOOKUP(M104,Mapping!L:M,2,0)</f>
        <v>W21_2024</v>
      </c>
      <c r="P104" s="34" t="str">
        <f t="shared" ca="1" si="20"/>
        <v>up 30 days</v>
      </c>
    </row>
    <row r="105" spans="1:16" s="34" customFormat="1" ht="15" x14ac:dyDescent="0.25">
      <c r="A105" s="34" t="s">
        <v>58</v>
      </c>
      <c r="B105" s="34" t="s">
        <v>3001</v>
      </c>
      <c r="C105" s="34" t="s">
        <v>264</v>
      </c>
      <c r="D105" s="34" t="s">
        <v>79</v>
      </c>
      <c r="F105" s="34" t="s">
        <v>35</v>
      </c>
      <c r="G105" s="629">
        <v>881.6</v>
      </c>
      <c r="H105" s="257">
        <f>IF(F105="TND",1,IF(F105="EUR",Vertical_Cash_flow!$C$16,IF(F105="USD",Vertical_Cash_flow!$F$16,0)))</f>
        <v>1</v>
      </c>
      <c r="I105" s="257">
        <f t="shared" si="17"/>
        <v>881.6</v>
      </c>
      <c r="J105" s="34" t="s">
        <v>252</v>
      </c>
      <c r="K105" s="409">
        <v>45407</v>
      </c>
      <c r="L105" s="257">
        <f t="shared" si="18"/>
        <v>29</v>
      </c>
      <c r="M105" s="628">
        <v>45436</v>
      </c>
      <c r="N105" s="412">
        <f t="shared" ca="1" si="19"/>
        <v>5</v>
      </c>
      <c r="O105" s="34" t="str">
        <f>VLOOKUP(M105,Mapping!L:M,2,0)</f>
        <v>W21_2024</v>
      </c>
      <c r="P105" s="34" t="str">
        <f t="shared" ca="1" si="20"/>
        <v>up 30 days</v>
      </c>
    </row>
    <row r="106" spans="1:16" s="34" customFormat="1" ht="15" x14ac:dyDescent="0.25">
      <c r="A106" s="34" t="s">
        <v>58</v>
      </c>
      <c r="B106" s="34" t="s">
        <v>3001</v>
      </c>
      <c r="C106" s="34" t="s">
        <v>264</v>
      </c>
      <c r="D106" s="34" t="s">
        <v>79</v>
      </c>
      <c r="F106" s="34" t="s">
        <v>35</v>
      </c>
      <c r="G106" s="629">
        <v>2805.8580000000002</v>
      </c>
      <c r="H106" s="257">
        <f>IF(F106="TND",1,IF(F106="EUR",Vertical_Cash_flow!$C$16,IF(F106="USD",Vertical_Cash_flow!$F$16,0)))</f>
        <v>1</v>
      </c>
      <c r="I106" s="257">
        <f t="shared" si="17"/>
        <v>2805.8580000000002</v>
      </c>
      <c r="J106" s="34" t="s">
        <v>252</v>
      </c>
      <c r="K106" s="409">
        <v>45432</v>
      </c>
      <c r="L106" s="257">
        <f t="shared" si="18"/>
        <v>4</v>
      </c>
      <c r="M106" s="628">
        <v>45436</v>
      </c>
      <c r="N106" s="412">
        <f t="shared" ca="1" si="19"/>
        <v>5</v>
      </c>
      <c r="O106" s="34" t="str">
        <f>VLOOKUP(M106,Mapping!L:M,2,0)</f>
        <v>W21_2024</v>
      </c>
      <c r="P106" s="34" t="str">
        <f t="shared" ca="1" si="20"/>
        <v>up 30 days</v>
      </c>
    </row>
    <row r="107" spans="1:16" s="34" customFormat="1" ht="15" x14ac:dyDescent="0.25">
      <c r="A107" s="34" t="s">
        <v>58</v>
      </c>
      <c r="B107" s="34" t="s">
        <v>3764</v>
      </c>
      <c r="C107" s="34" t="s">
        <v>264</v>
      </c>
      <c r="D107" s="34" t="s">
        <v>79</v>
      </c>
      <c r="F107" s="34" t="s">
        <v>35</v>
      </c>
      <c r="G107" s="629">
        <v>1274.328</v>
      </c>
      <c r="H107" s="257">
        <f>IF(F107="TND",1,IF(F107="EUR",Vertical_Cash_flow!$C$16,IF(F107="USD",Vertical_Cash_flow!$F$16,0)))</f>
        <v>1</v>
      </c>
      <c r="I107" s="257">
        <f t="shared" si="17"/>
        <v>1274.328</v>
      </c>
      <c r="J107" s="34" t="s">
        <v>252</v>
      </c>
      <c r="K107" s="409">
        <v>45432</v>
      </c>
      <c r="L107" s="257">
        <f t="shared" si="18"/>
        <v>4</v>
      </c>
      <c r="M107" s="628">
        <v>45436</v>
      </c>
      <c r="N107" s="412">
        <f t="shared" ca="1" si="19"/>
        <v>5</v>
      </c>
      <c r="O107" s="34" t="str">
        <f>VLOOKUP(M107,Mapping!L:M,2,0)</f>
        <v>W21_2024</v>
      </c>
      <c r="P107" s="34" t="str">
        <f t="shared" ca="1" si="20"/>
        <v>up 30 days</v>
      </c>
    </row>
    <row r="108" spans="1:16" s="34" customFormat="1" ht="15" x14ac:dyDescent="0.25">
      <c r="A108" s="34" t="s">
        <v>58</v>
      </c>
      <c r="B108" s="34" t="s">
        <v>665</v>
      </c>
      <c r="C108" s="34" t="s">
        <v>264</v>
      </c>
      <c r="D108" s="34" t="s">
        <v>79</v>
      </c>
      <c r="F108" s="34" t="s">
        <v>35</v>
      </c>
      <c r="G108" s="629">
        <v>2216.317</v>
      </c>
      <c r="H108" s="257">
        <f>IF(F108="TND",1,IF(F108="EUR",Vertical_Cash_flow!$C$16,IF(F108="USD",Vertical_Cash_flow!$F$16,0)))</f>
        <v>1</v>
      </c>
      <c r="I108" s="257">
        <f t="shared" si="17"/>
        <v>2216.317</v>
      </c>
      <c r="J108" s="34" t="s">
        <v>252</v>
      </c>
      <c r="K108" s="409">
        <v>45358</v>
      </c>
      <c r="L108" s="257">
        <f t="shared" si="18"/>
        <v>78</v>
      </c>
      <c r="M108" s="628">
        <v>45436</v>
      </c>
      <c r="N108" s="412">
        <f t="shared" ca="1" si="19"/>
        <v>5</v>
      </c>
      <c r="O108" s="34" t="str">
        <f>VLOOKUP(M108,Mapping!L:M,2,0)</f>
        <v>W21_2024</v>
      </c>
      <c r="P108" s="34" t="str">
        <f t="shared" ca="1" si="20"/>
        <v>up 30 days</v>
      </c>
    </row>
    <row r="109" spans="1:16" s="34" customFormat="1" ht="15" x14ac:dyDescent="0.25">
      <c r="A109" s="34" t="s">
        <v>58</v>
      </c>
      <c r="B109" s="34" t="s">
        <v>665</v>
      </c>
      <c r="C109" s="34" t="s">
        <v>264</v>
      </c>
      <c r="D109" s="34" t="s">
        <v>79</v>
      </c>
      <c r="F109" s="34" t="s">
        <v>35</v>
      </c>
      <c r="G109" s="629">
        <v>239.476</v>
      </c>
      <c r="H109" s="257">
        <f>IF(F109="TND",1,IF(F109="EUR",Vertical_Cash_flow!$C$16,IF(F109="USD",Vertical_Cash_flow!$F$16,0)))</f>
        <v>1</v>
      </c>
      <c r="I109" s="257">
        <f t="shared" si="17"/>
        <v>239.476</v>
      </c>
      <c r="J109" s="34" t="s">
        <v>252</v>
      </c>
      <c r="K109" s="409">
        <v>45379</v>
      </c>
      <c r="L109" s="257">
        <f t="shared" si="18"/>
        <v>57</v>
      </c>
      <c r="M109" s="628">
        <v>45436</v>
      </c>
      <c r="N109" s="412">
        <f t="shared" ca="1" si="19"/>
        <v>5</v>
      </c>
      <c r="O109" s="34" t="str">
        <f>VLOOKUP(M109,Mapping!L:M,2,0)</f>
        <v>W21_2024</v>
      </c>
      <c r="P109" s="34" t="str">
        <f t="shared" ca="1" si="20"/>
        <v>up 30 days</v>
      </c>
    </row>
    <row r="110" spans="1:16" s="34" customFormat="1" ht="15" x14ac:dyDescent="0.25">
      <c r="A110" s="34" t="s">
        <v>58</v>
      </c>
      <c r="B110" s="626" t="s">
        <v>743</v>
      </c>
      <c r="C110" s="34" t="s">
        <v>264</v>
      </c>
      <c r="D110" s="34" t="s">
        <v>79</v>
      </c>
      <c r="F110" s="34" t="s">
        <v>35</v>
      </c>
      <c r="G110" s="627">
        <v>2408.2510000000002</v>
      </c>
      <c r="H110" s="257">
        <f>IF(F110="TND",1,IF(F110="EUR",Vertical_Cash_flow!$C$16,IF(F110="USD",Vertical_Cash_flow!$F$16,0)))</f>
        <v>1</v>
      </c>
      <c r="I110" s="257">
        <f t="shared" si="17"/>
        <v>2408.2510000000002</v>
      </c>
      <c r="J110" s="34" t="s">
        <v>252</v>
      </c>
      <c r="K110" s="628">
        <v>45345</v>
      </c>
      <c r="L110" s="257">
        <f t="shared" si="18"/>
        <v>91</v>
      </c>
      <c r="M110" s="628">
        <v>45436</v>
      </c>
      <c r="N110" s="412">
        <f t="shared" ca="1" si="19"/>
        <v>5</v>
      </c>
      <c r="O110" s="34" t="str">
        <f>VLOOKUP(M110,Mapping!L:M,2,0)</f>
        <v>W21_2024</v>
      </c>
      <c r="P110" s="34" t="str">
        <f t="shared" ca="1" si="20"/>
        <v>up 30 days</v>
      </c>
    </row>
    <row r="111" spans="1:16" s="34" customFormat="1" ht="15" x14ac:dyDescent="0.25">
      <c r="A111" s="34" t="s">
        <v>58</v>
      </c>
      <c r="B111" s="34" t="s">
        <v>743</v>
      </c>
      <c r="C111" s="34" t="s">
        <v>264</v>
      </c>
      <c r="D111" s="34" t="s">
        <v>79</v>
      </c>
      <c r="F111" s="34" t="s">
        <v>35</v>
      </c>
      <c r="G111" s="629">
        <v>1049.201</v>
      </c>
      <c r="H111" s="257">
        <f>IF(F111="TND",1,IF(F111="EUR",Vertical_Cash_flow!$C$16,IF(F111="USD",Vertical_Cash_flow!$F$16,0)))</f>
        <v>1</v>
      </c>
      <c r="I111" s="257">
        <f t="shared" si="17"/>
        <v>1049.201</v>
      </c>
      <c r="J111" s="34" t="s">
        <v>252</v>
      </c>
      <c r="K111" s="409">
        <v>45397</v>
      </c>
      <c r="L111" s="257">
        <f t="shared" si="18"/>
        <v>39</v>
      </c>
      <c r="M111" s="628">
        <v>45436</v>
      </c>
      <c r="N111" s="412">
        <f t="shared" ca="1" si="19"/>
        <v>5</v>
      </c>
      <c r="O111" s="34" t="str">
        <f>VLOOKUP(M111,Mapping!L:M,2,0)</f>
        <v>W21_2024</v>
      </c>
      <c r="P111" s="34" t="str">
        <f t="shared" ca="1" si="20"/>
        <v>up 30 days</v>
      </c>
    </row>
    <row r="112" spans="1:16" s="34" customFormat="1" ht="15" x14ac:dyDescent="0.25">
      <c r="A112" s="34" t="s">
        <v>58</v>
      </c>
      <c r="B112" s="34" t="s">
        <v>3752</v>
      </c>
      <c r="C112" s="34" t="s">
        <v>264</v>
      </c>
      <c r="D112" s="34" t="s">
        <v>79</v>
      </c>
      <c r="F112" s="34" t="s">
        <v>35</v>
      </c>
      <c r="G112" s="629">
        <v>4332</v>
      </c>
      <c r="H112" s="257">
        <f>IF(F112="TND",1,IF(F112="EUR",Vertical_Cash_flow!$C$16,IF(F112="USD",Vertical_Cash_flow!$F$16,0)))</f>
        <v>1</v>
      </c>
      <c r="I112" s="257">
        <f t="shared" si="17"/>
        <v>4332</v>
      </c>
      <c r="J112" s="34" t="s">
        <v>252</v>
      </c>
      <c r="K112" s="409">
        <v>45412</v>
      </c>
      <c r="L112" s="257">
        <f t="shared" si="18"/>
        <v>24</v>
      </c>
      <c r="M112" s="628">
        <v>45436</v>
      </c>
      <c r="N112" s="412">
        <f t="shared" ca="1" si="19"/>
        <v>5</v>
      </c>
      <c r="O112" s="34" t="str">
        <f>VLOOKUP(M112,Mapping!L:M,2,0)</f>
        <v>W21_2024</v>
      </c>
      <c r="P112" s="34" t="str">
        <f t="shared" ca="1" si="20"/>
        <v>up 30 days</v>
      </c>
    </row>
    <row r="113" spans="1:16" s="34" customFormat="1" ht="15" x14ac:dyDescent="0.25">
      <c r="A113" s="34" t="s">
        <v>58</v>
      </c>
      <c r="B113" s="34" t="s">
        <v>3752</v>
      </c>
      <c r="C113" s="34" t="s">
        <v>264</v>
      </c>
      <c r="D113" s="34" t="s">
        <v>79</v>
      </c>
      <c r="F113" s="34" t="s">
        <v>35</v>
      </c>
      <c r="G113" s="629">
        <v>4332</v>
      </c>
      <c r="H113" s="257">
        <f>IF(F113="TND",1,IF(F113="EUR",Vertical_Cash_flow!$C$16,IF(F113="USD",Vertical_Cash_flow!$F$16,0)))</f>
        <v>1</v>
      </c>
      <c r="I113" s="257">
        <f t="shared" si="17"/>
        <v>4332</v>
      </c>
      <c r="J113" s="34" t="s">
        <v>252</v>
      </c>
      <c r="K113" s="409">
        <v>45427</v>
      </c>
      <c r="L113" s="257">
        <f t="shared" si="18"/>
        <v>9</v>
      </c>
      <c r="M113" s="628">
        <v>45436</v>
      </c>
      <c r="N113" s="412">
        <f t="shared" ca="1" si="19"/>
        <v>5</v>
      </c>
      <c r="O113" s="34" t="str">
        <f>VLOOKUP(M113,Mapping!L:M,2,0)</f>
        <v>W21_2024</v>
      </c>
      <c r="P113" s="34" t="str">
        <f t="shared" ca="1" si="20"/>
        <v>up 30 days</v>
      </c>
    </row>
    <row r="114" spans="1:16" s="34" customFormat="1" ht="15" x14ac:dyDescent="0.25">
      <c r="A114" s="34" t="s">
        <v>58</v>
      </c>
      <c r="B114" s="34" t="s">
        <v>3753</v>
      </c>
      <c r="C114" s="34" t="s">
        <v>264</v>
      </c>
      <c r="D114" s="34" t="s">
        <v>79</v>
      </c>
      <c r="F114" s="34" t="s">
        <v>35</v>
      </c>
      <c r="G114" s="629">
        <v>12376.848</v>
      </c>
      <c r="H114" s="257">
        <f>IF(F114="TND",1,IF(F114="EUR",Vertical_Cash_flow!$C$16,IF(F114="USD",Vertical_Cash_flow!$F$16,0)))</f>
        <v>1</v>
      </c>
      <c r="I114" s="257">
        <f t="shared" si="17"/>
        <v>12376.848</v>
      </c>
      <c r="J114" s="34" t="s">
        <v>252</v>
      </c>
      <c r="K114" s="409">
        <v>45418</v>
      </c>
      <c r="L114" s="257">
        <f t="shared" si="18"/>
        <v>18</v>
      </c>
      <c r="M114" s="628">
        <v>45436</v>
      </c>
      <c r="N114" s="412">
        <f t="shared" ca="1" si="19"/>
        <v>5</v>
      </c>
      <c r="O114" s="34" t="str">
        <f>VLOOKUP(M114,Mapping!L:M,2,0)</f>
        <v>W21_2024</v>
      </c>
      <c r="P114" s="34" t="str">
        <f t="shared" ca="1" si="20"/>
        <v>up 30 days</v>
      </c>
    </row>
    <row r="115" spans="1:16" s="34" customFormat="1" ht="15" x14ac:dyDescent="0.25">
      <c r="A115" s="34" t="s">
        <v>58</v>
      </c>
      <c r="B115" s="34" t="s">
        <v>767</v>
      </c>
      <c r="C115" s="34" t="s">
        <v>264</v>
      </c>
      <c r="D115" s="34" t="s">
        <v>79</v>
      </c>
      <c r="F115" s="34" t="s">
        <v>35</v>
      </c>
      <c r="G115" s="629">
        <v>155.59200000000001</v>
      </c>
      <c r="H115" s="257">
        <f>IF(F115="TND",1,IF(F115="EUR",Vertical_Cash_flow!$C$16,IF(F115="USD",Vertical_Cash_flow!$F$16,0)))</f>
        <v>1</v>
      </c>
      <c r="I115" s="257">
        <f t="shared" si="17"/>
        <v>155.59200000000001</v>
      </c>
      <c r="J115" s="34" t="s">
        <v>252</v>
      </c>
      <c r="K115" s="409">
        <v>45420</v>
      </c>
      <c r="L115" s="257">
        <f t="shared" si="18"/>
        <v>16</v>
      </c>
      <c r="M115" s="628">
        <v>45436</v>
      </c>
      <c r="N115" s="412">
        <f t="shared" ca="1" si="19"/>
        <v>5</v>
      </c>
      <c r="O115" s="34" t="str">
        <f>VLOOKUP(M115,Mapping!L:M,2,0)</f>
        <v>W21_2024</v>
      </c>
      <c r="P115" s="34" t="str">
        <f t="shared" ca="1" si="20"/>
        <v>up 30 days</v>
      </c>
    </row>
    <row r="116" spans="1:16" s="34" customFormat="1" ht="15" x14ac:dyDescent="0.25">
      <c r="A116" s="34" t="s">
        <v>58</v>
      </c>
      <c r="B116" s="34" t="s">
        <v>767</v>
      </c>
      <c r="C116" s="34" t="s">
        <v>264</v>
      </c>
      <c r="D116" s="34" t="s">
        <v>79</v>
      </c>
      <c r="F116" s="34" t="s">
        <v>35</v>
      </c>
      <c r="G116" s="629">
        <v>428.89499999999998</v>
      </c>
      <c r="H116" s="257">
        <f>IF(F116="TND",1,IF(F116="EUR",Vertical_Cash_flow!$C$16,IF(F116="USD",Vertical_Cash_flow!$F$16,0)))</f>
        <v>1</v>
      </c>
      <c r="I116" s="257">
        <f t="shared" si="17"/>
        <v>428.89499999999998</v>
      </c>
      <c r="J116" s="34" t="s">
        <v>252</v>
      </c>
      <c r="K116" s="409">
        <v>45420</v>
      </c>
      <c r="L116" s="257">
        <f t="shared" si="18"/>
        <v>16</v>
      </c>
      <c r="M116" s="628">
        <v>45436</v>
      </c>
      <c r="N116" s="412">
        <f t="shared" ca="1" si="19"/>
        <v>5</v>
      </c>
      <c r="O116" s="34" t="str">
        <f>VLOOKUP(M116,Mapping!L:M,2,0)</f>
        <v>W21_2024</v>
      </c>
      <c r="P116" s="34" t="str">
        <f t="shared" ca="1" si="20"/>
        <v>up 30 days</v>
      </c>
    </row>
    <row r="117" spans="1:16" s="34" customFormat="1" ht="15" x14ac:dyDescent="0.25">
      <c r="A117" s="34" t="s">
        <v>58</v>
      </c>
      <c r="B117" s="34" t="s">
        <v>767</v>
      </c>
      <c r="C117" s="34" t="s">
        <v>264</v>
      </c>
      <c r="D117" s="34" t="s">
        <v>79</v>
      </c>
      <c r="F117" s="34" t="s">
        <v>35</v>
      </c>
      <c r="G117" s="629">
        <v>79.823999999999998</v>
      </c>
      <c r="H117" s="257">
        <f>IF(F117="TND",1,IF(F117="EUR",Vertical_Cash_flow!$C$16,IF(F117="USD",Vertical_Cash_flow!$F$16,0)))</f>
        <v>1</v>
      </c>
      <c r="I117" s="257">
        <f t="shared" si="17"/>
        <v>79.823999999999998</v>
      </c>
      <c r="J117" s="34" t="s">
        <v>252</v>
      </c>
      <c r="K117" s="409">
        <v>45420</v>
      </c>
      <c r="L117" s="257">
        <f t="shared" si="18"/>
        <v>16</v>
      </c>
      <c r="M117" s="628">
        <v>45436</v>
      </c>
      <c r="N117" s="412">
        <f t="shared" ca="1" si="19"/>
        <v>5</v>
      </c>
      <c r="O117" s="34" t="str">
        <f>VLOOKUP(M117,Mapping!L:M,2,0)</f>
        <v>W21_2024</v>
      </c>
      <c r="P117" s="34" t="str">
        <f t="shared" ca="1" si="20"/>
        <v>up 30 days</v>
      </c>
    </row>
    <row r="118" spans="1:16" s="34" customFormat="1" ht="15" x14ac:dyDescent="0.25">
      <c r="A118" s="34" t="s">
        <v>58</v>
      </c>
      <c r="B118" s="34" t="s">
        <v>767</v>
      </c>
      <c r="C118" s="34" t="s">
        <v>264</v>
      </c>
      <c r="D118" s="34" t="s">
        <v>79</v>
      </c>
      <c r="F118" s="34" t="s">
        <v>35</v>
      </c>
      <c r="G118" s="629">
        <v>54.942</v>
      </c>
      <c r="H118" s="257">
        <f>IF(F118="TND",1,IF(F118="EUR",Vertical_Cash_flow!$C$16,IF(F118="USD",Vertical_Cash_flow!$F$16,0)))</f>
        <v>1</v>
      </c>
      <c r="I118" s="257">
        <f t="shared" si="17"/>
        <v>54.942</v>
      </c>
      <c r="J118" s="34" t="s">
        <v>252</v>
      </c>
      <c r="K118" s="409">
        <v>45420</v>
      </c>
      <c r="L118" s="257">
        <f t="shared" si="18"/>
        <v>16</v>
      </c>
      <c r="M118" s="628">
        <v>45436</v>
      </c>
      <c r="N118" s="412">
        <f t="shared" ca="1" si="19"/>
        <v>5</v>
      </c>
      <c r="O118" s="34" t="str">
        <f>VLOOKUP(M118,Mapping!L:M,2,0)</f>
        <v>W21_2024</v>
      </c>
      <c r="P118" s="34" t="str">
        <f t="shared" ca="1" si="20"/>
        <v>up 30 days</v>
      </c>
    </row>
    <row r="119" spans="1:16" s="34" customFormat="1" ht="15" x14ac:dyDescent="0.25">
      <c r="A119" s="34" t="s">
        <v>58</v>
      </c>
      <c r="B119" s="34" t="s">
        <v>767</v>
      </c>
      <c r="C119" s="34" t="s">
        <v>264</v>
      </c>
      <c r="D119" s="34" t="s">
        <v>79</v>
      </c>
      <c r="F119" s="34" t="s">
        <v>35</v>
      </c>
      <c r="G119" s="629">
        <v>887.33699999999999</v>
      </c>
      <c r="H119" s="257">
        <f>IF(F119="TND",1,IF(F119="EUR",Vertical_Cash_flow!$C$16,IF(F119="USD",Vertical_Cash_flow!$F$16,0)))</f>
        <v>1</v>
      </c>
      <c r="I119" s="257">
        <f t="shared" si="17"/>
        <v>887.33699999999999</v>
      </c>
      <c r="J119" s="34" t="s">
        <v>252</v>
      </c>
      <c r="K119" s="409">
        <v>45420</v>
      </c>
      <c r="L119" s="257">
        <f t="shared" si="18"/>
        <v>16</v>
      </c>
      <c r="M119" s="628">
        <v>45436</v>
      </c>
      <c r="N119" s="412">
        <f t="shared" ca="1" si="19"/>
        <v>5</v>
      </c>
      <c r="O119" s="34" t="str">
        <f>VLOOKUP(M119,Mapping!L:M,2,0)</f>
        <v>W21_2024</v>
      </c>
      <c r="P119" s="34" t="str">
        <f t="shared" ca="1" si="20"/>
        <v>up 30 days</v>
      </c>
    </row>
    <row r="120" spans="1:16" s="34" customFormat="1" ht="15" x14ac:dyDescent="0.25">
      <c r="A120" s="34" t="s">
        <v>58</v>
      </c>
      <c r="B120" s="34" t="s">
        <v>767</v>
      </c>
      <c r="C120" s="34" t="s">
        <v>264</v>
      </c>
      <c r="D120" s="34" t="s">
        <v>79</v>
      </c>
      <c r="F120" s="34" t="s">
        <v>35</v>
      </c>
      <c r="G120" s="629">
        <v>890</v>
      </c>
      <c r="H120" s="257">
        <f>IF(F120="TND",1,IF(F120="EUR",Vertical_Cash_flow!$C$16,IF(F120="USD",Vertical_Cash_flow!$F$16,0)))</f>
        <v>1</v>
      </c>
      <c r="I120" s="257">
        <f t="shared" si="17"/>
        <v>890</v>
      </c>
      <c r="J120" s="34" t="s">
        <v>252</v>
      </c>
      <c r="K120" s="409">
        <v>45420</v>
      </c>
      <c r="L120" s="257">
        <f t="shared" si="18"/>
        <v>16</v>
      </c>
      <c r="M120" s="628">
        <v>45436</v>
      </c>
      <c r="N120" s="412">
        <f t="shared" ca="1" si="19"/>
        <v>5</v>
      </c>
      <c r="O120" s="34" t="str">
        <f>VLOOKUP(M120,Mapping!L:M,2,0)</f>
        <v>W21_2024</v>
      </c>
      <c r="P120" s="34" t="str">
        <f t="shared" ca="1" si="20"/>
        <v>up 30 days</v>
      </c>
    </row>
    <row r="121" spans="1:16" s="34" customFormat="1" ht="15" x14ac:dyDescent="0.25">
      <c r="A121" s="34" t="s">
        <v>58</v>
      </c>
      <c r="B121" s="34" t="s">
        <v>3757</v>
      </c>
      <c r="C121" s="34" t="s">
        <v>264</v>
      </c>
      <c r="D121" s="34" t="s">
        <v>79</v>
      </c>
      <c r="F121" s="34" t="s">
        <v>35</v>
      </c>
      <c r="G121" s="629">
        <v>2434.9749999999999</v>
      </c>
      <c r="H121" s="257">
        <f>IF(F121="TND",1,IF(F121="EUR",Vertical_Cash_flow!$C$16,IF(F121="USD",Vertical_Cash_flow!$F$16,0)))</f>
        <v>1</v>
      </c>
      <c r="I121" s="257">
        <f t="shared" si="17"/>
        <v>2434.9749999999999</v>
      </c>
      <c r="J121" s="34" t="s">
        <v>252</v>
      </c>
      <c r="K121" s="409">
        <v>45419</v>
      </c>
      <c r="L121" s="257">
        <f t="shared" si="18"/>
        <v>17</v>
      </c>
      <c r="M121" s="628">
        <v>45436</v>
      </c>
      <c r="N121" s="412">
        <f t="shared" ca="1" si="19"/>
        <v>5</v>
      </c>
      <c r="O121" s="34" t="str">
        <f>VLOOKUP(M121,Mapping!L:M,2,0)</f>
        <v>W21_2024</v>
      </c>
      <c r="P121" s="34" t="str">
        <f t="shared" ca="1" si="20"/>
        <v>up 30 days</v>
      </c>
    </row>
    <row r="122" spans="1:16" s="34" customFormat="1" ht="15" x14ac:dyDescent="0.25">
      <c r="A122" s="34" t="s">
        <v>58</v>
      </c>
      <c r="B122" s="34" t="s">
        <v>3757</v>
      </c>
      <c r="C122" s="34" t="s">
        <v>264</v>
      </c>
      <c r="D122" s="34" t="s">
        <v>79</v>
      </c>
      <c r="F122" s="34" t="s">
        <v>35</v>
      </c>
      <c r="G122" s="629">
        <v>1281.328</v>
      </c>
      <c r="H122" s="257">
        <f>IF(F122="TND",1,IF(F122="EUR",Vertical_Cash_flow!$C$16,IF(F122="USD",Vertical_Cash_flow!$F$16,0)))</f>
        <v>1</v>
      </c>
      <c r="I122" s="257">
        <f t="shared" si="17"/>
        <v>1281.328</v>
      </c>
      <c r="J122" s="34" t="s">
        <v>252</v>
      </c>
      <c r="K122" s="409">
        <v>45432</v>
      </c>
      <c r="L122" s="257">
        <f t="shared" si="18"/>
        <v>4</v>
      </c>
      <c r="M122" s="628">
        <v>45436</v>
      </c>
      <c r="N122" s="412">
        <f t="shared" ca="1" si="19"/>
        <v>5</v>
      </c>
      <c r="O122" s="34" t="str">
        <f>VLOOKUP(M122,Mapping!L:M,2,0)</f>
        <v>W21_2024</v>
      </c>
      <c r="P122" s="34" t="str">
        <f t="shared" ca="1" si="20"/>
        <v>up 30 days</v>
      </c>
    </row>
    <row r="123" spans="1:16" s="34" customFormat="1" ht="15" x14ac:dyDescent="0.25">
      <c r="A123" s="34" t="s">
        <v>58</v>
      </c>
      <c r="B123" s="34" t="s">
        <v>3758</v>
      </c>
      <c r="C123" s="34" t="s">
        <v>264</v>
      </c>
      <c r="D123" s="34" t="s">
        <v>79</v>
      </c>
      <c r="F123" s="34" t="s">
        <v>35</v>
      </c>
      <c r="G123" s="629">
        <v>778</v>
      </c>
      <c r="H123" s="257">
        <f>IF(F123="TND",1,IF(F123="EUR",Vertical_Cash_flow!$C$16,IF(F123="USD",Vertical_Cash_flow!$F$16,0)))</f>
        <v>1</v>
      </c>
      <c r="I123" s="257">
        <f t="shared" si="17"/>
        <v>778</v>
      </c>
      <c r="J123" s="34" t="s">
        <v>252</v>
      </c>
      <c r="K123" s="409">
        <v>45427</v>
      </c>
      <c r="L123" s="257">
        <f t="shared" si="18"/>
        <v>9</v>
      </c>
      <c r="M123" s="628">
        <v>45436</v>
      </c>
      <c r="N123" s="412">
        <f t="shared" ca="1" si="19"/>
        <v>5</v>
      </c>
      <c r="O123" s="34" t="str">
        <f>VLOOKUP(M123,Mapping!L:M,2,0)</f>
        <v>W21_2024</v>
      </c>
      <c r="P123" s="34" t="str">
        <f t="shared" ca="1" si="20"/>
        <v>up 30 days</v>
      </c>
    </row>
    <row r="124" spans="1:16" s="34" customFormat="1" ht="15" x14ac:dyDescent="0.25">
      <c r="A124" s="34" t="s">
        <v>58</v>
      </c>
      <c r="B124" s="34" t="s">
        <v>973</v>
      </c>
      <c r="C124" s="34" t="s">
        <v>264</v>
      </c>
      <c r="D124" s="34" t="s">
        <v>79</v>
      </c>
      <c r="F124" s="34" t="s">
        <v>35</v>
      </c>
      <c r="G124" s="629">
        <v>1169.9359999999999</v>
      </c>
      <c r="H124" s="257">
        <f>IF(F124="TND",1,IF(F124="EUR",Vertical_Cash_flow!$C$16,IF(F124="USD",Vertical_Cash_flow!$F$16,0)))</f>
        <v>1</v>
      </c>
      <c r="I124" s="257">
        <f t="shared" si="17"/>
        <v>1169.9359999999999</v>
      </c>
      <c r="J124" s="34" t="s">
        <v>252</v>
      </c>
      <c r="K124" s="409">
        <v>45427</v>
      </c>
      <c r="L124" s="257">
        <f t="shared" si="18"/>
        <v>9</v>
      </c>
      <c r="M124" s="628">
        <v>45436</v>
      </c>
      <c r="N124" s="412">
        <f t="shared" ca="1" si="19"/>
        <v>5</v>
      </c>
      <c r="O124" s="34" t="str">
        <f>VLOOKUP(M124,Mapping!L:M,2,0)</f>
        <v>W21_2024</v>
      </c>
      <c r="P124" s="34" t="str">
        <f t="shared" ca="1" si="20"/>
        <v>up 30 days</v>
      </c>
    </row>
    <row r="125" spans="1:16" s="34" customFormat="1" ht="15" customHeight="1" x14ac:dyDescent="0.25">
      <c r="A125" s="34" t="s">
        <v>58</v>
      </c>
      <c r="B125" s="34" t="s">
        <v>3767</v>
      </c>
      <c r="C125" s="34" t="s">
        <v>264</v>
      </c>
      <c r="D125" s="34" t="s">
        <v>79</v>
      </c>
      <c r="F125" s="34" t="s">
        <v>35</v>
      </c>
      <c r="G125" s="629">
        <v>7730.1509999999998</v>
      </c>
      <c r="H125" s="257">
        <f>IF(F125="TND",1,IF(F125="EUR",Vertical_Cash_flow!$C$16,IF(F125="USD",Vertical_Cash_flow!$F$16,0)))</f>
        <v>1</v>
      </c>
      <c r="I125" s="257">
        <f t="shared" si="17"/>
        <v>7730.1509999999998</v>
      </c>
      <c r="J125" s="34" t="s">
        <v>252</v>
      </c>
      <c r="K125" s="409">
        <v>45415</v>
      </c>
      <c r="L125" s="257">
        <f t="shared" si="18"/>
        <v>21</v>
      </c>
      <c r="M125" s="628">
        <v>45436</v>
      </c>
      <c r="N125" s="412">
        <f t="shared" ca="1" si="19"/>
        <v>5</v>
      </c>
      <c r="O125" s="34" t="str">
        <f>VLOOKUP(M125,Mapping!L:M,2,0)</f>
        <v>W21_2024</v>
      </c>
      <c r="P125" s="34" t="str">
        <f t="shared" ca="1" si="20"/>
        <v>up 30 days</v>
      </c>
    </row>
    <row r="126" spans="1:16" s="34" customFormat="1" ht="15" x14ac:dyDescent="0.25">
      <c r="A126" s="34" t="s">
        <v>58</v>
      </c>
      <c r="B126" s="34" t="s">
        <v>3760</v>
      </c>
      <c r="C126" s="34" t="s">
        <v>264</v>
      </c>
      <c r="D126" s="34" t="s">
        <v>79</v>
      </c>
      <c r="F126" s="34" t="s">
        <v>35</v>
      </c>
      <c r="G126" s="629">
        <v>477.16</v>
      </c>
      <c r="H126" s="257">
        <f>IF(F126="TND",1,IF(F126="EUR",Vertical_Cash_flow!$C$16,IF(F126="USD",Vertical_Cash_flow!$F$16,0)))</f>
        <v>1</v>
      </c>
      <c r="I126" s="257">
        <f t="shared" si="17"/>
        <v>477.16</v>
      </c>
      <c r="J126" s="34" t="s">
        <v>252</v>
      </c>
      <c r="K126" s="409">
        <v>45432</v>
      </c>
      <c r="L126" s="257">
        <f t="shared" si="18"/>
        <v>4</v>
      </c>
      <c r="M126" s="628">
        <v>45436</v>
      </c>
      <c r="N126" s="412">
        <f t="shared" ca="1" si="19"/>
        <v>5</v>
      </c>
      <c r="O126" s="34" t="str">
        <f>VLOOKUP(M126,Mapping!L:M,2,0)</f>
        <v>W21_2024</v>
      </c>
      <c r="P126" s="34" t="str">
        <f t="shared" ca="1" si="20"/>
        <v>up 30 days</v>
      </c>
    </row>
    <row r="127" spans="1:16" s="34" customFormat="1" ht="15" x14ac:dyDescent="0.25">
      <c r="A127" s="34" t="s">
        <v>58</v>
      </c>
      <c r="B127" s="34" t="s">
        <v>2997</v>
      </c>
      <c r="C127" s="34" t="s">
        <v>264</v>
      </c>
      <c r="D127" s="34" t="s">
        <v>79</v>
      </c>
      <c r="F127" s="34" t="s">
        <v>35</v>
      </c>
      <c r="G127" s="629">
        <v>4000</v>
      </c>
      <c r="H127" s="257">
        <f>IF(F127="TND",1,IF(F127="EUR",Vertical_Cash_flow!$C$16,IF(F127="USD",Vertical_Cash_flow!$F$16,0)))</f>
        <v>1</v>
      </c>
      <c r="I127" s="257">
        <f t="shared" si="17"/>
        <v>4000</v>
      </c>
      <c r="J127" s="34" t="s">
        <v>252</v>
      </c>
      <c r="K127" s="409">
        <v>45406</v>
      </c>
      <c r="L127" s="257">
        <f t="shared" si="18"/>
        <v>30</v>
      </c>
      <c r="M127" s="628">
        <v>45436</v>
      </c>
      <c r="N127" s="412">
        <f t="shared" ca="1" si="19"/>
        <v>5</v>
      </c>
      <c r="O127" s="34" t="str">
        <f>VLOOKUP(M127,Mapping!L:M,2,0)</f>
        <v>W21_2024</v>
      </c>
      <c r="P127" s="34" t="str">
        <f t="shared" ca="1" si="20"/>
        <v>up 30 days</v>
      </c>
    </row>
    <row r="128" spans="1:16" s="34" customFormat="1" ht="15" x14ac:dyDescent="0.25">
      <c r="A128" s="34" t="s">
        <v>58</v>
      </c>
      <c r="B128" s="34" t="s">
        <v>2997</v>
      </c>
      <c r="C128" s="34" t="s">
        <v>264</v>
      </c>
      <c r="D128" s="34" t="s">
        <v>79</v>
      </c>
      <c r="F128" s="34" t="s">
        <v>35</v>
      </c>
      <c r="G128" s="629">
        <v>2000</v>
      </c>
      <c r="H128" s="257">
        <f>IF(F128="TND",1,IF(F128="EUR",Vertical_Cash_flow!$C$16,IF(F128="USD",Vertical_Cash_flow!$F$16,0)))</f>
        <v>1</v>
      </c>
      <c r="I128" s="257">
        <f t="shared" si="17"/>
        <v>2000</v>
      </c>
      <c r="J128" s="34" t="s">
        <v>252</v>
      </c>
      <c r="K128" s="409">
        <v>45411</v>
      </c>
      <c r="L128" s="257">
        <f t="shared" si="18"/>
        <v>25</v>
      </c>
      <c r="M128" s="628">
        <v>45436</v>
      </c>
      <c r="N128" s="412">
        <f t="shared" ca="1" si="19"/>
        <v>5</v>
      </c>
      <c r="O128" s="34" t="str">
        <f>VLOOKUP(M128,Mapping!L:M,2,0)</f>
        <v>W21_2024</v>
      </c>
      <c r="P128" s="34" t="str">
        <f t="shared" ca="1" si="20"/>
        <v>up 30 days</v>
      </c>
    </row>
    <row r="129" spans="1:16" s="34" customFormat="1" ht="15" x14ac:dyDescent="0.25">
      <c r="A129" s="34" t="s">
        <v>58</v>
      </c>
      <c r="B129" s="34" t="s">
        <v>2997</v>
      </c>
      <c r="C129" s="34" t="s">
        <v>264</v>
      </c>
      <c r="D129" s="34" t="s">
        <v>79</v>
      </c>
      <c r="F129" s="34" t="s">
        <v>35</v>
      </c>
      <c r="G129" s="629">
        <v>4000</v>
      </c>
      <c r="H129" s="257">
        <f>IF(F129="TND",1,IF(F129="EUR",Vertical_Cash_flow!$C$16,IF(F129="USD",Vertical_Cash_flow!$F$16,0)))</f>
        <v>1</v>
      </c>
      <c r="I129" s="257">
        <f t="shared" si="17"/>
        <v>4000</v>
      </c>
      <c r="J129" s="34" t="s">
        <v>252</v>
      </c>
      <c r="K129" s="409">
        <v>45420</v>
      </c>
      <c r="L129" s="257">
        <f t="shared" si="18"/>
        <v>16</v>
      </c>
      <c r="M129" s="628">
        <v>45436</v>
      </c>
      <c r="N129" s="412">
        <f t="shared" ca="1" si="19"/>
        <v>5</v>
      </c>
      <c r="O129" s="34" t="str">
        <f>VLOOKUP(M129,Mapping!L:M,2,0)</f>
        <v>W21_2024</v>
      </c>
      <c r="P129" s="34" t="str">
        <f t="shared" ca="1" si="20"/>
        <v>up 30 days</v>
      </c>
    </row>
    <row r="130" spans="1:16" s="34" customFormat="1" ht="15" x14ac:dyDescent="0.25">
      <c r="A130" s="34" t="s">
        <v>58</v>
      </c>
      <c r="B130" s="34" t="s">
        <v>2997</v>
      </c>
      <c r="C130" s="34" t="s">
        <v>264</v>
      </c>
      <c r="D130" s="34" t="s">
        <v>79</v>
      </c>
      <c r="F130" s="34" t="s">
        <v>35</v>
      </c>
      <c r="G130" s="629">
        <v>431.78</v>
      </c>
      <c r="H130" s="257">
        <f>IF(F130="TND",1,IF(F130="EUR",Vertical_Cash_flow!$C$16,IF(F130="USD",Vertical_Cash_flow!$F$16,0)))</f>
        <v>1</v>
      </c>
      <c r="I130" s="257">
        <f t="shared" si="17"/>
        <v>431.78</v>
      </c>
      <c r="J130" s="34" t="s">
        <v>252</v>
      </c>
      <c r="K130" s="409">
        <v>45425</v>
      </c>
      <c r="L130" s="257">
        <f t="shared" si="18"/>
        <v>11</v>
      </c>
      <c r="M130" s="628">
        <v>45436</v>
      </c>
      <c r="N130" s="412">
        <f t="shared" ca="1" si="19"/>
        <v>5</v>
      </c>
      <c r="O130" s="34" t="str">
        <f>VLOOKUP(M130,Mapping!L:M,2,0)</f>
        <v>W21_2024</v>
      </c>
      <c r="P130" s="34" t="str">
        <f t="shared" ca="1" si="20"/>
        <v>up 30 days</v>
      </c>
    </row>
    <row r="131" spans="1:16" s="34" customFormat="1" ht="15" x14ac:dyDescent="0.25">
      <c r="A131" s="34" t="s">
        <v>58</v>
      </c>
      <c r="B131" s="34" t="s">
        <v>2997</v>
      </c>
      <c r="C131" s="34" t="s">
        <v>264</v>
      </c>
      <c r="D131" s="34" t="s">
        <v>79</v>
      </c>
      <c r="F131" s="34" t="s">
        <v>35</v>
      </c>
      <c r="G131" s="629">
        <v>431.78</v>
      </c>
      <c r="H131" s="257">
        <f>IF(F131="TND",1,IF(F131="EUR",Vertical_Cash_flow!$C$16,IF(F131="USD",Vertical_Cash_flow!$F$16,0)))</f>
        <v>1</v>
      </c>
      <c r="I131" s="257">
        <f t="shared" si="17"/>
        <v>431.78</v>
      </c>
      <c r="J131" s="34" t="s">
        <v>252</v>
      </c>
      <c r="K131" s="409">
        <v>45425</v>
      </c>
      <c r="L131" s="257">
        <f t="shared" si="18"/>
        <v>11</v>
      </c>
      <c r="M131" s="628">
        <v>45436</v>
      </c>
      <c r="N131" s="412">
        <f t="shared" ca="1" si="19"/>
        <v>5</v>
      </c>
      <c r="O131" s="34" t="str">
        <f>VLOOKUP(M131,Mapping!L:M,2,0)</f>
        <v>W21_2024</v>
      </c>
      <c r="P131" s="34" t="str">
        <f t="shared" ca="1" si="20"/>
        <v>up 30 days</v>
      </c>
    </row>
    <row r="132" spans="1:16" s="34" customFormat="1" ht="15" x14ac:dyDescent="0.25">
      <c r="A132" s="34" t="s">
        <v>58</v>
      </c>
      <c r="B132" s="34" t="s">
        <v>2997</v>
      </c>
      <c r="C132" s="34" t="s">
        <v>264</v>
      </c>
      <c r="D132" s="34" t="s">
        <v>79</v>
      </c>
      <c r="F132" s="34" t="s">
        <v>35</v>
      </c>
      <c r="G132" s="629">
        <v>2000</v>
      </c>
      <c r="H132" s="257">
        <f>IF(F132="TND",1,IF(F132="EUR",Vertical_Cash_flow!$C$16,IF(F132="USD",Vertical_Cash_flow!$F$16,0)))</f>
        <v>1</v>
      </c>
      <c r="I132" s="257">
        <f t="shared" si="17"/>
        <v>2000</v>
      </c>
      <c r="J132" s="34" t="s">
        <v>252</v>
      </c>
      <c r="K132" s="409">
        <v>45425</v>
      </c>
      <c r="L132" s="257">
        <f t="shared" si="18"/>
        <v>11</v>
      </c>
      <c r="M132" s="628">
        <v>45436</v>
      </c>
      <c r="N132" s="412">
        <f t="shared" ca="1" si="19"/>
        <v>5</v>
      </c>
      <c r="O132" s="34" t="str">
        <f>VLOOKUP(M132,Mapping!L:M,2,0)</f>
        <v>W21_2024</v>
      </c>
      <c r="P132" s="34" t="str">
        <f t="shared" ca="1" si="20"/>
        <v>up 30 days</v>
      </c>
    </row>
    <row r="133" spans="1:16" s="34" customFormat="1" ht="15" x14ac:dyDescent="0.25">
      <c r="A133" s="34" t="s">
        <v>58</v>
      </c>
      <c r="B133" s="34" t="s">
        <v>2997</v>
      </c>
      <c r="C133" s="34" t="s">
        <v>264</v>
      </c>
      <c r="D133" s="34" t="s">
        <v>79</v>
      </c>
      <c r="F133" s="34" t="s">
        <v>35</v>
      </c>
      <c r="G133" s="629">
        <v>2000</v>
      </c>
      <c r="H133" s="257">
        <f>IF(F133="TND",1,IF(F133="EUR",Vertical_Cash_flow!$C$16,IF(F133="USD",Vertical_Cash_flow!$F$16,0)))</f>
        <v>1</v>
      </c>
      <c r="I133" s="257">
        <f t="shared" si="17"/>
        <v>2000</v>
      </c>
      <c r="J133" s="34" t="s">
        <v>252</v>
      </c>
      <c r="K133" s="409">
        <v>45425</v>
      </c>
      <c r="L133" s="257">
        <f t="shared" si="18"/>
        <v>11</v>
      </c>
      <c r="M133" s="628">
        <v>45436</v>
      </c>
      <c r="N133" s="412">
        <f t="shared" ca="1" si="19"/>
        <v>5</v>
      </c>
      <c r="O133" s="34" t="str">
        <f>VLOOKUP(M133,Mapping!L:M,2,0)</f>
        <v>W21_2024</v>
      </c>
      <c r="P133" s="34" t="str">
        <f t="shared" ca="1" si="20"/>
        <v>up 30 days</v>
      </c>
    </row>
    <row r="134" spans="1:16" s="34" customFormat="1" ht="15" x14ac:dyDescent="0.25">
      <c r="A134" s="34" t="s">
        <v>58</v>
      </c>
      <c r="B134" s="34" t="s">
        <v>2997</v>
      </c>
      <c r="C134" s="34" t="s">
        <v>264</v>
      </c>
      <c r="D134" s="34" t="s">
        <v>79</v>
      </c>
      <c r="F134" s="34" t="s">
        <v>35</v>
      </c>
      <c r="G134" s="629">
        <v>431.78</v>
      </c>
      <c r="H134" s="257">
        <f>IF(F134="TND",1,IF(F134="EUR",Vertical_Cash_flow!$C$16,IF(F134="USD",Vertical_Cash_flow!$F$16,0)))</f>
        <v>1</v>
      </c>
      <c r="I134" s="257">
        <f t="shared" si="17"/>
        <v>431.78</v>
      </c>
      <c r="J134" s="34" t="s">
        <v>252</v>
      </c>
      <c r="K134" s="409">
        <v>45425</v>
      </c>
      <c r="L134" s="257">
        <f t="shared" si="18"/>
        <v>11</v>
      </c>
      <c r="M134" s="628">
        <v>45436</v>
      </c>
      <c r="N134" s="412">
        <f t="shared" ca="1" si="19"/>
        <v>5</v>
      </c>
      <c r="O134" s="34" t="str">
        <f>VLOOKUP(M134,Mapping!L:M,2,0)</f>
        <v>W21_2024</v>
      </c>
      <c r="P134" s="34" t="str">
        <f t="shared" ca="1" si="20"/>
        <v>up 30 days</v>
      </c>
    </row>
    <row r="135" spans="1:16" s="34" customFormat="1" ht="15" x14ac:dyDescent="0.25">
      <c r="A135" s="34" t="s">
        <v>58</v>
      </c>
      <c r="B135" s="34" t="s">
        <v>2997</v>
      </c>
      <c r="C135" s="34" t="s">
        <v>264</v>
      </c>
      <c r="D135" s="34" t="s">
        <v>79</v>
      </c>
      <c r="F135" s="34" t="s">
        <v>35</v>
      </c>
      <c r="G135" s="629">
        <v>431.78</v>
      </c>
      <c r="H135" s="257">
        <f>IF(F135="TND",1,IF(F135="EUR",Vertical_Cash_flow!$C$16,IF(F135="USD",Vertical_Cash_flow!$F$16,0)))</f>
        <v>1</v>
      </c>
      <c r="I135" s="257">
        <f t="shared" si="17"/>
        <v>431.78</v>
      </c>
      <c r="J135" s="34" t="s">
        <v>252</v>
      </c>
      <c r="K135" s="409">
        <v>45425</v>
      </c>
      <c r="L135" s="257">
        <f t="shared" si="18"/>
        <v>11</v>
      </c>
      <c r="M135" s="628">
        <v>45436</v>
      </c>
      <c r="N135" s="412">
        <f t="shared" ca="1" si="19"/>
        <v>5</v>
      </c>
      <c r="O135" s="34" t="str">
        <f>VLOOKUP(M135,Mapping!L:M,2,0)</f>
        <v>W21_2024</v>
      </c>
      <c r="P135" s="34" t="str">
        <f t="shared" ca="1" si="20"/>
        <v>up 30 days</v>
      </c>
    </row>
    <row r="136" spans="1:16" s="34" customFormat="1" ht="15" x14ac:dyDescent="0.25">
      <c r="A136" s="34" t="s">
        <v>58</v>
      </c>
      <c r="B136" s="34" t="s">
        <v>2997</v>
      </c>
      <c r="C136" s="34" t="s">
        <v>264</v>
      </c>
      <c r="D136" s="34" t="s">
        <v>79</v>
      </c>
      <c r="F136" s="34" t="s">
        <v>35</v>
      </c>
      <c r="G136" s="629">
        <v>2000</v>
      </c>
      <c r="H136" s="257">
        <f>IF(F136="TND",1,IF(F136="EUR",Vertical_Cash_flow!$C$16,IF(F136="USD",Vertical_Cash_flow!$F$16,0)))</f>
        <v>1</v>
      </c>
      <c r="I136" s="257">
        <f t="shared" si="17"/>
        <v>2000</v>
      </c>
      <c r="J136" s="34" t="s">
        <v>252</v>
      </c>
      <c r="K136" s="409">
        <v>45425</v>
      </c>
      <c r="L136" s="257">
        <f t="shared" si="18"/>
        <v>11</v>
      </c>
      <c r="M136" s="628">
        <v>45436</v>
      </c>
      <c r="N136" s="412">
        <f t="shared" ca="1" si="19"/>
        <v>5</v>
      </c>
      <c r="O136" s="34" t="str">
        <f>VLOOKUP(M136,Mapping!L:M,2,0)</f>
        <v>W21_2024</v>
      </c>
      <c r="P136" s="34" t="str">
        <f t="shared" ca="1" si="20"/>
        <v>up 30 days</v>
      </c>
    </row>
    <row r="137" spans="1:16" s="34" customFormat="1" ht="15" x14ac:dyDescent="0.25">
      <c r="A137" s="34" t="s">
        <v>58</v>
      </c>
      <c r="B137" s="34" t="s">
        <v>2997</v>
      </c>
      <c r="C137" s="34" t="s">
        <v>264</v>
      </c>
      <c r="D137" s="34" t="s">
        <v>79</v>
      </c>
      <c r="F137" s="34" t="s">
        <v>35</v>
      </c>
      <c r="G137" s="629">
        <v>2000</v>
      </c>
      <c r="H137" s="257">
        <f>IF(F137="TND",1,IF(F137="EUR",Vertical_Cash_flow!$C$16,IF(F137="USD",Vertical_Cash_flow!$F$16,0)))</f>
        <v>1</v>
      </c>
      <c r="I137" s="257">
        <f t="shared" si="17"/>
        <v>2000</v>
      </c>
      <c r="J137" s="34" t="s">
        <v>252</v>
      </c>
      <c r="K137" s="409">
        <v>45425</v>
      </c>
      <c r="L137" s="257">
        <f t="shared" si="18"/>
        <v>11</v>
      </c>
      <c r="M137" s="628">
        <v>45436</v>
      </c>
      <c r="N137" s="412">
        <f t="shared" ca="1" si="19"/>
        <v>5</v>
      </c>
      <c r="O137" s="34" t="str">
        <f>VLOOKUP(M137,Mapping!L:M,2,0)</f>
        <v>W21_2024</v>
      </c>
      <c r="P137" s="34" t="str">
        <f t="shared" ca="1" si="20"/>
        <v>up 30 days</v>
      </c>
    </row>
    <row r="138" spans="1:16" s="34" customFormat="1" ht="15" x14ac:dyDescent="0.25">
      <c r="A138" s="34" t="s">
        <v>58</v>
      </c>
      <c r="B138" s="34" t="s">
        <v>2997</v>
      </c>
      <c r="C138" s="34" t="s">
        <v>264</v>
      </c>
      <c r="D138" s="34" t="s">
        <v>79</v>
      </c>
      <c r="F138" s="34" t="s">
        <v>35</v>
      </c>
      <c r="G138" s="629">
        <v>431.78</v>
      </c>
      <c r="H138" s="257">
        <f>IF(F138="TND",1,IF(F138="EUR",Vertical_Cash_flow!$C$16,IF(F138="USD",Vertical_Cash_flow!$F$16,0)))</f>
        <v>1</v>
      </c>
      <c r="I138" s="257">
        <f t="shared" si="17"/>
        <v>431.78</v>
      </c>
      <c r="J138" s="34" t="s">
        <v>252</v>
      </c>
      <c r="K138" s="409">
        <v>45429</v>
      </c>
      <c r="L138" s="257">
        <f t="shared" si="18"/>
        <v>7</v>
      </c>
      <c r="M138" s="628">
        <v>45436</v>
      </c>
      <c r="N138" s="412">
        <f t="shared" ca="1" si="19"/>
        <v>5</v>
      </c>
      <c r="O138" s="34" t="str">
        <f>VLOOKUP(M138,Mapping!L:M,2,0)</f>
        <v>W21_2024</v>
      </c>
      <c r="P138" s="34" t="str">
        <f t="shared" ca="1" si="20"/>
        <v>up 30 days</v>
      </c>
    </row>
    <row r="139" spans="1:16" s="34" customFormat="1" ht="15" x14ac:dyDescent="0.25">
      <c r="A139" s="34" t="s">
        <v>58</v>
      </c>
      <c r="B139" s="34" t="s">
        <v>2997</v>
      </c>
      <c r="C139" s="34" t="s">
        <v>264</v>
      </c>
      <c r="D139" s="34" t="s">
        <v>79</v>
      </c>
      <c r="F139" s="34" t="s">
        <v>35</v>
      </c>
      <c r="G139" s="629">
        <v>2000</v>
      </c>
      <c r="H139" s="257">
        <f>IF(F139="TND",1,IF(F139="EUR",Vertical_Cash_flow!$C$16,IF(F139="USD",Vertical_Cash_flow!$F$16,0)))</f>
        <v>1</v>
      </c>
      <c r="I139" s="257">
        <f t="shared" si="17"/>
        <v>2000</v>
      </c>
      <c r="J139" s="34" t="s">
        <v>252</v>
      </c>
      <c r="K139" s="409">
        <v>45429</v>
      </c>
      <c r="L139" s="257">
        <f t="shared" si="18"/>
        <v>7</v>
      </c>
      <c r="M139" s="628">
        <v>45436</v>
      </c>
      <c r="N139" s="412">
        <f t="shared" ca="1" si="19"/>
        <v>5</v>
      </c>
      <c r="O139" s="34" t="str">
        <f>VLOOKUP(M139,Mapping!L:M,2,0)</f>
        <v>W21_2024</v>
      </c>
      <c r="P139" s="34" t="str">
        <f t="shared" ca="1" si="20"/>
        <v>up 30 days</v>
      </c>
    </row>
    <row r="140" spans="1:16" s="34" customFormat="1" ht="15" x14ac:dyDescent="0.25">
      <c r="A140" s="34" t="s">
        <v>58</v>
      </c>
      <c r="B140" s="34" t="s">
        <v>2997</v>
      </c>
      <c r="C140" s="34" t="s">
        <v>264</v>
      </c>
      <c r="D140" s="34" t="s">
        <v>79</v>
      </c>
      <c r="F140" s="34" t="s">
        <v>35</v>
      </c>
      <c r="G140" s="629">
        <v>1660.203</v>
      </c>
      <c r="H140" s="257">
        <f>IF(F140="TND",1,IF(F140="EUR",Vertical_Cash_flow!$C$16,IF(F140="USD",Vertical_Cash_flow!$F$16,0)))</f>
        <v>1</v>
      </c>
      <c r="I140" s="257">
        <f t="shared" si="17"/>
        <v>1660.203</v>
      </c>
      <c r="J140" s="34" t="s">
        <v>252</v>
      </c>
      <c r="K140" s="409">
        <v>45432</v>
      </c>
      <c r="L140" s="257">
        <f t="shared" si="18"/>
        <v>4</v>
      </c>
      <c r="M140" s="628">
        <v>45436</v>
      </c>
      <c r="N140" s="412">
        <f t="shared" ca="1" si="19"/>
        <v>5</v>
      </c>
      <c r="O140" s="34" t="str">
        <f>VLOOKUP(M140,Mapping!L:M,2,0)</f>
        <v>W21_2024</v>
      </c>
      <c r="P140" s="34" t="str">
        <f t="shared" ca="1" si="20"/>
        <v>up 30 days</v>
      </c>
    </row>
    <row r="141" spans="1:16" s="34" customFormat="1" ht="15" x14ac:dyDescent="0.25">
      <c r="A141" s="34" t="s">
        <v>58</v>
      </c>
      <c r="B141" s="34" t="s">
        <v>3756</v>
      </c>
      <c r="C141" s="34" t="s">
        <v>264</v>
      </c>
      <c r="D141" s="34" t="s">
        <v>79</v>
      </c>
      <c r="F141" s="34" t="s">
        <v>35</v>
      </c>
      <c r="G141" s="629">
        <v>1392.1379999999999</v>
      </c>
      <c r="H141" s="257">
        <f>IF(F141="TND",1,IF(F141="EUR",Vertical_Cash_flow!$C$16,IF(F141="USD",Vertical_Cash_flow!$F$16,0)))</f>
        <v>1</v>
      </c>
      <c r="I141" s="257">
        <f t="shared" si="17"/>
        <v>1392.1379999999999</v>
      </c>
      <c r="J141" s="34" t="s">
        <v>252</v>
      </c>
      <c r="K141" s="409">
        <v>45419</v>
      </c>
      <c r="L141" s="257">
        <f t="shared" si="18"/>
        <v>17</v>
      </c>
      <c r="M141" s="628">
        <v>45436</v>
      </c>
      <c r="N141" s="412">
        <f t="shared" ca="1" si="19"/>
        <v>5</v>
      </c>
      <c r="O141" s="34" t="str">
        <f>VLOOKUP(M141,Mapping!L:M,2,0)</f>
        <v>W21_2024</v>
      </c>
      <c r="P141" s="34" t="str">
        <f t="shared" ca="1" si="20"/>
        <v>up 30 days</v>
      </c>
    </row>
    <row r="142" spans="1:16" s="34" customFormat="1" ht="15" x14ac:dyDescent="0.25">
      <c r="A142" s="34" t="s">
        <v>58</v>
      </c>
      <c r="B142" s="34" t="s">
        <v>3006</v>
      </c>
      <c r="C142" s="34" t="s">
        <v>264</v>
      </c>
      <c r="D142" s="34" t="s">
        <v>79</v>
      </c>
      <c r="F142" s="34" t="s">
        <v>35</v>
      </c>
      <c r="G142" s="629">
        <v>1914.921</v>
      </c>
      <c r="H142" s="257">
        <f>IF(F142="TND",1,IF(F142="EUR",Vertical_Cash_flow!$C$16,IF(F142="USD",Vertical_Cash_flow!$F$16,0)))</f>
        <v>1</v>
      </c>
      <c r="I142" s="257">
        <f t="shared" si="17"/>
        <v>1914.921</v>
      </c>
      <c r="J142" s="34" t="s">
        <v>252</v>
      </c>
      <c r="K142" s="409">
        <v>45407</v>
      </c>
      <c r="L142" s="257">
        <f t="shared" si="18"/>
        <v>29</v>
      </c>
      <c r="M142" s="628">
        <v>45436</v>
      </c>
      <c r="N142" s="412">
        <f t="shared" ca="1" si="19"/>
        <v>5</v>
      </c>
      <c r="O142" s="34" t="str">
        <f>VLOOKUP(M142,Mapping!L:M,2,0)</f>
        <v>W21_2024</v>
      </c>
      <c r="P142" s="34" t="str">
        <f t="shared" ca="1" si="20"/>
        <v>up 30 days</v>
      </c>
    </row>
    <row r="143" spans="1:16" s="34" customFormat="1" ht="15" x14ac:dyDescent="0.25">
      <c r="A143" s="34" t="s">
        <v>58</v>
      </c>
      <c r="B143" s="34" t="s">
        <v>3762</v>
      </c>
      <c r="C143" s="34" t="s">
        <v>264</v>
      </c>
      <c r="D143" s="34" t="s">
        <v>79</v>
      </c>
      <c r="F143" s="34" t="s">
        <v>35</v>
      </c>
      <c r="G143" s="629">
        <v>1577.384</v>
      </c>
      <c r="H143" s="257">
        <f>IF(F143="TND",1,IF(F143="EUR",Vertical_Cash_flow!$C$16,IF(F143="USD",Vertical_Cash_flow!$F$16,0)))</f>
        <v>1</v>
      </c>
      <c r="I143" s="257">
        <f t="shared" si="17"/>
        <v>1577.384</v>
      </c>
      <c r="J143" s="34" t="s">
        <v>252</v>
      </c>
      <c r="K143" s="409">
        <v>45432</v>
      </c>
      <c r="L143" s="257">
        <f t="shared" si="18"/>
        <v>4</v>
      </c>
      <c r="M143" s="628">
        <v>45436</v>
      </c>
      <c r="N143" s="412">
        <f t="shared" ca="1" si="19"/>
        <v>5</v>
      </c>
      <c r="O143" s="34" t="str">
        <f>VLOOKUP(M143,Mapping!L:M,2,0)</f>
        <v>W21_2024</v>
      </c>
      <c r="P143" s="34" t="str">
        <f t="shared" ca="1" si="20"/>
        <v>up 30 days</v>
      </c>
    </row>
    <row r="144" spans="1:16" s="34" customFormat="1" ht="15" x14ac:dyDescent="0.25">
      <c r="A144" s="34" t="s">
        <v>58</v>
      </c>
      <c r="B144" s="34" t="s">
        <v>845</v>
      </c>
      <c r="C144" s="34" t="s">
        <v>75</v>
      </c>
      <c r="D144" s="34" t="s">
        <v>30</v>
      </c>
      <c r="F144" s="34" t="s">
        <v>35</v>
      </c>
      <c r="G144" s="629">
        <v>14072.907999999999</v>
      </c>
      <c r="H144" s="257">
        <f>IF(F144="TND",1,IF(F144="EUR",Vertical_Cash_flow!$C$16,IF(F144="USD",Vertical_Cash_flow!$F$16,0)))</f>
        <v>1</v>
      </c>
      <c r="I144" s="257">
        <f t="shared" si="17"/>
        <v>14072.907999999999</v>
      </c>
      <c r="J144" s="34" t="s">
        <v>252</v>
      </c>
      <c r="K144" s="409">
        <v>45425</v>
      </c>
      <c r="L144" s="257">
        <f t="shared" si="18"/>
        <v>11</v>
      </c>
      <c r="M144" s="628">
        <v>45436</v>
      </c>
      <c r="N144" s="412">
        <f t="shared" ca="1" si="19"/>
        <v>5</v>
      </c>
      <c r="O144" s="34" t="str">
        <f>VLOOKUP(M144,Mapping!L:M,2,0)</f>
        <v>W21_2024</v>
      </c>
      <c r="P144" s="34" t="str">
        <f t="shared" ca="1" si="20"/>
        <v>up 30 days</v>
      </c>
    </row>
    <row r="145" spans="1:16" s="34" customFormat="1" ht="15" x14ac:dyDescent="0.25">
      <c r="A145" s="34" t="s">
        <v>58</v>
      </c>
      <c r="B145" s="34" t="s">
        <v>845</v>
      </c>
      <c r="C145" s="34" t="s">
        <v>75</v>
      </c>
      <c r="D145" s="34" t="s">
        <v>30</v>
      </c>
      <c r="F145" s="34" t="s">
        <v>35</v>
      </c>
      <c r="G145" s="629">
        <v>3584.4169999999999</v>
      </c>
      <c r="H145" s="257">
        <f>IF(F145="TND",1,IF(F145="EUR",Vertical_Cash_flow!$C$16,IF(F145="USD",Vertical_Cash_flow!$F$16,0)))</f>
        <v>1</v>
      </c>
      <c r="I145" s="257">
        <f t="shared" si="17"/>
        <v>3584.4169999999999</v>
      </c>
      <c r="J145" s="34" t="s">
        <v>252</v>
      </c>
      <c r="K145" s="409">
        <v>45429</v>
      </c>
      <c r="L145" s="257">
        <f t="shared" si="18"/>
        <v>7</v>
      </c>
      <c r="M145" s="628">
        <v>45436</v>
      </c>
      <c r="N145" s="412">
        <f t="shared" ca="1" si="19"/>
        <v>5</v>
      </c>
      <c r="O145" s="34" t="str">
        <f>VLOOKUP(M145,Mapping!L:M,2,0)</f>
        <v>W21_2024</v>
      </c>
      <c r="P145" s="34" t="str">
        <f t="shared" ca="1" si="20"/>
        <v>up 30 days</v>
      </c>
    </row>
    <row r="146" spans="1:16" s="34" customFormat="1" ht="15" x14ac:dyDescent="0.25">
      <c r="A146" s="34" t="s">
        <v>58</v>
      </c>
      <c r="B146" s="34" t="s">
        <v>3766</v>
      </c>
      <c r="C146" s="34" t="s">
        <v>264</v>
      </c>
      <c r="D146" s="34" t="s">
        <v>79</v>
      </c>
      <c r="F146" s="34" t="s">
        <v>35</v>
      </c>
      <c r="G146" s="629">
        <v>12494.245999999999</v>
      </c>
      <c r="H146" s="257">
        <f>IF(F146="TND",1,IF(F146="EUR",Vertical_Cash_flow!$C$16,IF(F146="USD",Vertical_Cash_flow!$F$16,0)))</f>
        <v>1</v>
      </c>
      <c r="I146" s="257">
        <f t="shared" si="17"/>
        <v>12494.245999999999</v>
      </c>
      <c r="J146" s="34" t="s">
        <v>252</v>
      </c>
      <c r="K146" s="409">
        <v>45415</v>
      </c>
      <c r="L146" s="257">
        <f t="shared" si="18"/>
        <v>21</v>
      </c>
      <c r="M146" s="628">
        <v>45436</v>
      </c>
      <c r="N146" s="412">
        <f t="shared" ca="1" si="19"/>
        <v>5</v>
      </c>
      <c r="O146" s="34" t="str">
        <f>VLOOKUP(M146,Mapping!L:M,2,0)</f>
        <v>W21_2024</v>
      </c>
      <c r="P146" s="34" t="str">
        <f t="shared" ca="1" si="20"/>
        <v>up 30 days</v>
      </c>
    </row>
    <row r="147" spans="1:16" s="34" customFormat="1" ht="15" x14ac:dyDescent="0.25">
      <c r="A147" s="34" t="s">
        <v>58</v>
      </c>
      <c r="B147" s="34" t="s">
        <v>3004</v>
      </c>
      <c r="C147" s="34" t="s">
        <v>264</v>
      </c>
      <c r="D147" s="34" t="s">
        <v>79</v>
      </c>
      <c r="F147" s="34" t="s">
        <v>35</v>
      </c>
      <c r="G147" s="629">
        <v>920</v>
      </c>
      <c r="H147" s="257">
        <f>IF(F147="TND",1,IF(F147="EUR",Vertical_Cash_flow!$C$16,IF(F147="USD",Vertical_Cash_flow!$F$16,0)))</f>
        <v>1</v>
      </c>
      <c r="I147" s="257">
        <f t="shared" si="17"/>
        <v>920</v>
      </c>
      <c r="J147" s="34" t="s">
        <v>252</v>
      </c>
      <c r="K147" s="409">
        <v>45405</v>
      </c>
      <c r="L147" s="257">
        <f t="shared" si="18"/>
        <v>31</v>
      </c>
      <c r="M147" s="628">
        <v>45436</v>
      </c>
      <c r="N147" s="412">
        <f t="shared" ca="1" si="19"/>
        <v>5</v>
      </c>
      <c r="O147" s="34" t="str">
        <f>VLOOKUP(M147,Mapping!L:M,2,0)</f>
        <v>W21_2024</v>
      </c>
      <c r="P147" s="34" t="str">
        <f t="shared" ca="1" si="20"/>
        <v>up 30 days</v>
      </c>
    </row>
    <row r="148" spans="1:16" s="34" customFormat="1" ht="15" x14ac:dyDescent="0.25">
      <c r="A148" s="34" t="s">
        <v>58</v>
      </c>
      <c r="B148" s="34" t="s">
        <v>3755</v>
      </c>
      <c r="C148" s="34" t="s">
        <v>264</v>
      </c>
      <c r="D148" s="34" t="s">
        <v>79</v>
      </c>
      <c r="F148" s="34" t="s">
        <v>35</v>
      </c>
      <c r="G148" s="629">
        <v>435.35</v>
      </c>
      <c r="H148" s="257">
        <f>IF(F148="TND",1,IF(F148="EUR",Vertical_Cash_flow!$C$16,IF(F148="USD",Vertical_Cash_flow!$F$16,0)))</f>
        <v>1</v>
      </c>
      <c r="I148" s="257">
        <f t="shared" si="17"/>
        <v>435.35</v>
      </c>
      <c r="J148" s="34" t="s">
        <v>252</v>
      </c>
      <c r="K148" s="409">
        <v>45418</v>
      </c>
      <c r="L148" s="257">
        <f t="shared" si="18"/>
        <v>18</v>
      </c>
      <c r="M148" s="628">
        <v>45436</v>
      </c>
      <c r="N148" s="412">
        <f t="shared" ca="1" si="19"/>
        <v>5</v>
      </c>
      <c r="O148" s="34" t="str">
        <f>VLOOKUP(M148,Mapping!L:M,2,0)</f>
        <v>W21_2024</v>
      </c>
      <c r="P148" s="34" t="str">
        <f t="shared" ca="1" si="20"/>
        <v>up 30 days</v>
      </c>
    </row>
    <row r="149" spans="1:16" s="34" customFormat="1" ht="15" x14ac:dyDescent="0.25">
      <c r="A149" s="34" t="s">
        <v>58</v>
      </c>
      <c r="B149" s="34" t="s">
        <v>1473</v>
      </c>
      <c r="C149" s="34" t="s">
        <v>264</v>
      </c>
      <c r="D149" s="34" t="s">
        <v>79</v>
      </c>
      <c r="F149" s="34" t="s">
        <v>35</v>
      </c>
      <c r="G149" s="629">
        <v>5748.116</v>
      </c>
      <c r="H149" s="257">
        <f>IF(F149="TND",1,IF(F149="EUR",Vertical_Cash_flow!$C$16,IF(F149="USD",Vertical_Cash_flow!$F$16,0)))</f>
        <v>1</v>
      </c>
      <c r="I149" s="257">
        <f t="shared" si="17"/>
        <v>5748.116</v>
      </c>
      <c r="J149" s="34" t="s">
        <v>252</v>
      </c>
      <c r="K149" s="409">
        <v>45414</v>
      </c>
      <c r="L149" s="257">
        <f t="shared" si="18"/>
        <v>22</v>
      </c>
      <c r="M149" s="628">
        <v>45436</v>
      </c>
      <c r="N149" s="412">
        <f t="shared" ca="1" si="19"/>
        <v>5</v>
      </c>
      <c r="O149" s="34" t="str">
        <f>VLOOKUP(M149,Mapping!L:M,2,0)</f>
        <v>W21_2024</v>
      </c>
      <c r="P149" s="34" t="str">
        <f t="shared" ca="1" si="20"/>
        <v>up 30 days</v>
      </c>
    </row>
    <row r="150" spans="1:16" s="34" customFormat="1" ht="15" x14ac:dyDescent="0.25">
      <c r="A150" s="34" t="s">
        <v>58</v>
      </c>
      <c r="B150" s="34" t="s">
        <v>3005</v>
      </c>
      <c r="C150" s="34" t="s">
        <v>264</v>
      </c>
      <c r="D150" s="34" t="s">
        <v>79</v>
      </c>
      <c r="F150" s="34" t="s">
        <v>35</v>
      </c>
      <c r="G150" s="629">
        <v>8611.84</v>
      </c>
      <c r="H150" s="257">
        <f>IF(F150="TND",1,IF(F150="EUR",Vertical_Cash_flow!$C$16,IF(F150="USD",Vertical_Cash_flow!$F$16,0)))</f>
        <v>1</v>
      </c>
      <c r="I150" s="257">
        <f t="shared" si="17"/>
        <v>8611.84</v>
      </c>
      <c r="J150" s="34" t="s">
        <v>252</v>
      </c>
      <c r="K150" s="409">
        <v>45407</v>
      </c>
      <c r="L150" s="257">
        <f t="shared" si="18"/>
        <v>29</v>
      </c>
      <c r="M150" s="628">
        <v>45436</v>
      </c>
      <c r="N150" s="412">
        <f t="shared" ca="1" si="19"/>
        <v>5</v>
      </c>
      <c r="O150" s="34" t="str">
        <f>VLOOKUP(M150,Mapping!L:M,2,0)</f>
        <v>W21_2024</v>
      </c>
      <c r="P150" s="34" t="str">
        <f t="shared" ca="1" si="20"/>
        <v>up 30 days</v>
      </c>
    </row>
    <row r="151" spans="1:16" s="34" customFormat="1" ht="15" x14ac:dyDescent="0.25">
      <c r="A151" s="34" t="s">
        <v>58</v>
      </c>
      <c r="B151" s="34" t="s">
        <v>2999</v>
      </c>
      <c r="C151" s="34" t="s">
        <v>264</v>
      </c>
      <c r="D151" s="34" t="s">
        <v>79</v>
      </c>
      <c r="F151" s="34" t="s">
        <v>35</v>
      </c>
      <c r="G151" s="629">
        <v>5039.8959999999997</v>
      </c>
      <c r="H151" s="257">
        <f>IF(F151="TND",1,IF(F151="EUR",Vertical_Cash_flow!$C$16,IF(F151="USD",Vertical_Cash_flow!$F$16,0)))</f>
        <v>1</v>
      </c>
      <c r="I151" s="257">
        <f t="shared" si="17"/>
        <v>5039.8959999999997</v>
      </c>
      <c r="J151" s="34" t="s">
        <v>252</v>
      </c>
      <c r="K151" s="409">
        <v>45406</v>
      </c>
      <c r="L151" s="257">
        <f t="shared" si="18"/>
        <v>30</v>
      </c>
      <c r="M151" s="628">
        <v>45436</v>
      </c>
      <c r="N151" s="412">
        <f t="shared" ca="1" si="19"/>
        <v>5</v>
      </c>
      <c r="O151" s="34" t="str">
        <f>VLOOKUP(M151,Mapping!L:M,2,0)</f>
        <v>W21_2024</v>
      </c>
      <c r="P151" s="34" t="str">
        <f t="shared" ca="1" si="20"/>
        <v>up 30 days</v>
      </c>
    </row>
    <row r="152" spans="1:16" s="34" customFormat="1" ht="15" x14ac:dyDescent="0.25">
      <c r="A152" s="34" t="s">
        <v>58</v>
      </c>
      <c r="B152" s="34" t="s">
        <v>771</v>
      </c>
      <c r="C152" s="34" t="s">
        <v>264</v>
      </c>
      <c r="D152" s="34" t="s">
        <v>79</v>
      </c>
      <c r="F152" s="34" t="s">
        <v>35</v>
      </c>
      <c r="G152" s="629">
        <v>1258.29</v>
      </c>
      <c r="H152" s="257">
        <f>IF(F152="TND",1,IF(F152="EUR",Vertical_Cash_flow!$C$16,IF(F152="USD",Vertical_Cash_flow!$F$16,0)))</f>
        <v>1</v>
      </c>
      <c r="I152" s="257">
        <f t="shared" si="17"/>
        <v>1258.29</v>
      </c>
      <c r="J152" s="34" t="s">
        <v>252</v>
      </c>
      <c r="K152" s="409">
        <v>45418</v>
      </c>
      <c r="L152" s="257">
        <f t="shared" si="18"/>
        <v>18</v>
      </c>
      <c r="M152" s="628">
        <v>45436</v>
      </c>
      <c r="N152" s="412">
        <f t="shared" ca="1" si="19"/>
        <v>5</v>
      </c>
      <c r="O152" s="34" t="str">
        <f>VLOOKUP(M152,Mapping!L:M,2,0)</f>
        <v>W21_2024</v>
      </c>
      <c r="P152" s="34" t="str">
        <f t="shared" ca="1" si="20"/>
        <v>up 30 days</v>
      </c>
    </row>
    <row r="153" spans="1:16" s="34" customFormat="1" ht="15" x14ac:dyDescent="0.25">
      <c r="A153" s="34" t="s">
        <v>58</v>
      </c>
      <c r="B153" s="34" t="s">
        <v>1469</v>
      </c>
      <c r="C153" s="34" t="s">
        <v>264</v>
      </c>
      <c r="D153" s="34" t="s">
        <v>79</v>
      </c>
      <c r="F153" s="34" t="s">
        <v>35</v>
      </c>
      <c r="G153" s="629">
        <v>758.26400000000001</v>
      </c>
      <c r="H153" s="257">
        <f>IF(F153="TND",1,IF(F153="EUR",Vertical_Cash_flow!$C$16,IF(F153="USD",Vertical_Cash_flow!$F$16,0)))</f>
        <v>1</v>
      </c>
      <c r="I153" s="257">
        <f t="shared" si="17"/>
        <v>758.26400000000001</v>
      </c>
      <c r="J153" s="34" t="s">
        <v>252</v>
      </c>
      <c r="K153" s="409">
        <v>45407</v>
      </c>
      <c r="L153" s="257">
        <f t="shared" si="18"/>
        <v>29</v>
      </c>
      <c r="M153" s="628">
        <v>45436</v>
      </c>
      <c r="N153" s="412">
        <f t="shared" ca="1" si="19"/>
        <v>5</v>
      </c>
      <c r="O153" s="34" t="str">
        <f>VLOOKUP(M153,Mapping!L:M,2,0)</f>
        <v>W21_2024</v>
      </c>
      <c r="P153" s="34" t="str">
        <f t="shared" ca="1" si="20"/>
        <v>up 30 days</v>
      </c>
    </row>
    <row r="154" spans="1:16" s="34" customFormat="1" ht="15" x14ac:dyDescent="0.25">
      <c r="A154" s="34" t="s">
        <v>58</v>
      </c>
      <c r="B154" s="34" t="s">
        <v>1469</v>
      </c>
      <c r="C154" s="34" t="s">
        <v>264</v>
      </c>
      <c r="D154" s="34" t="s">
        <v>79</v>
      </c>
      <c r="F154" s="34" t="s">
        <v>35</v>
      </c>
      <c r="G154" s="629">
        <v>358</v>
      </c>
      <c r="H154" s="257">
        <f>IF(F154="TND",1,IF(F154="EUR",Vertical_Cash_flow!$C$16,IF(F154="USD",Vertical_Cash_flow!$F$16,0)))</f>
        <v>1</v>
      </c>
      <c r="I154" s="257">
        <f t="shared" si="17"/>
        <v>358</v>
      </c>
      <c r="J154" s="34" t="s">
        <v>252</v>
      </c>
      <c r="K154" s="409">
        <v>45432</v>
      </c>
      <c r="L154" s="257">
        <f t="shared" si="18"/>
        <v>4</v>
      </c>
      <c r="M154" s="628">
        <v>45436</v>
      </c>
      <c r="N154" s="412">
        <f t="shared" ca="1" si="19"/>
        <v>5</v>
      </c>
      <c r="O154" s="34" t="str">
        <f>VLOOKUP(M154,Mapping!L:M,2,0)</f>
        <v>W21_2024</v>
      </c>
      <c r="P154" s="34" t="str">
        <f t="shared" ca="1" si="20"/>
        <v>up 30 days</v>
      </c>
    </row>
    <row r="155" spans="1:16" s="34" customFormat="1" ht="15" x14ac:dyDescent="0.25">
      <c r="A155" s="34" t="s">
        <v>58</v>
      </c>
      <c r="B155" s="34" t="s">
        <v>3763</v>
      </c>
      <c r="C155" s="34" t="s">
        <v>264</v>
      </c>
      <c r="D155" s="34" t="s">
        <v>79</v>
      </c>
      <c r="F155" s="34" t="s">
        <v>35</v>
      </c>
      <c r="G155" s="629">
        <v>693.43600000000004</v>
      </c>
      <c r="H155" s="257">
        <f>IF(F155="TND",1,IF(F155="EUR",Vertical_Cash_flow!$C$16,IF(F155="USD",Vertical_Cash_flow!$F$16,0)))</f>
        <v>1</v>
      </c>
      <c r="I155" s="257">
        <f t="shared" si="17"/>
        <v>693.43600000000004</v>
      </c>
      <c r="J155" s="34" t="s">
        <v>252</v>
      </c>
      <c r="K155" s="409">
        <v>45432</v>
      </c>
      <c r="L155" s="257">
        <f t="shared" si="18"/>
        <v>4</v>
      </c>
      <c r="M155" s="628">
        <v>45436</v>
      </c>
      <c r="N155" s="412">
        <f t="shared" ca="1" si="19"/>
        <v>5</v>
      </c>
      <c r="O155" s="34" t="str">
        <f>VLOOKUP(M155,Mapping!L:M,2,0)</f>
        <v>W21_2024</v>
      </c>
      <c r="P155" s="34" t="str">
        <f t="shared" ca="1" si="20"/>
        <v>up 30 days</v>
      </c>
    </row>
    <row r="156" spans="1:16" s="34" customFormat="1" ht="15" x14ac:dyDescent="0.25">
      <c r="A156" s="34" t="s">
        <v>58</v>
      </c>
      <c r="B156" s="34" t="s">
        <v>3754</v>
      </c>
      <c r="C156" s="34" t="s">
        <v>264</v>
      </c>
      <c r="D156" s="34" t="s">
        <v>79</v>
      </c>
      <c r="F156" s="34" t="s">
        <v>35</v>
      </c>
      <c r="G156" s="629">
        <v>1495.999</v>
      </c>
      <c r="H156" s="257">
        <f>IF(F156="TND",1,IF(F156="EUR",Vertical_Cash_flow!$C$16,IF(F156="USD",Vertical_Cash_flow!$F$16,0)))</f>
        <v>1</v>
      </c>
      <c r="I156" s="257">
        <f t="shared" si="17"/>
        <v>1495.999</v>
      </c>
      <c r="J156" s="34" t="s">
        <v>252</v>
      </c>
      <c r="K156" s="409">
        <v>45418</v>
      </c>
      <c r="L156" s="257">
        <f t="shared" si="18"/>
        <v>18</v>
      </c>
      <c r="M156" s="628">
        <v>45436</v>
      </c>
      <c r="N156" s="412">
        <f t="shared" ca="1" si="19"/>
        <v>5</v>
      </c>
      <c r="O156" s="34" t="str">
        <f>VLOOKUP(M156,Mapping!L:M,2,0)</f>
        <v>W21_2024</v>
      </c>
      <c r="P156" s="34" t="str">
        <f t="shared" ca="1" si="20"/>
        <v>up 30 days</v>
      </c>
    </row>
    <row r="157" spans="1:16" s="34" customFormat="1" ht="15" x14ac:dyDescent="0.25">
      <c r="A157" s="34" t="s">
        <v>58</v>
      </c>
      <c r="B157" s="626" t="s">
        <v>1475</v>
      </c>
      <c r="C157" s="34" t="s">
        <v>264</v>
      </c>
      <c r="D157" s="34" t="s">
        <v>79</v>
      </c>
      <c r="F157" s="34" t="s">
        <v>35</v>
      </c>
      <c r="G157" s="627">
        <v>3356.8</v>
      </c>
      <c r="H157" s="257">
        <f>IF(F157="TND",1,IF(F157="EUR",Vertical_Cash_flow!$C$16,IF(F157="USD",Vertical_Cash_flow!$F$16,0)))</f>
        <v>1</v>
      </c>
      <c r="I157" s="257">
        <f t="shared" si="17"/>
        <v>3356.8</v>
      </c>
      <c r="J157" s="34" t="s">
        <v>252</v>
      </c>
      <c r="K157" s="628">
        <v>45345</v>
      </c>
      <c r="L157" s="257">
        <f t="shared" si="18"/>
        <v>91</v>
      </c>
      <c r="M157" s="628">
        <v>45436</v>
      </c>
      <c r="N157" s="412">
        <f t="shared" ca="1" si="19"/>
        <v>5</v>
      </c>
      <c r="O157" s="34" t="str">
        <f>VLOOKUP(M157,Mapping!L:M,2,0)</f>
        <v>W21_2024</v>
      </c>
      <c r="P157" s="34" t="str">
        <f t="shared" ca="1" si="20"/>
        <v>up 30 days</v>
      </c>
    </row>
    <row r="158" spans="1:16" s="34" customFormat="1" ht="15" x14ac:dyDescent="0.25">
      <c r="A158" s="34" t="s">
        <v>58</v>
      </c>
      <c r="B158" s="34" t="s">
        <v>1475</v>
      </c>
      <c r="C158" s="34" t="s">
        <v>264</v>
      </c>
      <c r="D158" s="34" t="s">
        <v>79</v>
      </c>
      <c r="F158" s="34" t="s">
        <v>35</v>
      </c>
      <c r="G158" s="629">
        <v>239</v>
      </c>
      <c r="H158" s="257">
        <f>IF(F158="TND",1,IF(F158="EUR",Vertical_Cash_flow!$C$16,IF(F158="USD",Vertical_Cash_flow!$F$16,0)))</f>
        <v>1</v>
      </c>
      <c r="I158" s="257">
        <f t="shared" si="17"/>
        <v>239</v>
      </c>
      <c r="J158" s="34" t="s">
        <v>252</v>
      </c>
      <c r="K158" s="409">
        <v>45355</v>
      </c>
      <c r="L158" s="257">
        <f t="shared" si="18"/>
        <v>81</v>
      </c>
      <c r="M158" s="628">
        <v>45436</v>
      </c>
      <c r="N158" s="412">
        <f t="shared" ca="1" si="19"/>
        <v>5</v>
      </c>
      <c r="O158" s="34" t="str">
        <f>VLOOKUP(M158,Mapping!L:M,2,0)</f>
        <v>W21_2024</v>
      </c>
      <c r="P158" s="34" t="str">
        <f t="shared" ca="1" si="20"/>
        <v>up 30 days</v>
      </c>
    </row>
    <row r="159" spans="1:16" s="34" customFormat="1" ht="15" x14ac:dyDescent="0.25">
      <c r="A159" s="34" t="s">
        <v>58</v>
      </c>
      <c r="B159" s="34" t="s">
        <v>1475</v>
      </c>
      <c r="C159" s="34" t="s">
        <v>264</v>
      </c>
      <c r="D159" s="34" t="s">
        <v>79</v>
      </c>
      <c r="F159" s="34" t="s">
        <v>35</v>
      </c>
      <c r="G159" s="629">
        <v>358.786</v>
      </c>
      <c r="H159" s="257">
        <f>IF(F159="TND",1,IF(F159="EUR",Vertical_Cash_flow!$C$16,IF(F159="USD",Vertical_Cash_flow!$F$16,0)))</f>
        <v>1</v>
      </c>
      <c r="I159" s="257">
        <f t="shared" si="17"/>
        <v>358.786</v>
      </c>
      <c r="J159" s="34" t="s">
        <v>252</v>
      </c>
      <c r="K159" s="409">
        <v>45397</v>
      </c>
      <c r="L159" s="257">
        <f t="shared" si="18"/>
        <v>39</v>
      </c>
      <c r="M159" s="628">
        <v>45436</v>
      </c>
      <c r="N159" s="412">
        <f t="shared" ca="1" si="19"/>
        <v>5</v>
      </c>
      <c r="O159" s="34" t="str">
        <f>VLOOKUP(M159,Mapping!L:M,2,0)</f>
        <v>W21_2024</v>
      </c>
      <c r="P159" s="34" t="str">
        <f t="shared" ca="1" si="20"/>
        <v>up 30 days</v>
      </c>
    </row>
    <row r="160" spans="1:16" s="34" customFormat="1" ht="15" x14ac:dyDescent="0.25">
      <c r="A160" s="34" t="s">
        <v>58</v>
      </c>
      <c r="B160" s="34" t="s">
        <v>762</v>
      </c>
      <c r="C160" s="34" t="s">
        <v>264</v>
      </c>
      <c r="D160" s="34" t="s">
        <v>79</v>
      </c>
      <c r="F160" s="34" t="s">
        <v>35</v>
      </c>
      <c r="G160" s="629">
        <v>6496.3050000000003</v>
      </c>
      <c r="H160" s="257">
        <f>IF(F160="TND",1,IF(F160="EUR",Vertical_Cash_flow!$C$16,IF(F160="USD",Vertical_Cash_flow!$F$16,0)))</f>
        <v>1</v>
      </c>
      <c r="I160" s="257">
        <f t="shared" si="17"/>
        <v>6496.3050000000003</v>
      </c>
      <c r="J160" s="34" t="s">
        <v>252</v>
      </c>
      <c r="K160" s="409">
        <v>45407</v>
      </c>
      <c r="L160" s="257">
        <f t="shared" si="18"/>
        <v>29</v>
      </c>
      <c r="M160" s="628">
        <v>45436</v>
      </c>
      <c r="N160" s="412">
        <f t="shared" ca="1" si="19"/>
        <v>5</v>
      </c>
      <c r="O160" s="34" t="str">
        <f>VLOOKUP(M160,Mapping!L:M,2,0)</f>
        <v>W21_2024</v>
      </c>
      <c r="P160" s="34" t="str">
        <f t="shared" ca="1" si="20"/>
        <v>up 30 days</v>
      </c>
    </row>
    <row r="161" spans="1:16" s="34" customFormat="1" ht="15" x14ac:dyDescent="0.25">
      <c r="A161" s="34" t="s">
        <v>58</v>
      </c>
      <c r="B161" s="34" t="s">
        <v>1047</v>
      </c>
      <c r="C161" s="34" t="s">
        <v>264</v>
      </c>
      <c r="D161" s="34" t="s">
        <v>79</v>
      </c>
      <c r="F161" s="34" t="s">
        <v>35</v>
      </c>
      <c r="G161" s="629">
        <v>871.4</v>
      </c>
      <c r="H161" s="257">
        <f>IF(F161="TND",1,IF(F161="EUR",Vertical_Cash_flow!$C$16,IF(F161="USD",Vertical_Cash_flow!$F$16,0)))</f>
        <v>1</v>
      </c>
      <c r="I161" s="257">
        <f t="shared" si="17"/>
        <v>871.4</v>
      </c>
      <c r="J161" s="34" t="s">
        <v>252</v>
      </c>
      <c r="K161" s="409">
        <v>45418</v>
      </c>
      <c r="L161" s="257">
        <f t="shared" si="18"/>
        <v>18</v>
      </c>
      <c r="M161" s="628">
        <v>45436</v>
      </c>
      <c r="N161" s="412">
        <f t="shared" ca="1" si="19"/>
        <v>5</v>
      </c>
      <c r="O161" s="34" t="str">
        <f>VLOOKUP(M161,Mapping!L:M,2,0)</f>
        <v>W21_2024</v>
      </c>
      <c r="P161" s="34" t="str">
        <f t="shared" ca="1" si="20"/>
        <v>up 30 days</v>
      </c>
    </row>
    <row r="162" spans="1:16" ht="15" x14ac:dyDescent="0.25">
      <c r="A162" s="33" t="s">
        <v>58</v>
      </c>
      <c r="B162" t="s">
        <v>3769</v>
      </c>
      <c r="C162" s="33" t="s">
        <v>264</v>
      </c>
      <c r="D162" s="33" t="s">
        <v>79</v>
      </c>
      <c r="F162" s="33" t="s">
        <v>35</v>
      </c>
      <c r="G162" s="355">
        <v>1820.366</v>
      </c>
      <c r="H162" s="255">
        <f>IF(F162="TND",1,IF(F162="EUR",Vertical_Cash_flow!$C$16,IF(F162="USD",Vertical_Cash_flow!$F$16,0)))</f>
        <v>1</v>
      </c>
      <c r="I162" s="255">
        <f t="shared" si="17"/>
        <v>1820.366</v>
      </c>
      <c r="J162" s="33" t="s">
        <v>251</v>
      </c>
      <c r="K162" s="39">
        <v>45418</v>
      </c>
      <c r="L162" s="255">
        <f t="shared" si="18"/>
        <v>60</v>
      </c>
      <c r="M162" s="625">
        <v>45478</v>
      </c>
      <c r="N162" s="411">
        <f t="shared" ca="1" si="19"/>
        <v>-37</v>
      </c>
      <c r="O162" s="33" t="str">
        <f>VLOOKUP(M162,Mapping!L:M,2,0)</f>
        <v>W27_2024</v>
      </c>
      <c r="P162" s="33" t="str">
        <f t="shared" ca="1" si="20"/>
        <v>Not Due</v>
      </c>
    </row>
    <row r="163" spans="1:16" ht="15" x14ac:dyDescent="0.25">
      <c r="A163" s="33" t="s">
        <v>58</v>
      </c>
      <c r="B163" t="s">
        <v>975</v>
      </c>
      <c r="C163" s="33" t="s">
        <v>264</v>
      </c>
      <c r="D163" s="33" t="s">
        <v>79</v>
      </c>
      <c r="F163" s="33" t="s">
        <v>35</v>
      </c>
      <c r="G163" s="355">
        <v>535.322</v>
      </c>
      <c r="H163" s="255">
        <f>IF(F163="TND",1,IF(F163="EUR",Vertical_Cash_flow!$C$16,IF(F163="USD",Vertical_Cash_flow!$F$16,0)))</f>
        <v>1</v>
      </c>
      <c r="I163" s="255">
        <f t="shared" si="17"/>
        <v>535.322</v>
      </c>
      <c r="J163" s="33" t="s">
        <v>251</v>
      </c>
      <c r="K163" s="39">
        <v>45418</v>
      </c>
      <c r="L163" s="255">
        <f t="shared" si="18"/>
        <v>30</v>
      </c>
      <c r="M163" s="625">
        <v>45448</v>
      </c>
      <c r="N163" s="411">
        <f t="shared" ca="1" si="19"/>
        <v>-7</v>
      </c>
      <c r="O163" s="33" t="str">
        <f>VLOOKUP(M163,Mapping!L:M,2,0)</f>
        <v>W23_2024</v>
      </c>
      <c r="P163" s="33" t="str">
        <f t="shared" ca="1" si="20"/>
        <v>Not Due</v>
      </c>
    </row>
    <row r="164" spans="1:16" ht="15" x14ac:dyDescent="0.25">
      <c r="A164" s="33" t="s">
        <v>58</v>
      </c>
      <c r="B164" t="s">
        <v>1239</v>
      </c>
      <c r="C164" s="33" t="s">
        <v>264</v>
      </c>
      <c r="D164" s="33" t="s">
        <v>79</v>
      </c>
      <c r="F164" s="33" t="s">
        <v>35</v>
      </c>
      <c r="G164" s="355">
        <v>1297.3710000000001</v>
      </c>
      <c r="H164" s="255">
        <f>IF(F164="TND",1,IF(F164="EUR",Vertical_Cash_flow!$C$16,IF(F164="USD",Vertical_Cash_flow!$F$16,0)))</f>
        <v>1</v>
      </c>
      <c r="I164" s="255">
        <f t="shared" ref="I164:I227" si="21">G164/H164</f>
        <v>1297.3710000000001</v>
      </c>
      <c r="J164" s="33" t="s">
        <v>251</v>
      </c>
      <c r="K164" s="39">
        <v>45358</v>
      </c>
      <c r="L164" s="255">
        <f t="shared" ref="L164:L227" si="22">M164-K164</f>
        <v>90</v>
      </c>
      <c r="M164" s="625">
        <v>45448</v>
      </c>
      <c r="N164" s="411">
        <f t="shared" ref="N164:N227" ca="1" si="23">$S$1-M164</f>
        <v>-7</v>
      </c>
      <c r="O164" s="33" t="str">
        <f>VLOOKUP(M164,Mapping!L:M,2,0)</f>
        <v>W23_2024</v>
      </c>
      <c r="P164" s="33" t="str">
        <f t="shared" ref="P164:P227" ca="1" si="24">IF(N164="","",IF(N164&lt;0,"Not Due",IF(AND(N164&gt;=0,N164&lt;=30),"up 30 days",IF(AND(N164&gt;30,N164&lt;=60),"30-60 days",IF(AND(N164&gt;60,N164&lt;=90),"60-90 days",IF(AND(N164&gt;90,N164&lt;=120),"90-120 days",IF(AND(N164&gt;120,N164&lt;=180),"120-180 days",IF(AND(N164&gt;180,N164&lt;=360),"180-360 days",IF(N164&gt;360,"more than 360 days","ok")))))))))</f>
        <v>Not Due</v>
      </c>
    </row>
    <row r="165" spans="1:16" ht="15" x14ac:dyDescent="0.25">
      <c r="A165" s="33" t="s">
        <v>58</v>
      </c>
      <c r="B165" t="s">
        <v>1239</v>
      </c>
      <c r="C165" s="33" t="s">
        <v>264</v>
      </c>
      <c r="D165" s="33" t="s">
        <v>79</v>
      </c>
      <c r="F165" s="33" t="s">
        <v>35</v>
      </c>
      <c r="G165" s="355">
        <v>2593.7510000000002</v>
      </c>
      <c r="H165" s="255">
        <f>IF(F165="TND",1,IF(F165="EUR",Vertical_Cash_flow!$C$16,IF(F165="USD",Vertical_Cash_flow!$F$16,0)))</f>
        <v>1</v>
      </c>
      <c r="I165" s="255">
        <f t="shared" si="21"/>
        <v>2593.7510000000002</v>
      </c>
      <c r="J165" s="33" t="s">
        <v>251</v>
      </c>
      <c r="K165" s="39">
        <v>45418</v>
      </c>
      <c r="L165" s="255">
        <f t="shared" si="22"/>
        <v>65</v>
      </c>
      <c r="M165" s="625">
        <v>45483</v>
      </c>
      <c r="N165" s="411">
        <f t="shared" ca="1" si="23"/>
        <v>-42</v>
      </c>
      <c r="O165" s="33" t="str">
        <f>VLOOKUP(M165,Mapping!L:M,2,0)</f>
        <v>W28_2024</v>
      </c>
      <c r="P165" s="33" t="str">
        <f t="shared" ca="1" si="24"/>
        <v>Not Due</v>
      </c>
    </row>
    <row r="166" spans="1:16" ht="15" x14ac:dyDescent="0.25">
      <c r="A166" s="33" t="s">
        <v>58</v>
      </c>
      <c r="B166" t="s">
        <v>433</v>
      </c>
      <c r="C166" s="33" t="s">
        <v>264</v>
      </c>
      <c r="D166" s="33" t="s">
        <v>79</v>
      </c>
      <c r="F166" s="33" t="s">
        <v>35</v>
      </c>
      <c r="G166" s="355">
        <v>6099.683</v>
      </c>
      <c r="H166" s="255">
        <f>IF(F166="TND",1,IF(F166="EUR",Vertical_Cash_flow!$C$16,IF(F166="USD",Vertical_Cash_flow!$F$16,0)))</f>
        <v>1</v>
      </c>
      <c r="I166" s="255">
        <f t="shared" si="21"/>
        <v>6099.683</v>
      </c>
      <c r="J166" s="33" t="s">
        <v>251</v>
      </c>
      <c r="K166" s="39">
        <v>45419</v>
      </c>
      <c r="L166" s="255">
        <f t="shared" si="22"/>
        <v>95</v>
      </c>
      <c r="M166" s="625">
        <v>45514</v>
      </c>
      <c r="N166" s="411">
        <f t="shared" ca="1" si="23"/>
        <v>-73</v>
      </c>
      <c r="O166" s="33" t="str">
        <f>VLOOKUP(M166,Mapping!L:M,2,0)</f>
        <v>W33_2024</v>
      </c>
      <c r="P166" s="33" t="str">
        <f t="shared" ca="1" si="24"/>
        <v>Not Due</v>
      </c>
    </row>
    <row r="167" spans="1:16" ht="15" x14ac:dyDescent="0.25">
      <c r="A167" s="33" t="s">
        <v>58</v>
      </c>
      <c r="B167" t="s">
        <v>433</v>
      </c>
      <c r="C167" s="33" t="s">
        <v>264</v>
      </c>
      <c r="D167" s="33" t="s">
        <v>79</v>
      </c>
      <c r="F167" s="33" t="s">
        <v>35</v>
      </c>
      <c r="G167" s="355">
        <v>3868.6930000000002</v>
      </c>
      <c r="H167" s="255">
        <f>IF(F167="TND",1,IF(F167="EUR",Vertical_Cash_flow!$C$16,IF(F167="USD",Vertical_Cash_flow!$F$16,0)))</f>
        <v>1</v>
      </c>
      <c r="I167" s="255">
        <f t="shared" si="21"/>
        <v>3868.6930000000002</v>
      </c>
      <c r="J167" s="33" t="s">
        <v>251</v>
      </c>
      <c r="K167" s="39">
        <v>45432</v>
      </c>
      <c r="L167" s="255">
        <f t="shared" si="22"/>
        <v>92</v>
      </c>
      <c r="M167" s="625">
        <v>45524</v>
      </c>
      <c r="N167" s="411">
        <f t="shared" ca="1" si="23"/>
        <v>-83</v>
      </c>
      <c r="O167" s="33" t="str">
        <f>VLOOKUP(M167,Mapping!L:M,2,0)</f>
        <v>W34_2024</v>
      </c>
      <c r="P167" s="33" t="str">
        <f t="shared" ca="1" si="24"/>
        <v>Not Due</v>
      </c>
    </row>
    <row r="168" spans="1:16" ht="15" x14ac:dyDescent="0.25">
      <c r="A168" s="33" t="s">
        <v>58</v>
      </c>
      <c r="B168" t="s">
        <v>854</v>
      </c>
      <c r="C168" s="33" t="s">
        <v>264</v>
      </c>
      <c r="D168" s="33" t="s">
        <v>79</v>
      </c>
      <c r="F168" s="33" t="s">
        <v>35</v>
      </c>
      <c r="G168" s="355">
        <v>956.08</v>
      </c>
      <c r="H168" s="255">
        <f>IF(F168="TND",1,IF(F168="EUR",Vertical_Cash_flow!$C$16,IF(F168="USD",Vertical_Cash_flow!$F$16,0)))</f>
        <v>1</v>
      </c>
      <c r="I168" s="255">
        <f t="shared" si="21"/>
        <v>956.08</v>
      </c>
      <c r="J168" s="33" t="s">
        <v>251</v>
      </c>
      <c r="K168" s="39">
        <v>45380</v>
      </c>
      <c r="L168" s="255">
        <f t="shared" si="22"/>
        <v>68</v>
      </c>
      <c r="M168" s="625">
        <v>45448</v>
      </c>
      <c r="N168" s="411">
        <f t="shared" ca="1" si="23"/>
        <v>-7</v>
      </c>
      <c r="O168" s="33" t="str">
        <f>VLOOKUP(M168,Mapping!L:M,2,0)</f>
        <v>W23_2024</v>
      </c>
      <c r="P168" s="33" t="str">
        <f t="shared" ca="1" si="24"/>
        <v>Not Due</v>
      </c>
    </row>
    <row r="169" spans="1:16" ht="15" x14ac:dyDescent="0.25">
      <c r="A169" s="33" t="s">
        <v>58</v>
      </c>
      <c r="B169" t="s">
        <v>3768</v>
      </c>
      <c r="C169" s="33" t="s">
        <v>264</v>
      </c>
      <c r="D169" s="33" t="s">
        <v>79</v>
      </c>
      <c r="F169" s="33" t="s">
        <v>35</v>
      </c>
      <c r="G169" s="355">
        <v>1959.287</v>
      </c>
      <c r="H169" s="255">
        <f>IF(F169="TND",1,IF(F169="EUR",Vertical_Cash_flow!$C$16,IF(F169="USD",Vertical_Cash_flow!$F$16,0)))</f>
        <v>1</v>
      </c>
      <c r="I169" s="255">
        <f t="shared" si="21"/>
        <v>1959.287</v>
      </c>
      <c r="J169" s="33" t="s">
        <v>251</v>
      </c>
      <c r="K169" s="39">
        <v>45418</v>
      </c>
      <c r="L169" s="255">
        <f t="shared" si="22"/>
        <v>35</v>
      </c>
      <c r="M169" s="625">
        <v>45453</v>
      </c>
      <c r="N169" s="411">
        <f t="shared" ca="1" si="23"/>
        <v>-12</v>
      </c>
      <c r="O169" s="33" t="str">
        <f>VLOOKUP(M169,Mapping!L:M,2,0)</f>
        <v>W24_2024</v>
      </c>
      <c r="P169" s="33" t="str">
        <f t="shared" ca="1" si="24"/>
        <v>Not Due</v>
      </c>
    </row>
    <row r="170" spans="1:16" ht="15" x14ac:dyDescent="0.25">
      <c r="A170" s="33" t="s">
        <v>58</v>
      </c>
      <c r="B170" t="s">
        <v>3768</v>
      </c>
      <c r="C170" s="33" t="s">
        <v>264</v>
      </c>
      <c r="D170" s="33" t="s">
        <v>79</v>
      </c>
      <c r="F170" s="33" t="s">
        <v>35</v>
      </c>
      <c r="G170" s="355">
        <v>1088.933</v>
      </c>
      <c r="H170" s="255">
        <f>IF(F170="TND",1,IF(F170="EUR",Vertical_Cash_flow!$C$16,IF(F170="USD",Vertical_Cash_flow!$F$16,0)))</f>
        <v>1</v>
      </c>
      <c r="I170" s="255">
        <f t="shared" si="21"/>
        <v>1088.933</v>
      </c>
      <c r="J170" s="33" t="s">
        <v>251</v>
      </c>
      <c r="K170" s="39">
        <v>45432</v>
      </c>
      <c r="L170" s="255">
        <f t="shared" si="22"/>
        <v>21</v>
      </c>
      <c r="M170" s="625">
        <v>45453</v>
      </c>
      <c r="N170" s="411">
        <f t="shared" ca="1" si="23"/>
        <v>-12</v>
      </c>
      <c r="O170" s="33" t="str">
        <f>VLOOKUP(M170,Mapping!L:M,2,0)</f>
        <v>W24_2024</v>
      </c>
      <c r="P170" s="33" t="str">
        <f t="shared" ca="1" si="24"/>
        <v>Not Due</v>
      </c>
    </row>
    <row r="171" spans="1:16" ht="15" x14ac:dyDescent="0.25">
      <c r="A171" s="33" t="s">
        <v>58</v>
      </c>
      <c r="B171" t="s">
        <v>665</v>
      </c>
      <c r="C171" s="33" t="s">
        <v>264</v>
      </c>
      <c r="D171" s="33" t="s">
        <v>79</v>
      </c>
      <c r="F171" s="33" t="s">
        <v>35</v>
      </c>
      <c r="G171" s="355">
        <v>1857.077</v>
      </c>
      <c r="H171" s="255">
        <f>IF(F171="TND",1,IF(F171="EUR",Vertical_Cash_flow!$C$16,IF(F171="USD",Vertical_Cash_flow!$F$16,0)))</f>
        <v>1</v>
      </c>
      <c r="I171" s="255">
        <f t="shared" si="21"/>
        <v>1857.077</v>
      </c>
      <c r="J171" s="33" t="s">
        <v>251</v>
      </c>
      <c r="K171" s="39">
        <v>45432</v>
      </c>
      <c r="L171" s="255">
        <f t="shared" si="22"/>
        <v>46</v>
      </c>
      <c r="M171" s="625">
        <v>45478</v>
      </c>
      <c r="N171" s="411">
        <f t="shared" ca="1" si="23"/>
        <v>-37</v>
      </c>
      <c r="O171" s="33" t="str">
        <f>VLOOKUP(M171,Mapping!L:M,2,0)</f>
        <v>W27_2024</v>
      </c>
      <c r="P171" s="33" t="str">
        <f t="shared" ca="1" si="24"/>
        <v>Not Due</v>
      </c>
    </row>
    <row r="172" spans="1:16" ht="15" x14ac:dyDescent="0.25">
      <c r="A172" s="33" t="s">
        <v>58</v>
      </c>
      <c r="B172" t="s">
        <v>1017</v>
      </c>
      <c r="C172" s="33" t="s">
        <v>264</v>
      </c>
      <c r="D172" s="33" t="s">
        <v>79</v>
      </c>
      <c r="F172" s="33" t="s">
        <v>35</v>
      </c>
      <c r="G172" s="355">
        <v>7954.0659999999998</v>
      </c>
      <c r="H172" s="255">
        <f>IF(F172="TND",1,IF(F172="EUR",Vertical_Cash_flow!$C$16,IF(F172="USD",Vertical_Cash_flow!$F$16,0)))</f>
        <v>1</v>
      </c>
      <c r="I172" s="255">
        <f t="shared" si="21"/>
        <v>7954.0659999999998</v>
      </c>
      <c r="J172" s="33" t="s">
        <v>251</v>
      </c>
      <c r="K172" s="39">
        <v>45427</v>
      </c>
      <c r="L172" s="255">
        <f t="shared" si="22"/>
        <v>26</v>
      </c>
      <c r="M172" s="625">
        <v>45453</v>
      </c>
      <c r="N172" s="411">
        <f t="shared" ca="1" si="23"/>
        <v>-12</v>
      </c>
      <c r="O172" s="33" t="str">
        <f>VLOOKUP(M172,Mapping!L:M,2,0)</f>
        <v>W24_2024</v>
      </c>
      <c r="P172" s="33" t="str">
        <f t="shared" ca="1" si="24"/>
        <v>Not Due</v>
      </c>
    </row>
    <row r="173" spans="1:16" ht="15" x14ac:dyDescent="0.25">
      <c r="A173" s="33" t="s">
        <v>58</v>
      </c>
      <c r="B173" t="s">
        <v>2318</v>
      </c>
      <c r="C173" s="33" t="s">
        <v>264</v>
      </c>
      <c r="D173" s="33" t="s">
        <v>79</v>
      </c>
      <c r="F173" s="33" t="s">
        <v>35</v>
      </c>
      <c r="G173" s="355">
        <v>10852.161</v>
      </c>
      <c r="H173" s="255">
        <f>IF(F173="TND",1,IF(F173="EUR",Vertical_Cash_flow!$C$16,IF(F173="USD",Vertical_Cash_flow!$F$16,0)))</f>
        <v>1</v>
      </c>
      <c r="I173" s="255">
        <f t="shared" si="21"/>
        <v>10852.161</v>
      </c>
      <c r="J173" s="33" t="s">
        <v>251</v>
      </c>
      <c r="K173" s="39">
        <v>45419</v>
      </c>
      <c r="L173" s="255">
        <f t="shared" si="22"/>
        <v>59</v>
      </c>
      <c r="M173" s="625">
        <v>45478</v>
      </c>
      <c r="N173" s="411">
        <f t="shared" ca="1" si="23"/>
        <v>-37</v>
      </c>
      <c r="O173" s="33" t="str">
        <f>VLOOKUP(M173,Mapping!L:M,2,0)</f>
        <v>W27_2024</v>
      </c>
      <c r="P173" s="33" t="str">
        <f t="shared" ca="1" si="24"/>
        <v>Not Due</v>
      </c>
    </row>
    <row r="174" spans="1:16" ht="15" x14ac:dyDescent="0.25">
      <c r="A174" s="33" t="s">
        <v>58</v>
      </c>
      <c r="B174" t="s">
        <v>2318</v>
      </c>
      <c r="C174" s="33" t="s">
        <v>264</v>
      </c>
      <c r="D174" s="33" t="s">
        <v>79</v>
      </c>
      <c r="F174" s="33" t="s">
        <v>35</v>
      </c>
      <c r="G174" s="355">
        <v>1851.85</v>
      </c>
      <c r="H174" s="255">
        <f>IF(F174="TND",1,IF(F174="EUR",Vertical_Cash_flow!$C$16,IF(F174="USD",Vertical_Cash_flow!$F$16,0)))</f>
        <v>1</v>
      </c>
      <c r="I174" s="255">
        <f t="shared" si="21"/>
        <v>1851.85</v>
      </c>
      <c r="J174" s="33" t="s">
        <v>251</v>
      </c>
      <c r="K174" s="39">
        <v>45427</v>
      </c>
      <c r="L174" s="255">
        <f t="shared" si="22"/>
        <v>56</v>
      </c>
      <c r="M174" s="625">
        <v>45483</v>
      </c>
      <c r="N174" s="411">
        <f t="shared" ca="1" si="23"/>
        <v>-42</v>
      </c>
      <c r="O174" s="33" t="str">
        <f>VLOOKUP(M174,Mapping!L:M,2,0)</f>
        <v>W28_2024</v>
      </c>
      <c r="P174" s="33" t="str">
        <f t="shared" ca="1" si="24"/>
        <v>Not Due</v>
      </c>
    </row>
    <row r="175" spans="1:16" ht="15" x14ac:dyDescent="0.25">
      <c r="A175" s="33" t="s">
        <v>58</v>
      </c>
      <c r="B175" t="s">
        <v>743</v>
      </c>
      <c r="C175" s="33" t="s">
        <v>264</v>
      </c>
      <c r="D175" s="33" t="s">
        <v>79</v>
      </c>
      <c r="F175" s="33" t="s">
        <v>35</v>
      </c>
      <c r="G175" s="355">
        <v>579.02</v>
      </c>
      <c r="H175" s="255">
        <f>IF(F175="TND",1,IF(F175="EUR",Vertical_Cash_flow!$C$16,IF(F175="USD",Vertical_Cash_flow!$F$16,0)))</f>
        <v>1</v>
      </c>
      <c r="I175" s="255">
        <f t="shared" si="21"/>
        <v>579.02</v>
      </c>
      <c r="J175" s="33" t="s">
        <v>251</v>
      </c>
      <c r="K175" s="39">
        <v>45432</v>
      </c>
      <c r="L175" s="255">
        <f t="shared" si="22"/>
        <v>36</v>
      </c>
      <c r="M175" s="625">
        <v>45468</v>
      </c>
      <c r="N175" s="411">
        <f t="shared" ca="1" si="23"/>
        <v>-27</v>
      </c>
      <c r="O175" s="33" t="str">
        <f>VLOOKUP(M175,Mapping!L:M,2,0)</f>
        <v>W26_2024</v>
      </c>
      <c r="P175" s="33" t="str">
        <f t="shared" ca="1" si="24"/>
        <v>Not Due</v>
      </c>
    </row>
    <row r="176" spans="1:16" ht="15" x14ac:dyDescent="0.25">
      <c r="A176" s="33" t="s">
        <v>58</v>
      </c>
      <c r="B176" t="s">
        <v>796</v>
      </c>
      <c r="C176" s="33" t="s">
        <v>264</v>
      </c>
      <c r="D176" s="33" t="s">
        <v>79</v>
      </c>
      <c r="F176" s="33" t="s">
        <v>35</v>
      </c>
      <c r="G176" s="355">
        <v>7676.2659999999996</v>
      </c>
      <c r="H176" s="255">
        <f>IF(F176="TND",1,IF(F176="EUR",Vertical_Cash_flow!$C$16,IF(F176="USD",Vertical_Cash_flow!$F$16,0)))</f>
        <v>1</v>
      </c>
      <c r="I176" s="255">
        <f t="shared" si="21"/>
        <v>7676.2659999999996</v>
      </c>
      <c r="J176" s="33" t="s">
        <v>251</v>
      </c>
      <c r="K176" s="39">
        <v>45419</v>
      </c>
      <c r="L176" s="255">
        <f t="shared" si="22"/>
        <v>44</v>
      </c>
      <c r="M176" s="625">
        <v>45463</v>
      </c>
      <c r="N176" s="411">
        <f t="shared" ca="1" si="23"/>
        <v>-22</v>
      </c>
      <c r="O176" s="33" t="str">
        <f>VLOOKUP(M176,Mapping!L:M,2,0)</f>
        <v>W25_2024</v>
      </c>
      <c r="P176" s="33" t="str">
        <f t="shared" ca="1" si="24"/>
        <v>Not Due</v>
      </c>
    </row>
    <row r="177" spans="1:16" ht="15" x14ac:dyDescent="0.25">
      <c r="A177" s="33" t="s">
        <v>58</v>
      </c>
      <c r="B177" t="s">
        <v>796</v>
      </c>
      <c r="C177" s="33" t="s">
        <v>264</v>
      </c>
      <c r="D177" s="33" t="s">
        <v>79</v>
      </c>
      <c r="F177" s="33" t="s">
        <v>35</v>
      </c>
      <c r="G177" s="355">
        <v>5731.4160000000002</v>
      </c>
      <c r="H177" s="255">
        <f>IF(F177="TND",1,IF(F177="EUR",Vertical_Cash_flow!$C$16,IF(F177="USD",Vertical_Cash_flow!$F$16,0)))</f>
        <v>1</v>
      </c>
      <c r="I177" s="255">
        <f t="shared" si="21"/>
        <v>5731.4160000000002</v>
      </c>
      <c r="J177" s="33" t="s">
        <v>251</v>
      </c>
      <c r="K177" s="39">
        <v>45432</v>
      </c>
      <c r="L177" s="255">
        <f t="shared" si="22"/>
        <v>31</v>
      </c>
      <c r="M177" s="625">
        <v>45463</v>
      </c>
      <c r="N177" s="411">
        <f t="shared" ca="1" si="23"/>
        <v>-22</v>
      </c>
      <c r="O177" s="33" t="str">
        <f>VLOOKUP(M177,Mapping!L:M,2,0)</f>
        <v>W25_2024</v>
      </c>
      <c r="P177" s="33" t="str">
        <f t="shared" ca="1" si="24"/>
        <v>Not Due</v>
      </c>
    </row>
    <row r="178" spans="1:16" ht="15" x14ac:dyDescent="0.25">
      <c r="A178" s="33" t="s">
        <v>58</v>
      </c>
      <c r="B178" t="s">
        <v>431</v>
      </c>
      <c r="C178" s="33" t="s">
        <v>264</v>
      </c>
      <c r="D178" s="33" t="s">
        <v>79</v>
      </c>
      <c r="F178" s="33" t="s">
        <v>35</v>
      </c>
      <c r="G178" s="355">
        <v>446.56</v>
      </c>
      <c r="H178" s="255">
        <f>IF(F178="TND",1,IF(F178="EUR",Vertical_Cash_flow!$C$16,IF(F178="USD",Vertical_Cash_flow!$F$16,0)))</f>
        <v>1</v>
      </c>
      <c r="I178" s="255">
        <f t="shared" si="21"/>
        <v>446.56</v>
      </c>
      <c r="J178" s="33" t="s">
        <v>251</v>
      </c>
      <c r="K178" s="39">
        <v>45397</v>
      </c>
      <c r="L178" s="255">
        <f t="shared" si="22"/>
        <v>51</v>
      </c>
      <c r="M178" s="625">
        <v>45448</v>
      </c>
      <c r="N178" s="411">
        <f t="shared" ca="1" si="23"/>
        <v>-7</v>
      </c>
      <c r="O178" s="33" t="str">
        <f>VLOOKUP(M178,Mapping!L:M,2,0)</f>
        <v>W23_2024</v>
      </c>
      <c r="P178" s="33" t="str">
        <f t="shared" ca="1" si="24"/>
        <v>Not Due</v>
      </c>
    </row>
    <row r="179" spans="1:16" ht="15" x14ac:dyDescent="0.25">
      <c r="A179" s="33" t="s">
        <v>58</v>
      </c>
      <c r="B179" t="s">
        <v>431</v>
      </c>
      <c r="C179" s="33" t="s">
        <v>264</v>
      </c>
      <c r="D179" s="33" t="s">
        <v>79</v>
      </c>
      <c r="F179" s="33" t="s">
        <v>35</v>
      </c>
      <c r="G179" s="355">
        <v>3993.0590000000002</v>
      </c>
      <c r="H179" s="255">
        <f>IF(F179="TND",1,IF(F179="EUR",Vertical_Cash_flow!$C$16,IF(F179="USD",Vertical_Cash_flow!$F$16,0)))</f>
        <v>1</v>
      </c>
      <c r="I179" s="255">
        <f t="shared" si="21"/>
        <v>3993.0590000000002</v>
      </c>
      <c r="J179" s="33" t="s">
        <v>251</v>
      </c>
      <c r="K179" s="39">
        <v>45432</v>
      </c>
      <c r="L179" s="255">
        <f t="shared" si="22"/>
        <v>46</v>
      </c>
      <c r="M179" s="625">
        <v>45478</v>
      </c>
      <c r="N179" s="411">
        <f t="shared" ca="1" si="23"/>
        <v>-37</v>
      </c>
      <c r="O179" s="33" t="str">
        <f>VLOOKUP(M179,Mapping!L:M,2,0)</f>
        <v>W27_2024</v>
      </c>
      <c r="P179" s="33" t="str">
        <f t="shared" ca="1" si="24"/>
        <v>Not Due</v>
      </c>
    </row>
    <row r="180" spans="1:16" ht="15" x14ac:dyDescent="0.25">
      <c r="A180" s="33" t="s">
        <v>58</v>
      </c>
      <c r="B180" s="623" t="s">
        <v>845</v>
      </c>
      <c r="C180" s="33" t="s">
        <v>75</v>
      </c>
      <c r="D180" s="33" t="s">
        <v>30</v>
      </c>
      <c r="F180" s="33" t="s">
        <v>35</v>
      </c>
      <c r="G180" s="624">
        <v>171386.524</v>
      </c>
      <c r="H180" s="255">
        <f>IF(F180="TND",1,IF(F180="EUR",Vertical_Cash_flow!$C$16,IF(F180="USD",Vertical_Cash_flow!$F$16,0)))</f>
        <v>1</v>
      </c>
      <c r="I180" s="255">
        <f t="shared" si="21"/>
        <v>171386.524</v>
      </c>
      <c r="J180" s="33" t="s">
        <v>251</v>
      </c>
      <c r="K180" s="625">
        <v>45343</v>
      </c>
      <c r="L180" s="255">
        <f t="shared" si="22"/>
        <v>91</v>
      </c>
      <c r="M180" s="625">
        <v>45434</v>
      </c>
      <c r="N180" s="411">
        <f t="shared" ca="1" si="23"/>
        <v>7</v>
      </c>
      <c r="O180" s="33" t="str">
        <f>VLOOKUP(M180,Mapping!L:M,2,0)</f>
        <v>W21_2024</v>
      </c>
      <c r="P180" s="33" t="str">
        <f t="shared" ca="1" si="24"/>
        <v>up 30 days</v>
      </c>
    </row>
    <row r="181" spans="1:16" ht="15" x14ac:dyDescent="0.25">
      <c r="A181" s="33" t="s">
        <v>58</v>
      </c>
      <c r="B181" t="s">
        <v>667</v>
      </c>
      <c r="C181" s="33" t="s">
        <v>264</v>
      </c>
      <c r="D181" s="33" t="s">
        <v>79</v>
      </c>
      <c r="F181" s="33" t="s">
        <v>35</v>
      </c>
      <c r="G181" s="355">
        <v>1516.027</v>
      </c>
      <c r="H181" s="255">
        <f>IF(F181="TND",1,IF(F181="EUR",Vertical_Cash_flow!$C$16,IF(F181="USD",Vertical_Cash_flow!$F$16,0)))</f>
        <v>1</v>
      </c>
      <c r="I181" s="255">
        <f t="shared" si="21"/>
        <v>1516.027</v>
      </c>
      <c r="J181" s="33" t="s">
        <v>251</v>
      </c>
      <c r="K181" s="39">
        <v>45358</v>
      </c>
      <c r="L181" s="255">
        <f t="shared" si="22"/>
        <v>90</v>
      </c>
      <c r="M181" s="625">
        <v>45448</v>
      </c>
      <c r="N181" s="411">
        <f t="shared" ca="1" si="23"/>
        <v>-7</v>
      </c>
      <c r="O181" s="33" t="str">
        <f>VLOOKUP(M181,Mapping!L:M,2,0)</f>
        <v>W23_2024</v>
      </c>
      <c r="P181" s="33" t="str">
        <f t="shared" ca="1" si="24"/>
        <v>Not Due</v>
      </c>
    </row>
    <row r="182" spans="1:16" ht="15" x14ac:dyDescent="0.25">
      <c r="A182" s="33" t="s">
        <v>58</v>
      </c>
      <c r="B182" s="623" t="s">
        <v>667</v>
      </c>
      <c r="C182" s="33" t="s">
        <v>264</v>
      </c>
      <c r="D182" s="33" t="s">
        <v>79</v>
      </c>
      <c r="F182" s="33" t="s">
        <v>35</v>
      </c>
      <c r="G182" s="624">
        <v>3170.0790000000002</v>
      </c>
      <c r="H182" s="255">
        <f>IF(F182="TND",1,IF(F182="EUR",Vertical_Cash_flow!$C$16,IF(F182="USD",Vertical_Cash_flow!$F$16,0)))</f>
        <v>1</v>
      </c>
      <c r="I182" s="255">
        <f t="shared" si="21"/>
        <v>3170.0790000000002</v>
      </c>
      <c r="J182" s="33" t="s">
        <v>251</v>
      </c>
      <c r="K182" s="625">
        <v>45342</v>
      </c>
      <c r="L182" s="255">
        <f t="shared" si="22"/>
        <v>111</v>
      </c>
      <c r="M182" s="625">
        <v>45453</v>
      </c>
      <c r="N182" s="411">
        <f t="shared" ca="1" si="23"/>
        <v>-12</v>
      </c>
      <c r="O182" s="33" t="str">
        <f>VLOOKUP(M182,Mapping!L:M,2,0)</f>
        <v>W24_2024</v>
      </c>
      <c r="P182" s="33" t="str">
        <f t="shared" ca="1" si="24"/>
        <v>Not Due</v>
      </c>
    </row>
    <row r="183" spans="1:16" ht="15" x14ac:dyDescent="0.25">
      <c r="A183" s="33" t="s">
        <v>58</v>
      </c>
      <c r="B183" s="623" t="s">
        <v>667</v>
      </c>
      <c r="C183" s="33" t="s">
        <v>264</v>
      </c>
      <c r="D183" s="33" t="s">
        <v>79</v>
      </c>
      <c r="F183" s="33" t="s">
        <v>35</v>
      </c>
      <c r="G183" s="624">
        <v>3181.86</v>
      </c>
      <c r="H183" s="255">
        <f>IF(F183="TND",1,IF(F183="EUR",Vertical_Cash_flow!$C$16,IF(F183="USD",Vertical_Cash_flow!$F$16,0)))</f>
        <v>1</v>
      </c>
      <c r="I183" s="255">
        <f t="shared" si="21"/>
        <v>3181.86</v>
      </c>
      <c r="J183" s="33" t="s">
        <v>251</v>
      </c>
      <c r="K183" s="625">
        <v>45344</v>
      </c>
      <c r="L183" s="255">
        <f t="shared" si="22"/>
        <v>109</v>
      </c>
      <c r="M183" s="625">
        <v>45453</v>
      </c>
      <c r="N183" s="411">
        <f t="shared" ca="1" si="23"/>
        <v>-12</v>
      </c>
      <c r="O183" s="33" t="str">
        <f>VLOOKUP(M183,Mapping!L:M,2,0)</f>
        <v>W24_2024</v>
      </c>
      <c r="P183" s="33" t="str">
        <f t="shared" ca="1" si="24"/>
        <v>Not Due</v>
      </c>
    </row>
    <row r="184" spans="1:16" ht="15" x14ac:dyDescent="0.25">
      <c r="A184" s="33" t="s">
        <v>58</v>
      </c>
      <c r="B184" t="s">
        <v>667</v>
      </c>
      <c r="C184" s="33" t="s">
        <v>264</v>
      </c>
      <c r="D184" s="33" t="s">
        <v>79</v>
      </c>
      <c r="F184" s="33" t="s">
        <v>35</v>
      </c>
      <c r="G184" s="355">
        <v>1591.425</v>
      </c>
      <c r="H184" s="255">
        <f>IF(F184="TND",1,IF(F184="EUR",Vertical_Cash_flow!$C$16,IF(F184="USD",Vertical_Cash_flow!$F$16,0)))</f>
        <v>1</v>
      </c>
      <c r="I184" s="255">
        <f t="shared" si="21"/>
        <v>1591.425</v>
      </c>
      <c r="J184" s="33" t="s">
        <v>251</v>
      </c>
      <c r="K184" s="39">
        <v>45406</v>
      </c>
      <c r="L184" s="255">
        <f t="shared" si="22"/>
        <v>72</v>
      </c>
      <c r="M184" s="625">
        <v>45478</v>
      </c>
      <c r="N184" s="411">
        <f t="shared" ca="1" si="23"/>
        <v>-37</v>
      </c>
      <c r="O184" s="33" t="str">
        <f>VLOOKUP(M184,Mapping!L:M,2,0)</f>
        <v>W27_2024</v>
      </c>
      <c r="P184" s="33" t="str">
        <f t="shared" ca="1" si="24"/>
        <v>Not Due</v>
      </c>
    </row>
    <row r="185" spans="1:16" ht="15" x14ac:dyDescent="0.25">
      <c r="A185" s="33" t="s">
        <v>58</v>
      </c>
      <c r="B185" t="s">
        <v>432</v>
      </c>
      <c r="C185" s="33" t="s">
        <v>264</v>
      </c>
      <c r="D185" s="33" t="s">
        <v>79</v>
      </c>
      <c r="F185" s="33" t="s">
        <v>35</v>
      </c>
      <c r="G185" s="355">
        <v>632.19000000000005</v>
      </c>
      <c r="H185" s="255">
        <f>IF(F185="TND",1,IF(F185="EUR",Vertical_Cash_flow!$C$16,IF(F185="USD",Vertical_Cash_flow!$F$16,0)))</f>
        <v>1</v>
      </c>
      <c r="I185" s="255">
        <f t="shared" si="21"/>
        <v>632.19000000000005</v>
      </c>
      <c r="J185" s="33" t="s">
        <v>251</v>
      </c>
      <c r="K185" s="39">
        <v>45432</v>
      </c>
      <c r="L185" s="255">
        <f t="shared" si="22"/>
        <v>31</v>
      </c>
      <c r="M185" s="625">
        <v>45463</v>
      </c>
      <c r="N185" s="411">
        <f t="shared" ca="1" si="23"/>
        <v>-22</v>
      </c>
      <c r="O185" s="33" t="str">
        <f>VLOOKUP(M185,Mapping!L:M,2,0)</f>
        <v>W25_2024</v>
      </c>
      <c r="P185" s="33" t="str">
        <f t="shared" ca="1" si="24"/>
        <v>Not Due</v>
      </c>
    </row>
    <row r="186" spans="1:16" ht="15" x14ac:dyDescent="0.25">
      <c r="A186" s="33" t="s">
        <v>58</v>
      </c>
      <c r="B186" t="s">
        <v>432</v>
      </c>
      <c r="C186" s="33" t="s">
        <v>264</v>
      </c>
      <c r="D186" s="33" t="s">
        <v>79</v>
      </c>
      <c r="F186" s="33" t="s">
        <v>35</v>
      </c>
      <c r="G186" s="355">
        <v>2838.4340000000002</v>
      </c>
      <c r="H186" s="255">
        <f>IF(F186="TND",1,IF(F186="EUR",Vertical_Cash_flow!$C$16,IF(F186="USD",Vertical_Cash_flow!$F$16,0)))</f>
        <v>1</v>
      </c>
      <c r="I186" s="255">
        <f t="shared" si="21"/>
        <v>2838.4340000000002</v>
      </c>
      <c r="J186" s="33" t="s">
        <v>251</v>
      </c>
      <c r="K186" s="39">
        <v>45427</v>
      </c>
      <c r="L186" s="255">
        <f t="shared" si="22"/>
        <v>51</v>
      </c>
      <c r="M186" s="625">
        <v>45478</v>
      </c>
      <c r="N186" s="411">
        <f t="shared" ca="1" si="23"/>
        <v>-37</v>
      </c>
      <c r="O186" s="33" t="str">
        <f>VLOOKUP(M186,Mapping!L:M,2,0)</f>
        <v>W27_2024</v>
      </c>
      <c r="P186" s="33" t="str">
        <f t="shared" ca="1" si="24"/>
        <v>Not Due</v>
      </c>
    </row>
    <row r="187" spans="1:16" ht="15" x14ac:dyDescent="0.25">
      <c r="A187" s="33" t="s">
        <v>58</v>
      </c>
      <c r="B187" t="s">
        <v>3003</v>
      </c>
      <c r="C187" s="33" t="s">
        <v>264</v>
      </c>
      <c r="D187" s="33" t="s">
        <v>79</v>
      </c>
      <c r="F187" s="33" t="s">
        <v>35</v>
      </c>
      <c r="G187" s="355">
        <v>6781.9440000000004</v>
      </c>
      <c r="H187" s="255">
        <f>IF(F187="TND",1,IF(F187="EUR",Vertical_Cash_flow!$C$16,IF(F187="USD",Vertical_Cash_flow!$F$16,0)))</f>
        <v>1</v>
      </c>
      <c r="I187" s="255">
        <f t="shared" si="21"/>
        <v>6781.9440000000004</v>
      </c>
      <c r="J187" s="33" t="s">
        <v>251</v>
      </c>
      <c r="K187" s="39">
        <v>45406</v>
      </c>
      <c r="L187" s="255">
        <f t="shared" si="22"/>
        <v>31</v>
      </c>
      <c r="M187" s="625">
        <v>45437</v>
      </c>
      <c r="N187" s="411">
        <f t="shared" ca="1" si="23"/>
        <v>4</v>
      </c>
      <c r="O187" s="33" t="str">
        <f>VLOOKUP(M187,Mapping!L:M,2,0)</f>
        <v>W22_2024</v>
      </c>
      <c r="P187" s="33" t="str">
        <f t="shared" ca="1" si="24"/>
        <v>up 30 days</v>
      </c>
    </row>
    <row r="188" spans="1:16" ht="15" x14ac:dyDescent="0.25">
      <c r="A188" s="33" t="s">
        <v>58</v>
      </c>
      <c r="B188" t="s">
        <v>664</v>
      </c>
      <c r="C188" s="33" t="s">
        <v>264</v>
      </c>
      <c r="D188" s="33" t="s">
        <v>79</v>
      </c>
      <c r="F188" s="33" t="s">
        <v>35</v>
      </c>
      <c r="G188" s="355">
        <v>1423.385</v>
      </c>
      <c r="H188" s="255">
        <f>IF(F188="TND",1,IF(F188="EUR",Vertical_Cash_flow!$C$16,IF(F188="USD",Vertical_Cash_flow!$F$16,0)))</f>
        <v>1</v>
      </c>
      <c r="I188" s="255">
        <f t="shared" si="21"/>
        <v>1423.385</v>
      </c>
      <c r="J188" s="33" t="s">
        <v>251</v>
      </c>
      <c r="K188" s="39">
        <v>45379</v>
      </c>
      <c r="L188" s="255">
        <f t="shared" si="22"/>
        <v>58</v>
      </c>
      <c r="M188" s="625">
        <v>45437</v>
      </c>
      <c r="N188" s="411">
        <f t="shared" ca="1" si="23"/>
        <v>4</v>
      </c>
      <c r="O188" s="33" t="str">
        <f>VLOOKUP(M188,Mapping!L:M,2,0)</f>
        <v>W22_2024</v>
      </c>
      <c r="P188" s="33" t="str">
        <f t="shared" ca="1" si="24"/>
        <v>up 30 days</v>
      </c>
    </row>
    <row r="189" spans="1:16" ht="15" customHeight="1" x14ac:dyDescent="0.25">
      <c r="A189" s="33" t="s">
        <v>58</v>
      </c>
      <c r="B189" t="s">
        <v>664</v>
      </c>
      <c r="C189" s="33" t="s">
        <v>264</v>
      </c>
      <c r="D189" s="33" t="s">
        <v>79</v>
      </c>
      <c r="F189" s="33" t="s">
        <v>35</v>
      </c>
      <c r="G189" s="355">
        <v>610.24900000000002</v>
      </c>
      <c r="H189" s="255">
        <f>IF(F189="TND",1,IF(F189="EUR",Vertical_Cash_flow!$C$16,IF(F189="USD",Vertical_Cash_flow!$F$16,0)))</f>
        <v>1</v>
      </c>
      <c r="I189" s="255">
        <f t="shared" si="21"/>
        <v>610.24900000000002</v>
      </c>
      <c r="J189" s="33" t="s">
        <v>251</v>
      </c>
      <c r="K189" s="39">
        <v>45419</v>
      </c>
      <c r="L189" s="255">
        <f t="shared" si="22"/>
        <v>29</v>
      </c>
      <c r="M189" s="625">
        <v>45448</v>
      </c>
      <c r="N189" s="411">
        <f t="shared" ca="1" si="23"/>
        <v>-7</v>
      </c>
      <c r="O189" s="33" t="str">
        <f>VLOOKUP(M189,Mapping!L:M,2,0)</f>
        <v>W23_2024</v>
      </c>
      <c r="P189" s="33" t="str">
        <f t="shared" ca="1" si="24"/>
        <v>Not Due</v>
      </c>
    </row>
    <row r="190" spans="1:16" ht="15" x14ac:dyDescent="0.25">
      <c r="A190" s="33" t="s">
        <v>58</v>
      </c>
      <c r="B190" t="s">
        <v>664</v>
      </c>
      <c r="C190" s="33" t="s">
        <v>264</v>
      </c>
      <c r="D190" s="33" t="s">
        <v>79</v>
      </c>
      <c r="F190" s="33" t="s">
        <v>35</v>
      </c>
      <c r="G190" s="355">
        <v>2155.3629999999998</v>
      </c>
      <c r="H190" s="255">
        <f>IF(F190="TND",1,IF(F190="EUR",Vertical_Cash_flow!$C$16,IF(F190="USD",Vertical_Cash_flow!$F$16,0)))</f>
        <v>1</v>
      </c>
      <c r="I190" s="255">
        <f t="shared" si="21"/>
        <v>2155.3629999999998</v>
      </c>
      <c r="J190" s="33" t="s">
        <v>251</v>
      </c>
      <c r="K190" s="39">
        <v>45418</v>
      </c>
      <c r="L190" s="255">
        <f t="shared" si="22"/>
        <v>45</v>
      </c>
      <c r="M190" s="625">
        <v>45463</v>
      </c>
      <c r="N190" s="411">
        <f t="shared" ca="1" si="23"/>
        <v>-22</v>
      </c>
      <c r="O190" s="33" t="str">
        <f>VLOOKUP(M190,Mapping!L:M,2,0)</f>
        <v>W25_2024</v>
      </c>
      <c r="P190" s="33" t="str">
        <f t="shared" ca="1" si="24"/>
        <v>Not Due</v>
      </c>
    </row>
    <row r="191" spans="1:16" ht="15" x14ac:dyDescent="0.25">
      <c r="A191" s="33" t="s">
        <v>58</v>
      </c>
      <c r="B191" t="s">
        <v>664</v>
      </c>
      <c r="C191" s="33" t="s">
        <v>264</v>
      </c>
      <c r="D191" s="33" t="s">
        <v>79</v>
      </c>
      <c r="F191" s="33" t="s">
        <v>35</v>
      </c>
      <c r="G191" s="355">
        <v>335.75200000000001</v>
      </c>
      <c r="H191" s="255">
        <f>IF(F191="TND",1,IF(F191="EUR",Vertical_Cash_flow!$C$16,IF(F191="USD",Vertical_Cash_flow!$F$16,0)))</f>
        <v>1</v>
      </c>
      <c r="I191" s="255">
        <f t="shared" si="21"/>
        <v>335.75200000000001</v>
      </c>
      <c r="J191" s="33" t="s">
        <v>251</v>
      </c>
      <c r="K191" s="39">
        <v>45432</v>
      </c>
      <c r="L191" s="255">
        <f t="shared" si="22"/>
        <v>46</v>
      </c>
      <c r="M191" s="625">
        <v>45478</v>
      </c>
      <c r="N191" s="411">
        <f t="shared" ca="1" si="23"/>
        <v>-37</v>
      </c>
      <c r="O191" s="33" t="str">
        <f>VLOOKUP(M191,Mapping!L:M,2,0)</f>
        <v>W27_2024</v>
      </c>
      <c r="P191" s="33" t="str">
        <f t="shared" ca="1" si="24"/>
        <v>Not Due</v>
      </c>
    </row>
    <row r="192" spans="1:16" ht="15" x14ac:dyDescent="0.25">
      <c r="A192" s="33" t="s">
        <v>58</v>
      </c>
      <c r="B192" t="s">
        <v>664</v>
      </c>
      <c r="C192" s="33" t="s">
        <v>264</v>
      </c>
      <c r="D192" s="33" t="s">
        <v>79</v>
      </c>
      <c r="F192" s="33" t="s">
        <v>35</v>
      </c>
      <c r="G192" s="355">
        <v>357.726</v>
      </c>
      <c r="H192" s="255">
        <f>IF(F192="TND",1,IF(F192="EUR",Vertical_Cash_flow!$C$16,IF(F192="USD",Vertical_Cash_flow!$F$16,0)))</f>
        <v>1</v>
      </c>
      <c r="I192" s="255">
        <f t="shared" si="21"/>
        <v>357.726</v>
      </c>
      <c r="J192" s="33" t="s">
        <v>251</v>
      </c>
      <c r="K192" s="39">
        <v>45432</v>
      </c>
      <c r="L192" s="255">
        <f t="shared" si="22"/>
        <v>61</v>
      </c>
      <c r="M192" s="625">
        <v>45493</v>
      </c>
      <c r="N192" s="411">
        <f t="shared" ca="1" si="23"/>
        <v>-52</v>
      </c>
      <c r="O192" s="33" t="str">
        <f>VLOOKUP(M192,Mapping!L:M,2,0)</f>
        <v>W30_2024</v>
      </c>
      <c r="P192" s="33" t="str">
        <f t="shared" ca="1" si="24"/>
        <v>Not Due</v>
      </c>
    </row>
    <row r="193" spans="1:16" ht="15" x14ac:dyDescent="0.25">
      <c r="A193" s="33" t="s">
        <v>58</v>
      </c>
      <c r="B193" t="s">
        <v>762</v>
      </c>
      <c r="C193" s="33" t="s">
        <v>264</v>
      </c>
      <c r="D193" s="33" t="s">
        <v>79</v>
      </c>
      <c r="F193" s="33" t="s">
        <v>35</v>
      </c>
      <c r="G193" s="355">
        <v>4356.92</v>
      </c>
      <c r="H193" s="255">
        <f>IF(F193="TND",1,IF(F193="EUR",Vertical_Cash_flow!$C$16,IF(F193="USD",Vertical_Cash_flow!$F$16,0)))</f>
        <v>1</v>
      </c>
      <c r="I193" s="255">
        <f t="shared" si="21"/>
        <v>4356.92</v>
      </c>
      <c r="J193" s="33" t="s">
        <v>251</v>
      </c>
      <c r="K193" s="39">
        <v>45407</v>
      </c>
      <c r="L193" s="255">
        <f t="shared" si="22"/>
        <v>30</v>
      </c>
      <c r="M193" s="625">
        <v>45437</v>
      </c>
      <c r="N193" s="411">
        <f t="shared" ca="1" si="23"/>
        <v>4</v>
      </c>
      <c r="O193" s="33" t="str">
        <f>VLOOKUP(M193,Mapping!L:M,2,0)</f>
        <v>W22_2024</v>
      </c>
      <c r="P193" s="33" t="str">
        <f t="shared" ca="1" si="24"/>
        <v>up 30 days</v>
      </c>
    </row>
    <row r="194" spans="1:16" ht="15" x14ac:dyDescent="0.25">
      <c r="A194" s="33" t="s">
        <v>58</v>
      </c>
      <c r="B194" t="s">
        <v>762</v>
      </c>
      <c r="C194" s="33" t="s">
        <v>264</v>
      </c>
      <c r="D194" s="33" t="s">
        <v>79</v>
      </c>
      <c r="F194" s="33" t="s">
        <v>35</v>
      </c>
      <c r="G194" s="355">
        <v>367.375</v>
      </c>
      <c r="H194" s="255">
        <f>IF(F194="TND",1,IF(F194="EUR",Vertical_Cash_flow!$C$16,IF(F194="USD",Vertical_Cash_flow!$F$16,0)))</f>
        <v>1</v>
      </c>
      <c r="I194" s="255">
        <f t="shared" si="21"/>
        <v>367.375</v>
      </c>
      <c r="J194" s="33" t="s">
        <v>251</v>
      </c>
      <c r="K194" s="39">
        <v>45419</v>
      </c>
      <c r="L194" s="255">
        <f t="shared" si="22"/>
        <v>29</v>
      </c>
      <c r="M194" s="625">
        <v>45448</v>
      </c>
      <c r="N194" s="411">
        <f t="shared" ca="1" si="23"/>
        <v>-7</v>
      </c>
      <c r="O194" s="33" t="str">
        <f>VLOOKUP(M194,Mapping!L:M,2,0)</f>
        <v>W23_2024</v>
      </c>
      <c r="P194" s="33" t="str">
        <f t="shared" ca="1" si="24"/>
        <v>Not Due</v>
      </c>
    </row>
    <row r="195" spans="1:16" ht="15" x14ac:dyDescent="0.25">
      <c r="A195" s="33" t="s">
        <v>58</v>
      </c>
      <c r="B195" t="s">
        <v>762</v>
      </c>
      <c r="C195" s="33" t="s">
        <v>264</v>
      </c>
      <c r="D195" s="33" t="s">
        <v>79</v>
      </c>
      <c r="F195" s="33" t="s">
        <v>35</v>
      </c>
      <c r="G195" s="355">
        <v>3147.7620000000002</v>
      </c>
      <c r="H195" s="255">
        <f>IF(F195="TND",1,IF(F195="EUR",Vertical_Cash_flow!$C$16,IF(F195="USD",Vertical_Cash_flow!$F$16,0)))</f>
        <v>1</v>
      </c>
      <c r="I195" s="255">
        <f t="shared" si="21"/>
        <v>3147.7620000000002</v>
      </c>
      <c r="J195" s="33" t="s">
        <v>251</v>
      </c>
      <c r="K195" s="39">
        <v>45432</v>
      </c>
      <c r="L195" s="255">
        <f t="shared" si="22"/>
        <v>36</v>
      </c>
      <c r="M195" s="625">
        <v>45468</v>
      </c>
      <c r="N195" s="411">
        <f t="shared" ca="1" si="23"/>
        <v>-27</v>
      </c>
      <c r="O195" s="33" t="str">
        <f>VLOOKUP(M195,Mapping!L:M,2,0)</f>
        <v>W26_2024</v>
      </c>
      <c r="P195" s="33" t="str">
        <f t="shared" ca="1" si="24"/>
        <v>Not Due</v>
      </c>
    </row>
    <row r="196" spans="1:16" ht="15" x14ac:dyDescent="0.25">
      <c r="A196" s="33" t="s">
        <v>58</v>
      </c>
      <c r="B196" t="s">
        <v>1471</v>
      </c>
      <c r="C196" s="33" t="s">
        <v>264</v>
      </c>
      <c r="D196" s="33" t="s">
        <v>79</v>
      </c>
      <c r="F196" s="33" t="s">
        <v>35</v>
      </c>
      <c r="G196" s="355">
        <v>11438.767</v>
      </c>
      <c r="H196" s="255">
        <f>IF(F196="TND",1,IF(F196="EUR",Vertical_Cash_flow!$C$16,IF(F196="USD",Vertical_Cash_flow!$F$16,0)))</f>
        <v>1</v>
      </c>
      <c r="I196" s="255">
        <f t="shared" si="21"/>
        <v>11438.767</v>
      </c>
      <c r="J196" s="33" t="s">
        <v>251</v>
      </c>
      <c r="K196" s="39">
        <v>45414</v>
      </c>
      <c r="L196" s="255">
        <f t="shared" si="22"/>
        <v>34</v>
      </c>
      <c r="M196" s="625">
        <v>45448</v>
      </c>
      <c r="N196" s="411">
        <f t="shared" ca="1" si="23"/>
        <v>-7</v>
      </c>
      <c r="O196" s="33" t="str">
        <f>VLOOKUP(M196,Mapping!L:M,2,0)</f>
        <v>W23_2024</v>
      </c>
      <c r="P196" s="33" t="str">
        <f t="shared" ca="1" si="24"/>
        <v>Not Due</v>
      </c>
    </row>
    <row r="197" spans="1:16" ht="15" x14ac:dyDescent="0.25">
      <c r="A197" s="33" t="s">
        <v>58</v>
      </c>
      <c r="B197" t="s">
        <v>909</v>
      </c>
      <c r="C197" s="33" t="s">
        <v>264</v>
      </c>
      <c r="D197" s="33" t="s">
        <v>79</v>
      </c>
      <c r="F197" s="33" t="s">
        <v>35</v>
      </c>
      <c r="G197" s="355">
        <v>3821.569</v>
      </c>
      <c r="H197" s="255">
        <f>IF(F197="TND",1,IF(F197="EUR",Vertical_Cash_flow!$C$16,IF(F197="USD",Vertical_Cash_flow!$F$16,0)))</f>
        <v>1</v>
      </c>
      <c r="I197" s="255">
        <f t="shared" si="21"/>
        <v>3821.569</v>
      </c>
      <c r="J197" s="33" t="s">
        <v>251</v>
      </c>
      <c r="K197" s="39">
        <v>45432</v>
      </c>
      <c r="L197" s="255">
        <f t="shared" si="22"/>
        <v>56</v>
      </c>
      <c r="M197" s="625">
        <v>45488</v>
      </c>
      <c r="N197" s="411">
        <f t="shared" ca="1" si="23"/>
        <v>-47</v>
      </c>
      <c r="O197" s="33" t="str">
        <f>VLOOKUP(M197,Mapping!L:M,2,0)</f>
        <v>W29_2024</v>
      </c>
      <c r="P197" s="33" t="str">
        <f t="shared" ca="1" si="24"/>
        <v>Not Due</v>
      </c>
    </row>
    <row r="198" spans="1:16" ht="15" x14ac:dyDescent="0.25">
      <c r="A198" s="33" t="s">
        <v>58</v>
      </c>
      <c r="B198" s="623" t="s">
        <v>803</v>
      </c>
      <c r="C198" s="33" t="s">
        <v>264</v>
      </c>
      <c r="D198" s="33" t="s">
        <v>79</v>
      </c>
      <c r="F198" s="33" t="s">
        <v>35</v>
      </c>
      <c r="G198" s="624">
        <v>507.54</v>
      </c>
      <c r="H198" s="255">
        <f>IF(F198="TND",1,IF(F198="EUR",Vertical_Cash_flow!$C$16,IF(F198="USD",Vertical_Cash_flow!$F$16,0)))</f>
        <v>1</v>
      </c>
      <c r="I198" s="255">
        <f t="shared" si="21"/>
        <v>507.54</v>
      </c>
      <c r="J198" s="33" t="s">
        <v>251</v>
      </c>
      <c r="K198" s="625">
        <v>44944</v>
      </c>
      <c r="L198" s="255">
        <f t="shared" si="22"/>
        <v>0</v>
      </c>
      <c r="M198" s="625">
        <v>44944</v>
      </c>
      <c r="N198" s="411">
        <f t="shared" ca="1" si="23"/>
        <v>497</v>
      </c>
      <c r="O198" s="33" t="str">
        <f>VLOOKUP(M198,Mapping!L:M,2,0)</f>
        <v>W03_2023</v>
      </c>
      <c r="P198" s="33" t="str">
        <f t="shared" ca="1" si="24"/>
        <v>more than 360 days</v>
      </c>
    </row>
    <row r="199" spans="1:16" ht="15" x14ac:dyDescent="0.25">
      <c r="A199" s="33" t="s">
        <v>58</v>
      </c>
      <c r="B199" s="623" t="s">
        <v>803</v>
      </c>
      <c r="C199" s="33" t="s">
        <v>264</v>
      </c>
      <c r="D199" s="33" t="s">
        <v>79</v>
      </c>
      <c r="F199" s="33" t="s">
        <v>35</v>
      </c>
      <c r="G199" s="624">
        <v>1237.9949999999999</v>
      </c>
      <c r="H199" s="255">
        <f>IF(F199="TND",1,IF(F199="EUR",Vertical_Cash_flow!$C$16,IF(F199="USD",Vertical_Cash_flow!$F$16,0)))</f>
        <v>1</v>
      </c>
      <c r="I199" s="255">
        <f t="shared" si="21"/>
        <v>1237.9949999999999</v>
      </c>
      <c r="J199" s="33" t="s">
        <v>251</v>
      </c>
      <c r="K199" s="625">
        <v>44953</v>
      </c>
      <c r="L199" s="255">
        <f t="shared" si="22"/>
        <v>0</v>
      </c>
      <c r="M199" s="625">
        <v>44953</v>
      </c>
      <c r="N199" s="411">
        <f t="shared" ca="1" si="23"/>
        <v>488</v>
      </c>
      <c r="O199" s="33" t="str">
        <f>VLOOKUP(M199,Mapping!L:M,2,0)</f>
        <v>W04_2023</v>
      </c>
      <c r="P199" s="33" t="str">
        <f t="shared" ca="1" si="24"/>
        <v>more than 360 days</v>
      </c>
    </row>
    <row r="200" spans="1:16" ht="15" x14ac:dyDescent="0.25">
      <c r="A200" s="33" t="s">
        <v>58</v>
      </c>
      <c r="B200" s="637" t="s">
        <v>771</v>
      </c>
      <c r="C200" s="33" t="s">
        <v>264</v>
      </c>
      <c r="D200" s="33" t="s">
        <v>79</v>
      </c>
      <c r="F200" s="33" t="s">
        <v>35</v>
      </c>
      <c r="G200" s="624">
        <v>160</v>
      </c>
      <c r="H200" s="255">
        <f>IF(F200="TND",1,IF(F200="EUR",Vertical_Cash_flow!$C$16,IF(F200="USD",Vertical_Cash_flow!$F$16,0)))</f>
        <v>1</v>
      </c>
      <c r="I200" s="255">
        <f t="shared" si="21"/>
        <v>160</v>
      </c>
      <c r="J200" s="33" t="s">
        <v>251</v>
      </c>
      <c r="K200" s="625">
        <v>45051</v>
      </c>
      <c r="L200" s="255">
        <f t="shared" si="22"/>
        <v>-1</v>
      </c>
      <c r="M200" s="625">
        <v>45050</v>
      </c>
      <c r="N200" s="411">
        <f t="shared" ca="1" si="23"/>
        <v>391</v>
      </c>
      <c r="O200" s="33" t="str">
        <f>VLOOKUP(M200,Mapping!L:M,2,0)</f>
        <v>W18_2023</v>
      </c>
      <c r="P200" s="33" t="str">
        <f t="shared" ca="1" si="24"/>
        <v>more than 360 days</v>
      </c>
    </row>
    <row r="201" spans="1:16" ht="15" x14ac:dyDescent="0.25">
      <c r="A201" s="33" t="s">
        <v>58</v>
      </c>
      <c r="B201" s="637" t="s">
        <v>855</v>
      </c>
      <c r="C201" s="33" t="s">
        <v>264</v>
      </c>
      <c r="D201" s="33" t="s">
        <v>79</v>
      </c>
      <c r="F201" s="33" t="s">
        <v>35</v>
      </c>
      <c r="G201" s="624">
        <v>226.029</v>
      </c>
      <c r="H201" s="255">
        <f>IF(F201="TND",1,IF(F201="EUR",Vertical_Cash_flow!$C$16,IF(F201="USD",Vertical_Cash_flow!$F$16,0)))</f>
        <v>1</v>
      </c>
      <c r="I201" s="255">
        <f t="shared" si="21"/>
        <v>226.029</v>
      </c>
      <c r="J201" s="33" t="s">
        <v>251</v>
      </c>
      <c r="K201" s="625">
        <v>45068</v>
      </c>
      <c r="L201" s="255">
        <f t="shared" si="22"/>
        <v>0</v>
      </c>
      <c r="M201" s="625">
        <v>45068</v>
      </c>
      <c r="N201" s="411">
        <f t="shared" ca="1" si="23"/>
        <v>373</v>
      </c>
      <c r="O201" s="33" t="str">
        <f>VLOOKUP(M201,Mapping!L:M,2,0)</f>
        <v>W21_2023</v>
      </c>
      <c r="P201" s="33" t="str">
        <f t="shared" ca="1" si="24"/>
        <v>more than 360 days</v>
      </c>
    </row>
    <row r="202" spans="1:16" ht="15" x14ac:dyDescent="0.25">
      <c r="A202" s="33" t="s">
        <v>58</v>
      </c>
      <c r="B202" s="623" t="s">
        <v>874</v>
      </c>
      <c r="C202" s="33" t="s">
        <v>264</v>
      </c>
      <c r="D202" s="33" t="s">
        <v>79</v>
      </c>
      <c r="F202" s="33" t="s">
        <v>35</v>
      </c>
      <c r="G202" s="624">
        <v>337.36500000000001</v>
      </c>
      <c r="H202" s="255">
        <f>IF(F202="TND",1,IF(F202="EUR",Vertical_Cash_flow!$C$16,IF(F202="USD",Vertical_Cash_flow!$F$16,0)))</f>
        <v>1</v>
      </c>
      <c r="I202" s="255">
        <f t="shared" si="21"/>
        <v>337.36500000000001</v>
      </c>
      <c r="J202" s="33" t="s">
        <v>251</v>
      </c>
      <c r="K202" s="625">
        <v>45014</v>
      </c>
      <c r="L202" s="255">
        <f t="shared" si="22"/>
        <v>0</v>
      </c>
      <c r="M202" s="625">
        <v>45014</v>
      </c>
      <c r="N202" s="411">
        <f t="shared" ca="1" si="23"/>
        <v>427</v>
      </c>
      <c r="O202" s="33" t="str">
        <f>VLOOKUP(M202,Mapping!L:M,2,0)</f>
        <v>W13_2023</v>
      </c>
      <c r="P202" s="33" t="str">
        <f t="shared" ca="1" si="24"/>
        <v>more than 360 days</v>
      </c>
    </row>
    <row r="203" spans="1:16" ht="15" x14ac:dyDescent="0.25">
      <c r="A203" s="33" t="s">
        <v>58</v>
      </c>
      <c r="B203" s="623" t="s">
        <v>771</v>
      </c>
      <c r="C203" s="33" t="s">
        <v>264</v>
      </c>
      <c r="D203" s="33" t="s">
        <v>79</v>
      </c>
      <c r="F203" s="33" t="s">
        <v>35</v>
      </c>
      <c r="G203" s="624">
        <v>595</v>
      </c>
      <c r="H203" s="255">
        <f>IF(F203="TND",1,IF(F203="EUR",Vertical_Cash_flow!$C$16,IF(F203="USD",Vertical_Cash_flow!$F$16,0)))</f>
        <v>1</v>
      </c>
      <c r="I203" s="255">
        <f t="shared" si="21"/>
        <v>595</v>
      </c>
      <c r="J203" s="33" t="s">
        <v>251</v>
      </c>
      <c r="K203" s="625">
        <v>45316</v>
      </c>
      <c r="L203" s="255">
        <f t="shared" si="22"/>
        <v>0</v>
      </c>
      <c r="M203" s="625">
        <v>45316</v>
      </c>
      <c r="N203" s="411">
        <f t="shared" ca="1" si="23"/>
        <v>125</v>
      </c>
      <c r="O203" s="33" t="str">
        <f>VLOOKUP(M203,Mapping!L:M,2,0)</f>
        <v>W04_2024</v>
      </c>
      <c r="P203" s="33" t="str">
        <f t="shared" ca="1" si="24"/>
        <v>120-180 days</v>
      </c>
    </row>
    <row r="204" spans="1:16" ht="15" x14ac:dyDescent="0.25">
      <c r="A204" s="33" t="s">
        <v>58</v>
      </c>
      <c r="B204" s="623" t="s">
        <v>771</v>
      </c>
      <c r="C204" s="33" t="s">
        <v>264</v>
      </c>
      <c r="D204" s="33" t="s">
        <v>79</v>
      </c>
      <c r="F204" s="33" t="s">
        <v>35</v>
      </c>
      <c r="G204" s="624">
        <v>465.1</v>
      </c>
      <c r="H204" s="255">
        <f>IF(F204="TND",1,IF(F204="EUR",Vertical_Cash_flow!$C$16,IF(F204="USD",Vertical_Cash_flow!$F$16,0)))</f>
        <v>1</v>
      </c>
      <c r="I204" s="255">
        <f t="shared" si="21"/>
        <v>465.1</v>
      </c>
      <c r="J204" s="33" t="s">
        <v>251</v>
      </c>
      <c r="K204" s="625">
        <v>45323</v>
      </c>
      <c r="L204" s="255">
        <f t="shared" si="22"/>
        <v>0</v>
      </c>
      <c r="M204" s="625">
        <v>45323</v>
      </c>
      <c r="N204" s="411">
        <f t="shared" ca="1" si="23"/>
        <v>118</v>
      </c>
      <c r="O204" s="33" t="str">
        <f>VLOOKUP(M204,Mapping!L:M,2,0)</f>
        <v>W05_2024</v>
      </c>
      <c r="P204" s="33" t="str">
        <f t="shared" ca="1" si="24"/>
        <v>90-120 days</v>
      </c>
    </row>
    <row r="205" spans="1:16" ht="15" x14ac:dyDescent="0.25">
      <c r="A205" s="33" t="s">
        <v>58</v>
      </c>
      <c r="B205" s="623" t="s">
        <v>771</v>
      </c>
      <c r="C205" s="33" t="s">
        <v>264</v>
      </c>
      <c r="D205" s="33" t="s">
        <v>79</v>
      </c>
      <c r="F205" s="33" t="s">
        <v>35</v>
      </c>
      <c r="G205" s="624">
        <v>1450</v>
      </c>
      <c r="H205" s="255">
        <f>IF(F205="TND",1,IF(F205="EUR",Vertical_Cash_flow!$C$16,IF(F205="USD",Vertical_Cash_flow!$F$16,0)))</f>
        <v>1</v>
      </c>
      <c r="I205" s="255">
        <f t="shared" si="21"/>
        <v>1450</v>
      </c>
      <c r="J205" s="33" t="s">
        <v>251</v>
      </c>
      <c r="K205" s="625">
        <v>45323</v>
      </c>
      <c r="L205" s="255">
        <f t="shared" si="22"/>
        <v>0</v>
      </c>
      <c r="M205" s="625">
        <v>45323</v>
      </c>
      <c r="N205" s="411">
        <f t="shared" ca="1" si="23"/>
        <v>118</v>
      </c>
      <c r="O205" s="33" t="str">
        <f>VLOOKUP(M205,Mapping!L:M,2,0)</f>
        <v>W05_2024</v>
      </c>
      <c r="P205" s="33" t="str">
        <f t="shared" ca="1" si="24"/>
        <v>90-120 days</v>
      </c>
    </row>
    <row r="206" spans="1:16" ht="15" x14ac:dyDescent="0.25">
      <c r="A206" s="33" t="s">
        <v>58</v>
      </c>
      <c r="B206" s="623" t="s">
        <v>1046</v>
      </c>
      <c r="C206" s="33" t="s">
        <v>264</v>
      </c>
      <c r="D206" s="33" t="s">
        <v>79</v>
      </c>
      <c r="F206" s="33" t="s">
        <v>35</v>
      </c>
      <c r="G206" s="624">
        <v>5627.5959999999995</v>
      </c>
      <c r="H206" s="255">
        <f>IF(F206="TND",1,IF(F206="EUR",Vertical_Cash_flow!$C$16,IF(F206="USD",Vertical_Cash_flow!$F$16,0)))</f>
        <v>1</v>
      </c>
      <c r="I206" s="255">
        <f t="shared" si="21"/>
        <v>5627.5959999999995</v>
      </c>
      <c r="J206" s="33" t="s">
        <v>251</v>
      </c>
      <c r="K206" s="625">
        <v>45316</v>
      </c>
      <c r="L206" s="255">
        <f t="shared" si="22"/>
        <v>0</v>
      </c>
      <c r="M206" s="625">
        <v>45316</v>
      </c>
      <c r="N206" s="411">
        <f t="shared" ca="1" si="23"/>
        <v>125</v>
      </c>
      <c r="O206" s="33" t="str">
        <f>VLOOKUP(M206,Mapping!L:M,2,0)</f>
        <v>W04_2024</v>
      </c>
      <c r="P206" s="33" t="str">
        <f t="shared" ca="1" si="24"/>
        <v>120-180 days</v>
      </c>
    </row>
    <row r="207" spans="1:16" ht="15" x14ac:dyDescent="0.25">
      <c r="A207" s="33" t="s">
        <v>58</v>
      </c>
      <c r="B207" s="623" t="s">
        <v>1238</v>
      </c>
      <c r="C207" s="33" t="s">
        <v>264</v>
      </c>
      <c r="D207" s="33" t="s">
        <v>79</v>
      </c>
      <c r="F207" s="33" t="s">
        <v>35</v>
      </c>
      <c r="G207" s="624">
        <v>6000</v>
      </c>
      <c r="H207" s="255">
        <f>IF(F207="TND",1,IF(F207="EUR",Vertical_Cash_flow!$C$16,IF(F207="USD",Vertical_Cash_flow!$F$16,0)))</f>
        <v>1</v>
      </c>
      <c r="I207" s="255">
        <f t="shared" si="21"/>
        <v>6000</v>
      </c>
      <c r="J207" s="33" t="s">
        <v>251</v>
      </c>
      <c r="K207" s="625">
        <v>45321</v>
      </c>
      <c r="L207" s="255">
        <f t="shared" si="22"/>
        <v>0</v>
      </c>
      <c r="M207" s="625">
        <v>45321</v>
      </c>
      <c r="N207" s="411">
        <f t="shared" ca="1" si="23"/>
        <v>120</v>
      </c>
      <c r="O207" s="33" t="str">
        <f>VLOOKUP(M207,Mapping!L:M,2,0)</f>
        <v>W05_2024</v>
      </c>
      <c r="P207" s="33" t="str">
        <f t="shared" ca="1" si="24"/>
        <v>90-120 days</v>
      </c>
    </row>
    <row r="208" spans="1:16" ht="15" x14ac:dyDescent="0.25">
      <c r="A208" s="33" t="s">
        <v>58</v>
      </c>
      <c r="B208" s="623" t="s">
        <v>972</v>
      </c>
      <c r="C208" s="33" t="s">
        <v>264</v>
      </c>
      <c r="D208" s="33" t="s">
        <v>79</v>
      </c>
      <c r="F208" s="33" t="s">
        <v>35</v>
      </c>
      <c r="G208" s="624">
        <v>152.43899999999999</v>
      </c>
      <c r="H208" s="255">
        <f>IF(F208="TND",1,IF(F208="EUR",Vertical_Cash_flow!$C$16,IF(F208="USD",Vertical_Cash_flow!$F$16,0)))</f>
        <v>1</v>
      </c>
      <c r="I208" s="255">
        <f t="shared" si="21"/>
        <v>152.43899999999999</v>
      </c>
      <c r="J208" s="33" t="s">
        <v>251</v>
      </c>
      <c r="K208" s="625">
        <v>45323</v>
      </c>
      <c r="L208" s="255">
        <f t="shared" si="22"/>
        <v>0</v>
      </c>
      <c r="M208" s="625">
        <v>45323</v>
      </c>
      <c r="N208" s="411">
        <f t="shared" ca="1" si="23"/>
        <v>118</v>
      </c>
      <c r="O208" s="33" t="str">
        <f>VLOOKUP(M208,Mapping!L:M,2,0)</f>
        <v>W05_2024</v>
      </c>
      <c r="P208" s="33" t="str">
        <f t="shared" ca="1" si="24"/>
        <v>90-120 days</v>
      </c>
    </row>
    <row r="209" spans="1:16" ht="15" x14ac:dyDescent="0.25">
      <c r="A209" s="33" t="s">
        <v>58</v>
      </c>
      <c r="B209" s="623" t="s">
        <v>911</v>
      </c>
      <c r="C209" s="33" t="s">
        <v>264</v>
      </c>
      <c r="D209" s="33" t="s">
        <v>79</v>
      </c>
      <c r="F209" s="33" t="s">
        <v>35</v>
      </c>
      <c r="G209" s="624">
        <v>3649.9520000000002</v>
      </c>
      <c r="H209" s="255">
        <f>IF(F209="TND",1,IF(F209="EUR",Vertical_Cash_flow!$C$16,IF(F209="USD",Vertical_Cash_flow!$F$16,0)))</f>
        <v>1</v>
      </c>
      <c r="I209" s="255">
        <f t="shared" si="21"/>
        <v>3649.9520000000002</v>
      </c>
      <c r="J209" s="33" t="s">
        <v>251</v>
      </c>
      <c r="K209" s="625">
        <v>45345</v>
      </c>
      <c r="L209" s="255">
        <f t="shared" si="22"/>
        <v>0</v>
      </c>
      <c r="M209" s="625">
        <v>45345</v>
      </c>
      <c r="N209" s="411">
        <f t="shared" ca="1" si="23"/>
        <v>96</v>
      </c>
      <c r="O209" s="33" t="str">
        <f>VLOOKUP(M209,Mapping!L:M,2,0)</f>
        <v>W08_2024</v>
      </c>
      <c r="P209" s="33" t="str">
        <f t="shared" ca="1" si="24"/>
        <v>90-120 days</v>
      </c>
    </row>
    <row r="210" spans="1:16" ht="15" x14ac:dyDescent="0.25">
      <c r="A210" s="33" t="s">
        <v>58</v>
      </c>
      <c r="B210" t="s">
        <v>1470</v>
      </c>
      <c r="C210" s="33" t="s">
        <v>264</v>
      </c>
      <c r="D210" s="33" t="s">
        <v>79</v>
      </c>
      <c r="F210" s="33" t="s">
        <v>35</v>
      </c>
      <c r="G210" s="355">
        <v>251.00200000000001</v>
      </c>
      <c r="H210" s="255">
        <f>IF(F210="TND",1,IF(F210="EUR",Vertical_Cash_flow!$C$16,IF(F210="USD",Vertical_Cash_flow!$F$16,0)))</f>
        <v>1</v>
      </c>
      <c r="I210" s="255">
        <f t="shared" si="21"/>
        <v>251.00200000000001</v>
      </c>
      <c r="J210" s="33" t="s">
        <v>251</v>
      </c>
      <c r="K210" s="39">
        <v>45358</v>
      </c>
      <c r="L210" s="255">
        <f t="shared" si="22"/>
        <v>0</v>
      </c>
      <c r="M210" s="625">
        <v>45358</v>
      </c>
      <c r="N210" s="411">
        <f t="shared" ca="1" si="23"/>
        <v>83</v>
      </c>
      <c r="O210" s="33" t="str">
        <f>VLOOKUP(M210,Mapping!L:M,2,0)</f>
        <v>W10_2024</v>
      </c>
      <c r="P210" s="33" t="str">
        <f t="shared" ca="1" si="24"/>
        <v>60-90 days</v>
      </c>
    </row>
    <row r="211" spans="1:16" ht="15" x14ac:dyDescent="0.25">
      <c r="A211" s="33" t="s">
        <v>58</v>
      </c>
      <c r="B211" t="s">
        <v>2319</v>
      </c>
      <c r="C211" s="33" t="s">
        <v>264</v>
      </c>
      <c r="D211" s="33" t="s">
        <v>79</v>
      </c>
      <c r="F211" s="33" t="s">
        <v>35</v>
      </c>
      <c r="G211" s="355">
        <v>1071.883</v>
      </c>
      <c r="H211" s="255">
        <f>IF(F211="TND",1,IF(F211="EUR",Vertical_Cash_flow!$C$16,IF(F211="USD",Vertical_Cash_flow!$F$16,0)))</f>
        <v>1</v>
      </c>
      <c r="I211" s="255">
        <f t="shared" si="21"/>
        <v>1071.883</v>
      </c>
      <c r="J211" s="33" t="s">
        <v>251</v>
      </c>
      <c r="K211" s="39">
        <v>45365</v>
      </c>
      <c r="L211" s="255">
        <f t="shared" si="22"/>
        <v>0</v>
      </c>
      <c r="M211" s="625">
        <v>45365</v>
      </c>
      <c r="N211" s="411">
        <f t="shared" ca="1" si="23"/>
        <v>76</v>
      </c>
      <c r="O211" s="33" t="str">
        <f>VLOOKUP(M211,Mapping!L:M,2,0)</f>
        <v>W11_2024</v>
      </c>
      <c r="P211" s="33" t="str">
        <f t="shared" ca="1" si="24"/>
        <v>60-90 days</v>
      </c>
    </row>
    <row r="212" spans="1:16" ht="15" x14ac:dyDescent="0.25">
      <c r="A212" s="33" t="s">
        <v>58</v>
      </c>
      <c r="B212" s="623" t="s">
        <v>662</v>
      </c>
      <c r="C212" s="33" t="s">
        <v>264</v>
      </c>
      <c r="D212" s="33" t="s">
        <v>79</v>
      </c>
      <c r="F212" s="33" t="s">
        <v>35</v>
      </c>
      <c r="G212" s="624">
        <v>656.024</v>
      </c>
      <c r="H212" s="255">
        <f>IF(F212="TND",1,IF(F212="EUR",Vertical_Cash_flow!$C$16,IF(F212="USD",Vertical_Cash_flow!$F$16,0)))</f>
        <v>1</v>
      </c>
      <c r="I212" s="255">
        <f t="shared" si="21"/>
        <v>656.024</v>
      </c>
      <c r="J212" s="33" t="s">
        <v>251</v>
      </c>
      <c r="K212" s="625">
        <v>45285</v>
      </c>
      <c r="L212" s="255">
        <f t="shared" si="22"/>
        <v>76</v>
      </c>
      <c r="M212" s="625">
        <v>45361</v>
      </c>
      <c r="N212" s="411">
        <f t="shared" ca="1" si="23"/>
        <v>80</v>
      </c>
      <c r="O212" s="33" t="str">
        <f>VLOOKUP(M212,Mapping!L:M,2,0)</f>
        <v>W11_2024</v>
      </c>
      <c r="P212" s="33" t="str">
        <f t="shared" ca="1" si="24"/>
        <v>60-90 days</v>
      </c>
    </row>
    <row r="213" spans="1:16" ht="15" x14ac:dyDescent="0.25">
      <c r="A213" s="33" t="s">
        <v>58</v>
      </c>
      <c r="B213" s="623" t="s">
        <v>1472</v>
      </c>
      <c r="C213" s="33" t="s">
        <v>264</v>
      </c>
      <c r="D213" s="33" t="s">
        <v>79</v>
      </c>
      <c r="F213" s="33" t="s">
        <v>35</v>
      </c>
      <c r="G213" s="624">
        <v>774.5</v>
      </c>
      <c r="H213" s="255">
        <f>IF(F213="TND",1,IF(F213="EUR",Vertical_Cash_flow!$C$16,IF(F213="USD",Vertical_Cash_flow!$F$16,0)))</f>
        <v>1</v>
      </c>
      <c r="I213" s="255">
        <f t="shared" si="21"/>
        <v>774.5</v>
      </c>
      <c r="J213" s="33" t="s">
        <v>251</v>
      </c>
      <c r="K213" s="625">
        <v>45344</v>
      </c>
      <c r="L213" s="255">
        <f t="shared" si="22"/>
        <v>0</v>
      </c>
      <c r="M213" s="625">
        <v>45344</v>
      </c>
      <c r="N213" s="411">
        <f t="shared" ca="1" si="23"/>
        <v>97</v>
      </c>
      <c r="O213" s="33" t="str">
        <f>VLOOKUP(M213,Mapping!L:M,2,0)</f>
        <v>W08_2024</v>
      </c>
      <c r="P213" s="33" t="str">
        <f t="shared" ca="1" si="24"/>
        <v>90-120 days</v>
      </c>
    </row>
    <row r="214" spans="1:16" ht="15" x14ac:dyDescent="0.25">
      <c r="A214" s="33" t="s">
        <v>58</v>
      </c>
      <c r="B214" s="623" t="s">
        <v>767</v>
      </c>
      <c r="C214" s="33" t="s">
        <v>264</v>
      </c>
      <c r="D214" s="33" t="s">
        <v>79</v>
      </c>
      <c r="F214" s="33" t="s">
        <v>35</v>
      </c>
      <c r="G214" s="624">
        <v>1886.8</v>
      </c>
      <c r="H214" s="255">
        <f>IF(F214="TND",1,IF(F214="EUR",Vertical_Cash_flow!$C$16,IF(F214="USD",Vertical_Cash_flow!$F$16,0)))</f>
        <v>1</v>
      </c>
      <c r="I214" s="255">
        <f t="shared" si="21"/>
        <v>1886.8</v>
      </c>
      <c r="J214" s="33" t="s">
        <v>251</v>
      </c>
      <c r="K214" s="625">
        <v>45345</v>
      </c>
      <c r="L214" s="255">
        <f t="shared" si="22"/>
        <v>0</v>
      </c>
      <c r="M214" s="625">
        <v>45345</v>
      </c>
      <c r="N214" s="411">
        <f t="shared" ca="1" si="23"/>
        <v>96</v>
      </c>
      <c r="O214" s="33" t="str">
        <f>VLOOKUP(M214,Mapping!L:M,2,0)</f>
        <v>W08_2024</v>
      </c>
      <c r="P214" s="33" t="str">
        <f t="shared" ca="1" si="24"/>
        <v>90-120 days</v>
      </c>
    </row>
    <row r="215" spans="1:16" ht="15" x14ac:dyDescent="0.25">
      <c r="A215" s="33" t="s">
        <v>58</v>
      </c>
      <c r="B215" s="623" t="s">
        <v>2997</v>
      </c>
      <c r="C215" s="33" t="s">
        <v>264</v>
      </c>
      <c r="D215" s="33" t="s">
        <v>79</v>
      </c>
      <c r="F215" s="33" t="s">
        <v>35</v>
      </c>
      <c r="G215" s="624">
        <v>2600</v>
      </c>
      <c r="H215" s="255">
        <f>IF(F215="TND",1,IF(F215="EUR",Vertical_Cash_flow!$C$16,IF(F215="USD",Vertical_Cash_flow!$F$16,0)))</f>
        <v>1</v>
      </c>
      <c r="I215" s="255">
        <f t="shared" si="21"/>
        <v>2600</v>
      </c>
      <c r="J215" s="33" t="s">
        <v>251</v>
      </c>
      <c r="K215" s="625">
        <v>45344</v>
      </c>
      <c r="L215" s="255">
        <f t="shared" si="22"/>
        <v>0</v>
      </c>
      <c r="M215" s="625">
        <v>45344</v>
      </c>
      <c r="N215" s="411">
        <f t="shared" ca="1" si="23"/>
        <v>97</v>
      </c>
      <c r="O215" s="33" t="str">
        <f>VLOOKUP(M215,Mapping!L:M,2,0)</f>
        <v>W08_2024</v>
      </c>
      <c r="P215" s="33" t="str">
        <f t="shared" ca="1" si="24"/>
        <v>90-120 days</v>
      </c>
    </row>
    <row r="216" spans="1:16" ht="15" x14ac:dyDescent="0.25">
      <c r="A216" s="33" t="s">
        <v>58</v>
      </c>
      <c r="B216" s="623" t="s">
        <v>1474</v>
      </c>
      <c r="C216" s="33" t="s">
        <v>264</v>
      </c>
      <c r="D216" s="33" t="s">
        <v>79</v>
      </c>
      <c r="F216" s="33" t="s">
        <v>35</v>
      </c>
      <c r="G216" s="624">
        <v>166.21199999999999</v>
      </c>
      <c r="H216" s="255">
        <f>IF(F216="TND",1,IF(F216="EUR",Vertical_Cash_flow!$C$16,IF(F216="USD",Vertical_Cash_flow!$F$16,0)))</f>
        <v>1</v>
      </c>
      <c r="I216" s="255">
        <f t="shared" si="21"/>
        <v>166.21199999999999</v>
      </c>
      <c r="J216" s="33" t="s">
        <v>251</v>
      </c>
      <c r="K216" s="625">
        <v>45345</v>
      </c>
      <c r="L216" s="255">
        <f t="shared" si="22"/>
        <v>0</v>
      </c>
      <c r="M216" s="625">
        <v>45345</v>
      </c>
      <c r="N216" s="411">
        <f t="shared" ca="1" si="23"/>
        <v>96</v>
      </c>
      <c r="O216" s="33" t="str">
        <f>VLOOKUP(M216,Mapping!L:M,2,0)</f>
        <v>W08_2024</v>
      </c>
      <c r="P216" s="33" t="str">
        <f t="shared" ca="1" si="24"/>
        <v>90-120 days</v>
      </c>
    </row>
    <row r="217" spans="1:16" ht="15" x14ac:dyDescent="0.25">
      <c r="A217" s="33" t="s">
        <v>58</v>
      </c>
      <c r="B217" t="s">
        <v>1046</v>
      </c>
      <c r="C217" s="33" t="s">
        <v>264</v>
      </c>
      <c r="D217" s="33" t="s">
        <v>79</v>
      </c>
      <c r="F217" s="33" t="s">
        <v>35</v>
      </c>
      <c r="G217" s="355">
        <v>3215.5659999999998</v>
      </c>
      <c r="H217" s="255">
        <f>IF(F217="TND",1,IF(F217="EUR",Vertical_Cash_flow!$C$16,IF(F217="USD",Vertical_Cash_flow!$F$16,0)))</f>
        <v>1</v>
      </c>
      <c r="I217" s="255">
        <f t="shared" si="21"/>
        <v>3215.5659999999998</v>
      </c>
      <c r="J217" s="33" t="s">
        <v>251</v>
      </c>
      <c r="K217" s="39">
        <v>45355</v>
      </c>
      <c r="L217" s="255">
        <f t="shared" si="22"/>
        <v>0</v>
      </c>
      <c r="M217" s="625">
        <v>45355</v>
      </c>
      <c r="N217" s="411">
        <f t="shared" ca="1" si="23"/>
        <v>86</v>
      </c>
      <c r="O217" s="33" t="str">
        <f>VLOOKUP(M217,Mapping!L:M,2,0)</f>
        <v>W10_2024</v>
      </c>
      <c r="P217" s="33" t="str">
        <f t="shared" ca="1" si="24"/>
        <v>60-90 days</v>
      </c>
    </row>
    <row r="218" spans="1:16" ht="15" x14ac:dyDescent="0.25">
      <c r="A218" s="33" t="s">
        <v>58</v>
      </c>
      <c r="B218" t="s">
        <v>1237</v>
      </c>
      <c r="C218" s="33" t="s">
        <v>264</v>
      </c>
      <c r="D218" s="33" t="s">
        <v>79</v>
      </c>
      <c r="F218" s="33" t="s">
        <v>35</v>
      </c>
      <c r="G218" s="355">
        <v>34668.120000000003</v>
      </c>
      <c r="H218" s="255">
        <f>IF(F218="TND",1,IF(F218="EUR",Vertical_Cash_flow!$C$16,IF(F218="USD",Vertical_Cash_flow!$F$16,0)))</f>
        <v>1</v>
      </c>
      <c r="I218" s="255">
        <f t="shared" si="21"/>
        <v>34668.120000000003</v>
      </c>
      <c r="J218" s="33" t="s">
        <v>251</v>
      </c>
      <c r="K218" s="39">
        <v>45379</v>
      </c>
      <c r="L218" s="255">
        <f t="shared" si="22"/>
        <v>0</v>
      </c>
      <c r="M218" s="625">
        <v>45379</v>
      </c>
      <c r="N218" s="411">
        <f t="shared" ca="1" si="23"/>
        <v>62</v>
      </c>
      <c r="O218" s="33" t="str">
        <f>VLOOKUP(M218,Mapping!L:M,2,0)</f>
        <v>W13_2024</v>
      </c>
      <c r="P218" s="33" t="str">
        <f t="shared" ca="1" si="24"/>
        <v>60-90 days</v>
      </c>
    </row>
    <row r="219" spans="1:16" ht="15" x14ac:dyDescent="0.25">
      <c r="A219" s="33" t="s">
        <v>58</v>
      </c>
      <c r="B219" s="623" t="s">
        <v>433</v>
      </c>
      <c r="C219" s="33" t="s">
        <v>264</v>
      </c>
      <c r="D219" s="33" t="s">
        <v>79</v>
      </c>
      <c r="F219" s="33" t="s">
        <v>35</v>
      </c>
      <c r="G219" s="624">
        <v>1292.4829999999999</v>
      </c>
      <c r="H219" s="255">
        <f>IF(F219="TND",1,IF(F219="EUR",Vertical_Cash_flow!$C$16,IF(F219="USD",Vertical_Cash_flow!$F$16,0)))</f>
        <v>1</v>
      </c>
      <c r="I219" s="255">
        <f t="shared" si="21"/>
        <v>1292.4829999999999</v>
      </c>
      <c r="J219" s="33" t="s">
        <v>251</v>
      </c>
      <c r="K219" s="625">
        <v>45330</v>
      </c>
      <c r="L219" s="255">
        <f t="shared" si="22"/>
        <v>57</v>
      </c>
      <c r="M219" s="625">
        <v>45387</v>
      </c>
      <c r="N219" s="411">
        <f t="shared" ca="1" si="23"/>
        <v>54</v>
      </c>
      <c r="O219" s="33" t="str">
        <f>VLOOKUP(M219,Mapping!L:M,2,0)</f>
        <v>W14_2024</v>
      </c>
      <c r="P219" s="33" t="str">
        <f t="shared" ca="1" si="24"/>
        <v>30-60 days</v>
      </c>
    </row>
    <row r="220" spans="1:16" ht="15" x14ac:dyDescent="0.25">
      <c r="A220" s="33" t="s">
        <v>58</v>
      </c>
      <c r="B220" s="623" t="s">
        <v>433</v>
      </c>
      <c r="C220" s="33" t="s">
        <v>264</v>
      </c>
      <c r="D220" s="33" t="s">
        <v>79</v>
      </c>
      <c r="F220" s="33" t="s">
        <v>35</v>
      </c>
      <c r="G220" s="624">
        <v>2558.4569999999999</v>
      </c>
      <c r="H220" s="255">
        <f>IF(F220="TND",1,IF(F220="EUR",Vertical_Cash_flow!$C$16,IF(F220="USD",Vertical_Cash_flow!$F$16,0)))</f>
        <v>1</v>
      </c>
      <c r="I220" s="255">
        <f t="shared" si="21"/>
        <v>2558.4569999999999</v>
      </c>
      <c r="J220" s="33" t="s">
        <v>251</v>
      </c>
      <c r="K220" s="625">
        <v>45345</v>
      </c>
      <c r="L220" s="255">
        <f t="shared" si="22"/>
        <v>47</v>
      </c>
      <c r="M220" s="625">
        <v>45392</v>
      </c>
      <c r="N220" s="411">
        <f t="shared" ca="1" si="23"/>
        <v>49</v>
      </c>
      <c r="O220" s="33" t="str">
        <f>VLOOKUP(M220,Mapping!L:M,2,0)</f>
        <v>W15_2024</v>
      </c>
      <c r="P220" s="33" t="str">
        <f t="shared" ca="1" si="24"/>
        <v>30-60 days</v>
      </c>
    </row>
    <row r="221" spans="1:16" ht="15" x14ac:dyDescent="0.25">
      <c r="A221" s="33" t="s">
        <v>58</v>
      </c>
      <c r="B221" t="s">
        <v>3001</v>
      </c>
      <c r="C221" s="33" t="s">
        <v>264</v>
      </c>
      <c r="D221" s="33" t="s">
        <v>79</v>
      </c>
      <c r="F221" s="33" t="s">
        <v>35</v>
      </c>
      <c r="G221" s="355">
        <v>619.79999999999995</v>
      </c>
      <c r="H221" s="255">
        <f>IF(F221="TND",1,IF(F221="EUR",Vertical_Cash_flow!$C$16,IF(F221="USD",Vertical_Cash_flow!$F$16,0)))</f>
        <v>1</v>
      </c>
      <c r="I221" s="255">
        <f t="shared" si="21"/>
        <v>619.79999999999995</v>
      </c>
      <c r="J221" s="33" t="s">
        <v>251</v>
      </c>
      <c r="K221" s="39">
        <v>45397</v>
      </c>
      <c r="L221" s="255">
        <f t="shared" si="22"/>
        <v>0</v>
      </c>
      <c r="M221" s="625">
        <v>45397</v>
      </c>
      <c r="N221" s="411">
        <f t="shared" ca="1" si="23"/>
        <v>44</v>
      </c>
      <c r="O221" s="33" t="str">
        <f>VLOOKUP(M221,Mapping!L:M,2,0)</f>
        <v>W16_2024</v>
      </c>
      <c r="P221" s="33" t="str">
        <f t="shared" ca="1" si="24"/>
        <v>30-60 days</v>
      </c>
    </row>
    <row r="222" spans="1:16" ht="15" x14ac:dyDescent="0.25">
      <c r="A222" s="33" t="s">
        <v>58</v>
      </c>
      <c r="B222" t="s">
        <v>1017</v>
      </c>
      <c r="C222" s="33" t="s">
        <v>264</v>
      </c>
      <c r="D222" s="33" t="s">
        <v>79</v>
      </c>
      <c r="F222" s="33" t="s">
        <v>35</v>
      </c>
      <c r="G222" s="355">
        <v>4475.4189999999999</v>
      </c>
      <c r="H222" s="255">
        <f>IF(F222="TND",1,IF(F222="EUR",Vertical_Cash_flow!$C$16,IF(F222="USD",Vertical_Cash_flow!$F$16,0)))</f>
        <v>1</v>
      </c>
      <c r="I222" s="255">
        <f t="shared" si="21"/>
        <v>4475.4189999999999</v>
      </c>
      <c r="J222" s="33" t="s">
        <v>251</v>
      </c>
      <c r="K222" s="39">
        <v>45355</v>
      </c>
      <c r="L222" s="255">
        <f t="shared" si="22"/>
        <v>21</v>
      </c>
      <c r="M222" s="625">
        <v>45376</v>
      </c>
      <c r="N222" s="411">
        <f t="shared" ca="1" si="23"/>
        <v>65</v>
      </c>
      <c r="O222" s="33" t="str">
        <f>VLOOKUP(M222,Mapping!L:M,2,0)</f>
        <v>W13_2024</v>
      </c>
      <c r="P222" s="33" t="str">
        <f t="shared" ca="1" si="24"/>
        <v>60-90 days</v>
      </c>
    </row>
    <row r="223" spans="1:16" ht="15" x14ac:dyDescent="0.25">
      <c r="A223" s="33" t="s">
        <v>58</v>
      </c>
      <c r="B223" t="s">
        <v>976</v>
      </c>
      <c r="C223" s="33" t="s">
        <v>264</v>
      </c>
      <c r="D223" s="33" t="s">
        <v>79</v>
      </c>
      <c r="F223" s="33" t="s">
        <v>35</v>
      </c>
      <c r="G223" s="355">
        <v>8134.0280000000002</v>
      </c>
      <c r="H223" s="255">
        <f>IF(F223="TND",1,IF(F223="EUR",Vertical_Cash_flow!$C$16,IF(F223="USD",Vertical_Cash_flow!$F$16,0)))</f>
        <v>1</v>
      </c>
      <c r="I223" s="255">
        <f t="shared" si="21"/>
        <v>8134.0280000000002</v>
      </c>
      <c r="J223" s="33" t="s">
        <v>251</v>
      </c>
      <c r="K223" s="39">
        <v>45387</v>
      </c>
      <c r="L223" s="255">
        <f t="shared" si="22"/>
        <v>0</v>
      </c>
      <c r="M223" s="625">
        <v>45387</v>
      </c>
      <c r="N223" s="411">
        <f t="shared" ca="1" si="23"/>
        <v>54</v>
      </c>
      <c r="O223" s="33" t="str">
        <f>VLOOKUP(M223,Mapping!L:M,2,0)</f>
        <v>W14_2024</v>
      </c>
      <c r="P223" s="33" t="str">
        <f t="shared" ca="1" si="24"/>
        <v>30-60 days</v>
      </c>
    </row>
    <row r="224" spans="1:16" ht="15" x14ac:dyDescent="0.25">
      <c r="A224" s="33" t="s">
        <v>58</v>
      </c>
      <c r="B224" t="s">
        <v>662</v>
      </c>
      <c r="C224" s="33" t="s">
        <v>264</v>
      </c>
      <c r="D224" s="33" t="s">
        <v>79</v>
      </c>
      <c r="F224" s="33" t="s">
        <v>35</v>
      </c>
      <c r="G224" s="355">
        <v>203.26400000000001</v>
      </c>
      <c r="H224" s="255">
        <f>IF(F224="TND",1,IF(F224="EUR",Vertical_Cash_flow!$C$16,IF(F224="USD",Vertical_Cash_flow!$F$16,0)))</f>
        <v>1</v>
      </c>
      <c r="I224" s="255">
        <f t="shared" si="21"/>
        <v>203.26400000000001</v>
      </c>
      <c r="J224" s="33" t="s">
        <v>251</v>
      </c>
      <c r="K224" s="39">
        <v>45379</v>
      </c>
      <c r="L224" s="255">
        <f t="shared" si="22"/>
        <v>18</v>
      </c>
      <c r="M224" s="625">
        <v>45397</v>
      </c>
      <c r="N224" s="411">
        <f t="shared" ca="1" si="23"/>
        <v>44</v>
      </c>
      <c r="O224" s="33" t="str">
        <f>VLOOKUP(M224,Mapping!L:M,2,0)</f>
        <v>W16_2024</v>
      </c>
      <c r="P224" s="33" t="str">
        <f t="shared" ca="1" si="24"/>
        <v>30-60 days</v>
      </c>
    </row>
    <row r="225" spans="1:16" ht="15" x14ac:dyDescent="0.25">
      <c r="A225" s="33" t="s">
        <v>58</v>
      </c>
      <c r="B225" t="s">
        <v>3002</v>
      </c>
      <c r="C225" s="33" t="s">
        <v>264</v>
      </c>
      <c r="D225" s="33" t="s">
        <v>79</v>
      </c>
      <c r="F225" s="33" t="s">
        <v>35</v>
      </c>
      <c r="G225" s="355">
        <v>477</v>
      </c>
      <c r="H225" s="255">
        <f>IF(F225="TND",1,IF(F225="EUR",Vertical_Cash_flow!$C$16,IF(F225="USD",Vertical_Cash_flow!$F$16,0)))</f>
        <v>1</v>
      </c>
      <c r="I225" s="255">
        <f t="shared" si="21"/>
        <v>477</v>
      </c>
      <c r="J225" s="33" t="s">
        <v>251</v>
      </c>
      <c r="K225" s="39">
        <v>45397</v>
      </c>
      <c r="L225" s="255">
        <f t="shared" si="22"/>
        <v>0</v>
      </c>
      <c r="M225" s="625">
        <v>45397</v>
      </c>
      <c r="N225" s="411">
        <f t="shared" ca="1" si="23"/>
        <v>44</v>
      </c>
      <c r="O225" s="33" t="str">
        <f>VLOOKUP(M225,Mapping!L:M,2,0)</f>
        <v>W16_2024</v>
      </c>
      <c r="P225" s="33" t="str">
        <f t="shared" ca="1" si="24"/>
        <v>30-60 days</v>
      </c>
    </row>
    <row r="226" spans="1:16" ht="15" x14ac:dyDescent="0.25">
      <c r="A226" s="33" t="s">
        <v>58</v>
      </c>
      <c r="B226" t="s">
        <v>767</v>
      </c>
      <c r="C226" s="33" t="s">
        <v>264</v>
      </c>
      <c r="D226" s="33" t="s">
        <v>79</v>
      </c>
      <c r="F226" s="33" t="s">
        <v>35</v>
      </c>
      <c r="G226" s="355">
        <v>433.88</v>
      </c>
      <c r="H226" s="255">
        <f>IF(F226="TND",1,IF(F226="EUR",Vertical_Cash_flow!$C$16,IF(F226="USD",Vertical_Cash_flow!$F$16,0)))</f>
        <v>1</v>
      </c>
      <c r="I226" s="255">
        <f t="shared" si="21"/>
        <v>433.88</v>
      </c>
      <c r="J226" s="33" t="s">
        <v>251</v>
      </c>
      <c r="K226" s="39">
        <v>45398</v>
      </c>
      <c r="L226" s="255">
        <f t="shared" si="22"/>
        <v>0</v>
      </c>
      <c r="M226" s="625">
        <v>45398</v>
      </c>
      <c r="N226" s="411">
        <f t="shared" ca="1" si="23"/>
        <v>43</v>
      </c>
      <c r="O226" s="33" t="str">
        <f>VLOOKUP(M226,Mapping!L:M,2,0)</f>
        <v>W16_2024</v>
      </c>
      <c r="P226" s="33" t="str">
        <f t="shared" ca="1" si="24"/>
        <v>30-60 days</v>
      </c>
    </row>
    <row r="227" spans="1:16" ht="15" x14ac:dyDescent="0.25">
      <c r="A227" s="33" t="s">
        <v>58</v>
      </c>
      <c r="B227" t="s">
        <v>2997</v>
      </c>
      <c r="C227" s="33" t="s">
        <v>264</v>
      </c>
      <c r="D227" s="33" t="s">
        <v>79</v>
      </c>
      <c r="F227" s="33" t="s">
        <v>35</v>
      </c>
      <c r="G227" s="355">
        <v>1000</v>
      </c>
      <c r="H227" s="255">
        <f>IF(F227="TND",1,IF(F227="EUR",Vertical_Cash_flow!$C$16,IF(F227="USD",Vertical_Cash_flow!$F$16,0)))</f>
        <v>1</v>
      </c>
      <c r="I227" s="255">
        <f t="shared" si="21"/>
        <v>1000</v>
      </c>
      <c r="J227" s="33" t="s">
        <v>251</v>
      </c>
      <c r="K227" s="39">
        <v>45398</v>
      </c>
      <c r="L227" s="255">
        <f t="shared" si="22"/>
        <v>0</v>
      </c>
      <c r="M227" s="625">
        <v>45398</v>
      </c>
      <c r="N227" s="411">
        <f t="shared" ca="1" si="23"/>
        <v>43</v>
      </c>
      <c r="O227" s="33" t="str">
        <f>VLOOKUP(M227,Mapping!L:M,2,0)</f>
        <v>W16_2024</v>
      </c>
      <c r="P227" s="33" t="str">
        <f t="shared" ca="1" si="24"/>
        <v>30-60 days</v>
      </c>
    </row>
    <row r="228" spans="1:16" ht="15" x14ac:dyDescent="0.25">
      <c r="A228" s="33" t="s">
        <v>58</v>
      </c>
      <c r="B228" t="s">
        <v>2997</v>
      </c>
      <c r="C228" s="33" t="s">
        <v>264</v>
      </c>
      <c r="D228" s="33" t="s">
        <v>79</v>
      </c>
      <c r="F228" s="33" t="s">
        <v>35</v>
      </c>
      <c r="G228" s="355">
        <v>5200</v>
      </c>
      <c r="H228" s="255">
        <f>IF(F228="TND",1,IF(F228="EUR",Vertical_Cash_flow!$C$16,IF(F228="USD",Vertical_Cash_flow!$F$16,0)))</f>
        <v>1</v>
      </c>
      <c r="I228" s="255">
        <f t="shared" ref="I228:I291" si="25">G228/H228</f>
        <v>5200</v>
      </c>
      <c r="J228" s="33" t="s">
        <v>251</v>
      </c>
      <c r="K228" s="39">
        <v>45399</v>
      </c>
      <c r="L228" s="255">
        <f t="shared" ref="L228:L291" si="26">M228-K228</f>
        <v>0</v>
      </c>
      <c r="M228" s="625">
        <v>45399</v>
      </c>
      <c r="N228" s="411">
        <f t="shared" ref="N228:N291" ca="1" si="27">$S$1-M228</f>
        <v>42</v>
      </c>
      <c r="O228" s="33" t="str">
        <f>VLOOKUP(M228,Mapping!L:M,2,0)</f>
        <v>W16_2024</v>
      </c>
      <c r="P228" s="33" t="str">
        <f t="shared" ref="P228:P291" ca="1" si="28">IF(N228="","",IF(N228&lt;0,"Not Due",IF(AND(N228&gt;=0,N228&lt;=30),"up 30 days",IF(AND(N228&gt;30,N228&lt;=60),"30-60 days",IF(AND(N228&gt;60,N228&lt;=90),"60-90 days",IF(AND(N228&gt;90,N228&lt;=120),"90-120 days",IF(AND(N228&gt;120,N228&lt;=180),"120-180 days",IF(AND(N228&gt;180,N228&lt;=360),"180-360 days",IF(N228&gt;360,"more than 360 days","ok")))))))))</f>
        <v>30-60 days</v>
      </c>
    </row>
    <row r="229" spans="1:16" ht="15" x14ac:dyDescent="0.25">
      <c r="A229" s="33" t="s">
        <v>58</v>
      </c>
      <c r="B229" t="s">
        <v>1474</v>
      </c>
      <c r="C229" s="33" t="s">
        <v>264</v>
      </c>
      <c r="D229" s="33" t="s">
        <v>79</v>
      </c>
      <c r="F229" s="33" t="s">
        <v>35</v>
      </c>
      <c r="G229" s="355">
        <v>166.21199999999999</v>
      </c>
      <c r="H229" s="255">
        <f>IF(F229="TND",1,IF(F229="EUR",Vertical_Cash_flow!$C$16,IF(F229="USD",Vertical_Cash_flow!$F$16,0)))</f>
        <v>1</v>
      </c>
      <c r="I229" s="255">
        <f t="shared" si="25"/>
        <v>166.21199999999999</v>
      </c>
      <c r="J229" s="33" t="s">
        <v>251</v>
      </c>
      <c r="K229" s="39">
        <v>45379</v>
      </c>
      <c r="L229" s="255">
        <f t="shared" si="26"/>
        <v>0</v>
      </c>
      <c r="M229" s="625">
        <v>45379</v>
      </c>
      <c r="N229" s="411">
        <f t="shared" ca="1" si="27"/>
        <v>62</v>
      </c>
      <c r="O229" s="33" t="str">
        <f>VLOOKUP(M229,Mapping!L:M,2,0)</f>
        <v>W13_2024</v>
      </c>
      <c r="P229" s="33" t="str">
        <f t="shared" ca="1" si="28"/>
        <v>60-90 days</v>
      </c>
    </row>
    <row r="230" spans="1:16" ht="15" x14ac:dyDescent="0.25">
      <c r="A230" s="33" t="s">
        <v>58</v>
      </c>
      <c r="B230" t="s">
        <v>2998</v>
      </c>
      <c r="C230" s="33" t="s">
        <v>264</v>
      </c>
      <c r="D230" s="33" t="s">
        <v>79</v>
      </c>
      <c r="F230" s="33" t="s">
        <v>35</v>
      </c>
      <c r="G230" s="355">
        <v>2619.9070000000002</v>
      </c>
      <c r="H230" s="255">
        <f>IF(F230="TND",1,IF(F230="EUR",Vertical_Cash_flow!$C$16,IF(F230="USD",Vertical_Cash_flow!$F$16,0)))</f>
        <v>1</v>
      </c>
      <c r="I230" s="255">
        <f t="shared" si="25"/>
        <v>2619.9070000000002</v>
      </c>
      <c r="J230" s="33" t="s">
        <v>251</v>
      </c>
      <c r="K230" s="39">
        <v>45387</v>
      </c>
      <c r="L230" s="255">
        <f t="shared" si="26"/>
        <v>0</v>
      </c>
      <c r="M230" s="625">
        <v>45387</v>
      </c>
      <c r="N230" s="411">
        <f t="shared" ca="1" si="27"/>
        <v>54</v>
      </c>
      <c r="O230" s="33" t="str">
        <f>VLOOKUP(M230,Mapping!L:M,2,0)</f>
        <v>W14_2024</v>
      </c>
      <c r="P230" s="33" t="str">
        <f t="shared" ca="1" si="28"/>
        <v>30-60 days</v>
      </c>
    </row>
    <row r="231" spans="1:16" ht="15" x14ac:dyDescent="0.25">
      <c r="A231" s="33" t="s">
        <v>58</v>
      </c>
      <c r="B231" t="s">
        <v>1015</v>
      </c>
      <c r="C231" s="33" t="s">
        <v>264</v>
      </c>
      <c r="D231" s="33" t="s">
        <v>79</v>
      </c>
      <c r="F231" s="33" t="s">
        <v>35</v>
      </c>
      <c r="G231" s="355">
        <v>4405.5</v>
      </c>
      <c r="H231" s="255">
        <f>IF(F231="TND",1,IF(F231="EUR",Vertical_Cash_flow!$C$16,IF(F231="USD",Vertical_Cash_flow!$F$16,0)))</f>
        <v>1</v>
      </c>
      <c r="I231" s="255">
        <f t="shared" si="25"/>
        <v>4405.5</v>
      </c>
      <c r="J231" s="33" t="s">
        <v>251</v>
      </c>
      <c r="K231" s="39">
        <v>45379</v>
      </c>
      <c r="L231" s="255">
        <f t="shared" si="26"/>
        <v>0</v>
      </c>
      <c r="M231" s="625">
        <v>45379</v>
      </c>
      <c r="N231" s="411">
        <f t="shared" ca="1" si="27"/>
        <v>62</v>
      </c>
      <c r="O231" s="33" t="str">
        <f>VLOOKUP(M231,Mapping!L:M,2,0)</f>
        <v>W13_2024</v>
      </c>
      <c r="P231" s="33" t="str">
        <f t="shared" ca="1" si="28"/>
        <v>60-90 days</v>
      </c>
    </row>
    <row r="232" spans="1:16" ht="15" x14ac:dyDescent="0.25">
      <c r="A232" s="33" t="s">
        <v>58</v>
      </c>
      <c r="B232" t="s">
        <v>2999</v>
      </c>
      <c r="C232" s="33" t="s">
        <v>264</v>
      </c>
      <c r="D232" s="33" t="s">
        <v>79</v>
      </c>
      <c r="F232" s="33" t="s">
        <v>35</v>
      </c>
      <c r="G232" s="355">
        <v>5039.5540000000001</v>
      </c>
      <c r="H232" s="255">
        <f>IF(F232="TND",1,IF(F232="EUR",Vertical_Cash_flow!$C$16,IF(F232="USD",Vertical_Cash_flow!$F$16,0)))</f>
        <v>1</v>
      </c>
      <c r="I232" s="255">
        <f t="shared" si="25"/>
        <v>5039.5540000000001</v>
      </c>
      <c r="J232" s="33" t="s">
        <v>251</v>
      </c>
      <c r="K232" s="39">
        <v>45387</v>
      </c>
      <c r="L232" s="255">
        <f t="shared" si="26"/>
        <v>0</v>
      </c>
      <c r="M232" s="625">
        <v>45387</v>
      </c>
      <c r="N232" s="411">
        <f t="shared" ca="1" si="27"/>
        <v>54</v>
      </c>
      <c r="O232" s="33" t="str">
        <f>VLOOKUP(M232,Mapping!L:M,2,0)</f>
        <v>W14_2024</v>
      </c>
      <c r="P232" s="33" t="str">
        <f t="shared" ca="1" si="28"/>
        <v>30-60 days</v>
      </c>
    </row>
    <row r="233" spans="1:16" ht="15" x14ac:dyDescent="0.25">
      <c r="A233" s="33" t="s">
        <v>58</v>
      </c>
      <c r="B233" t="s">
        <v>3000</v>
      </c>
      <c r="C233" s="33" t="s">
        <v>264</v>
      </c>
      <c r="D233" s="33" t="s">
        <v>79</v>
      </c>
      <c r="F233" s="33" t="s">
        <v>35</v>
      </c>
      <c r="G233" s="355">
        <v>1296.9000000000001</v>
      </c>
      <c r="H233" s="255">
        <f>IF(F233="TND",1,IF(F233="EUR",Vertical_Cash_flow!$C$16,IF(F233="USD",Vertical_Cash_flow!$F$16,0)))</f>
        <v>1</v>
      </c>
      <c r="I233" s="255">
        <f t="shared" si="25"/>
        <v>1296.9000000000001</v>
      </c>
      <c r="J233" s="33" t="s">
        <v>251</v>
      </c>
      <c r="K233" s="39">
        <v>45397</v>
      </c>
      <c r="L233" s="255">
        <f t="shared" si="26"/>
        <v>0</v>
      </c>
      <c r="M233" s="625">
        <v>45397</v>
      </c>
      <c r="N233" s="411">
        <f t="shared" ca="1" si="27"/>
        <v>44</v>
      </c>
      <c r="O233" s="33" t="str">
        <f>VLOOKUP(M233,Mapping!L:M,2,0)</f>
        <v>W16_2024</v>
      </c>
      <c r="P233" s="33" t="str">
        <f t="shared" ca="1" si="28"/>
        <v>30-60 days</v>
      </c>
    </row>
    <row r="234" spans="1:16" ht="15" x14ac:dyDescent="0.25">
      <c r="A234" s="33" t="s">
        <v>58</v>
      </c>
      <c r="B234" t="s">
        <v>771</v>
      </c>
      <c r="C234" s="33" t="s">
        <v>264</v>
      </c>
      <c r="D234" s="33" t="s">
        <v>79</v>
      </c>
      <c r="F234" s="33" t="s">
        <v>35</v>
      </c>
      <c r="G234" s="355">
        <v>450</v>
      </c>
      <c r="H234" s="255">
        <f>IF(F234="TND",1,IF(F234="EUR",Vertical_Cash_flow!$C$16,IF(F234="USD",Vertical_Cash_flow!$F$16,0)))</f>
        <v>1</v>
      </c>
      <c r="I234" s="255">
        <f t="shared" si="25"/>
        <v>450</v>
      </c>
      <c r="J234" s="33" t="s">
        <v>251</v>
      </c>
      <c r="K234" s="39">
        <v>45387</v>
      </c>
      <c r="L234" s="255">
        <f t="shared" si="26"/>
        <v>0</v>
      </c>
      <c r="M234" s="625">
        <v>45387</v>
      </c>
      <c r="N234" s="411">
        <f t="shared" ca="1" si="27"/>
        <v>54</v>
      </c>
      <c r="O234" s="33" t="str">
        <f>VLOOKUP(M234,Mapping!L:M,2,0)</f>
        <v>W14_2024</v>
      </c>
      <c r="P234" s="33" t="str">
        <f t="shared" ca="1" si="28"/>
        <v>30-60 days</v>
      </c>
    </row>
    <row r="235" spans="1:16" ht="15" x14ac:dyDescent="0.25">
      <c r="A235" s="33" t="s">
        <v>58</v>
      </c>
      <c r="B235" t="s">
        <v>1469</v>
      </c>
      <c r="C235" s="33" t="s">
        <v>264</v>
      </c>
      <c r="D235" s="33" t="s">
        <v>79</v>
      </c>
      <c r="F235" s="33" t="s">
        <v>35</v>
      </c>
      <c r="G235" s="355">
        <v>2649</v>
      </c>
      <c r="H235" s="255">
        <f>IF(F235="TND",1,IF(F235="EUR",Vertical_Cash_flow!$C$16,IF(F235="USD",Vertical_Cash_flow!$F$16,0)))</f>
        <v>1</v>
      </c>
      <c r="I235" s="255">
        <f t="shared" si="25"/>
        <v>2649</v>
      </c>
      <c r="J235" s="33" t="s">
        <v>251</v>
      </c>
      <c r="K235" s="39">
        <v>45380</v>
      </c>
      <c r="L235" s="255">
        <f t="shared" si="26"/>
        <v>0</v>
      </c>
      <c r="M235" s="625">
        <v>45380</v>
      </c>
      <c r="N235" s="411">
        <f t="shared" ca="1" si="27"/>
        <v>61</v>
      </c>
      <c r="O235" s="33" t="str">
        <f>VLOOKUP(M235,Mapping!L:M,2,0)</f>
        <v>W13_2024</v>
      </c>
      <c r="P235" s="33" t="str">
        <f t="shared" ca="1" si="28"/>
        <v>60-90 days</v>
      </c>
    </row>
    <row r="236" spans="1:16" ht="15" x14ac:dyDescent="0.25">
      <c r="A236" s="33" t="s">
        <v>58</v>
      </c>
      <c r="B236" t="s">
        <v>1469</v>
      </c>
      <c r="C236" s="33" t="s">
        <v>264</v>
      </c>
      <c r="D236" s="33" t="s">
        <v>79</v>
      </c>
      <c r="F236" s="33" t="s">
        <v>35</v>
      </c>
      <c r="G236" s="355">
        <v>408</v>
      </c>
      <c r="H236" s="255">
        <f>IF(F236="TND",1,IF(F236="EUR",Vertical_Cash_flow!$C$16,IF(F236="USD",Vertical_Cash_flow!$F$16,0)))</f>
        <v>1</v>
      </c>
      <c r="I236" s="255">
        <f t="shared" si="25"/>
        <v>408</v>
      </c>
      <c r="J236" s="33" t="s">
        <v>251</v>
      </c>
      <c r="K236" s="39">
        <v>45397</v>
      </c>
      <c r="L236" s="255">
        <f t="shared" si="26"/>
        <v>0</v>
      </c>
      <c r="M236" s="625">
        <v>45397</v>
      </c>
      <c r="N236" s="411">
        <f t="shared" ca="1" si="27"/>
        <v>44</v>
      </c>
      <c r="O236" s="33" t="str">
        <f>VLOOKUP(M236,Mapping!L:M,2,0)</f>
        <v>W16_2024</v>
      </c>
      <c r="P236" s="33" t="str">
        <f t="shared" ca="1" si="28"/>
        <v>30-60 days</v>
      </c>
    </row>
    <row r="237" spans="1:16" ht="15" x14ac:dyDescent="0.25">
      <c r="A237" s="33" t="s">
        <v>58</v>
      </c>
      <c r="B237" t="s">
        <v>1016</v>
      </c>
      <c r="C237" s="33" t="s">
        <v>264</v>
      </c>
      <c r="D237" s="33" t="s">
        <v>79</v>
      </c>
      <c r="F237" s="33" t="s">
        <v>35</v>
      </c>
      <c r="G237" s="355">
        <v>1662.3489999999999</v>
      </c>
      <c r="H237" s="255">
        <f>IF(F237="TND",1,IF(F237="EUR",Vertical_Cash_flow!$C$16,IF(F237="USD",Vertical_Cash_flow!$F$16,0)))</f>
        <v>1</v>
      </c>
      <c r="I237" s="255">
        <f t="shared" si="25"/>
        <v>1662.3489999999999</v>
      </c>
      <c r="J237" s="33" t="s">
        <v>251</v>
      </c>
      <c r="K237" s="39">
        <v>45379</v>
      </c>
      <c r="L237" s="255">
        <f t="shared" si="26"/>
        <v>0</v>
      </c>
      <c r="M237" s="625">
        <v>45379</v>
      </c>
      <c r="N237" s="411">
        <f t="shared" ca="1" si="27"/>
        <v>62</v>
      </c>
      <c r="O237" s="33" t="str">
        <f>VLOOKUP(M237,Mapping!L:M,2,0)</f>
        <v>W13_2024</v>
      </c>
      <c r="P237" s="33" t="str">
        <f t="shared" ca="1" si="28"/>
        <v>60-90 days</v>
      </c>
    </row>
    <row r="238" spans="1:16" ht="15" x14ac:dyDescent="0.25">
      <c r="A238" s="33" t="s">
        <v>58</v>
      </c>
      <c r="B238" t="s">
        <v>1046</v>
      </c>
      <c r="C238" s="33" t="s">
        <v>264</v>
      </c>
      <c r="D238" s="33" t="s">
        <v>79</v>
      </c>
      <c r="F238" s="33" t="s">
        <v>35</v>
      </c>
      <c r="G238" s="355">
        <v>5036.0529999999999</v>
      </c>
      <c r="H238" s="255">
        <f>IF(F238="TND",1,IF(F238="EUR",Vertical_Cash_flow!$C$16,IF(F238="USD",Vertical_Cash_flow!$F$16,0)))</f>
        <v>1</v>
      </c>
      <c r="I238" s="255">
        <f t="shared" si="25"/>
        <v>5036.0529999999999</v>
      </c>
      <c r="J238" s="33" t="s">
        <v>251</v>
      </c>
      <c r="K238" s="39">
        <v>45379</v>
      </c>
      <c r="L238" s="255">
        <f t="shared" si="26"/>
        <v>0</v>
      </c>
      <c r="M238" s="625">
        <v>45379</v>
      </c>
      <c r="N238" s="411">
        <f t="shared" ca="1" si="27"/>
        <v>62</v>
      </c>
      <c r="O238" s="33" t="str">
        <f>VLOOKUP(M238,Mapping!L:M,2,0)</f>
        <v>W13_2024</v>
      </c>
      <c r="P238" s="33" t="str">
        <f t="shared" ca="1" si="28"/>
        <v>60-90 days</v>
      </c>
    </row>
    <row r="239" spans="1:16" ht="15" x14ac:dyDescent="0.25">
      <c r="A239" s="33" t="s">
        <v>58</v>
      </c>
      <c r="B239" t="s">
        <v>972</v>
      </c>
      <c r="C239" s="33" t="s">
        <v>264</v>
      </c>
      <c r="D239" s="33" t="s">
        <v>79</v>
      </c>
      <c r="F239" s="33" t="s">
        <v>35</v>
      </c>
      <c r="G239" s="355">
        <v>399.41199999999998</v>
      </c>
      <c r="H239" s="255">
        <f>IF(F239="TND",1,IF(F239="EUR",Vertical_Cash_flow!$C$16,IF(F239="USD",Vertical_Cash_flow!$F$16,0)))</f>
        <v>1</v>
      </c>
      <c r="I239" s="255">
        <f t="shared" si="25"/>
        <v>399.41199999999998</v>
      </c>
      <c r="J239" s="33" t="s">
        <v>251</v>
      </c>
      <c r="K239" s="39">
        <v>45379</v>
      </c>
      <c r="L239" s="255">
        <f t="shared" si="26"/>
        <v>0</v>
      </c>
      <c r="M239" s="625">
        <v>45379</v>
      </c>
      <c r="N239" s="411">
        <f t="shared" ca="1" si="27"/>
        <v>62</v>
      </c>
      <c r="O239" s="33" t="str">
        <f>VLOOKUP(M239,Mapping!L:M,2,0)</f>
        <v>W13_2024</v>
      </c>
      <c r="P239" s="33" t="str">
        <f t="shared" ca="1" si="28"/>
        <v>60-90 days</v>
      </c>
    </row>
    <row r="240" spans="1:16" ht="15" x14ac:dyDescent="0.25">
      <c r="A240" s="33" t="s">
        <v>58</v>
      </c>
      <c r="B240" s="623" t="s">
        <v>792</v>
      </c>
      <c r="C240" s="33" t="s">
        <v>264</v>
      </c>
      <c r="D240" s="33" t="s">
        <v>79</v>
      </c>
      <c r="F240" s="33" t="s">
        <v>35</v>
      </c>
      <c r="G240" s="624">
        <v>497.29</v>
      </c>
      <c r="H240" s="255">
        <f>IF(F240="TND",1,IF(F240="EUR",Vertical_Cash_flow!$C$16,IF(F240="USD",Vertical_Cash_flow!$F$16,0)))</f>
        <v>1</v>
      </c>
      <c r="I240" s="255">
        <f t="shared" si="25"/>
        <v>497.29</v>
      </c>
      <c r="J240" s="33" t="s">
        <v>251</v>
      </c>
      <c r="K240" s="625">
        <v>45168</v>
      </c>
      <c r="L240" s="255">
        <f t="shared" si="26"/>
        <v>0</v>
      </c>
      <c r="M240" s="625">
        <v>45168</v>
      </c>
      <c r="N240" s="411">
        <f t="shared" ca="1" si="27"/>
        <v>273</v>
      </c>
      <c r="O240" s="33" t="str">
        <f>VLOOKUP(M240,Mapping!L:M,2,0)</f>
        <v>W35_2023</v>
      </c>
      <c r="P240" s="33" t="str">
        <f t="shared" ca="1" si="28"/>
        <v>180-360 days</v>
      </c>
    </row>
    <row r="241" spans="1:16" ht="15" x14ac:dyDescent="0.25">
      <c r="A241" s="33" t="s">
        <v>58</v>
      </c>
      <c r="B241" s="623" t="s">
        <v>875</v>
      </c>
      <c r="C241" s="33" t="s">
        <v>264</v>
      </c>
      <c r="D241" s="33" t="s">
        <v>79</v>
      </c>
      <c r="F241" s="33" t="s">
        <v>35</v>
      </c>
      <c r="G241" s="624">
        <v>397.62700000000001</v>
      </c>
      <c r="H241" s="255">
        <f>IF(F241="TND",1,IF(F241="EUR",Vertical_Cash_flow!$C$16,IF(F241="USD",Vertical_Cash_flow!$F$16,0)))</f>
        <v>1</v>
      </c>
      <c r="I241" s="255">
        <f t="shared" si="25"/>
        <v>397.62700000000001</v>
      </c>
      <c r="J241" s="33" t="s">
        <v>251</v>
      </c>
      <c r="K241" s="625">
        <v>45204</v>
      </c>
      <c r="L241" s="255">
        <f t="shared" si="26"/>
        <v>0</v>
      </c>
      <c r="M241" s="625">
        <v>45204</v>
      </c>
      <c r="N241" s="411">
        <f t="shared" ca="1" si="27"/>
        <v>237</v>
      </c>
      <c r="O241" s="33" t="str">
        <f>VLOOKUP(M241,Mapping!L:M,2,0)</f>
        <v>W40_2023</v>
      </c>
      <c r="P241" s="33" t="str">
        <f t="shared" ca="1" si="28"/>
        <v>180-360 days</v>
      </c>
    </row>
    <row r="242" spans="1:16" ht="15" x14ac:dyDescent="0.25">
      <c r="A242" s="33" t="s">
        <v>58</v>
      </c>
      <c r="B242" s="623" t="s">
        <v>898</v>
      </c>
      <c r="C242" s="33" t="s">
        <v>264</v>
      </c>
      <c r="D242" s="33" t="s">
        <v>79</v>
      </c>
      <c r="F242" s="33" t="s">
        <v>35</v>
      </c>
      <c r="G242" s="624">
        <v>197.97</v>
      </c>
      <c r="H242" s="255">
        <f>IF(F242="TND",1,IF(F242="EUR",Vertical_Cash_flow!$C$16,IF(F242="USD",Vertical_Cash_flow!$F$16,0)))</f>
        <v>1</v>
      </c>
      <c r="I242" s="255">
        <f t="shared" si="25"/>
        <v>197.97</v>
      </c>
      <c r="J242" s="33" t="s">
        <v>251</v>
      </c>
      <c r="K242" s="625">
        <v>45149</v>
      </c>
      <c r="L242" s="255">
        <f t="shared" si="26"/>
        <v>0</v>
      </c>
      <c r="M242" s="625">
        <v>45149</v>
      </c>
      <c r="N242" s="411">
        <f t="shared" ca="1" si="27"/>
        <v>292</v>
      </c>
      <c r="O242" s="33" t="str">
        <f>VLOOKUP(M242,Mapping!L:M,2,0)</f>
        <v>W32_2023</v>
      </c>
      <c r="P242" s="33" t="str">
        <f t="shared" ca="1" si="28"/>
        <v>180-360 days</v>
      </c>
    </row>
    <row r="243" spans="1:16" ht="15" x14ac:dyDescent="0.25">
      <c r="A243" s="33" t="s">
        <v>58</v>
      </c>
      <c r="B243" s="623" t="s">
        <v>901</v>
      </c>
      <c r="C243" s="33" t="s">
        <v>264</v>
      </c>
      <c r="D243" s="33" t="s">
        <v>79</v>
      </c>
      <c r="F243" s="33" t="s">
        <v>35</v>
      </c>
      <c r="G243" s="624">
        <v>191</v>
      </c>
      <c r="H243" s="255">
        <f>IF(F243="TND",1,IF(F243="EUR",Vertical_Cash_flow!$C$16,IF(F243="USD",Vertical_Cash_flow!$F$16,0)))</f>
        <v>1</v>
      </c>
      <c r="I243" s="255">
        <f t="shared" si="25"/>
        <v>191</v>
      </c>
      <c r="J243" s="33" t="s">
        <v>251</v>
      </c>
      <c r="K243" s="625">
        <v>45180</v>
      </c>
      <c r="L243" s="255">
        <f t="shared" si="26"/>
        <v>0</v>
      </c>
      <c r="M243" s="625">
        <v>45180</v>
      </c>
      <c r="N243" s="411">
        <f t="shared" ca="1" si="27"/>
        <v>261</v>
      </c>
      <c r="O243" s="33" t="str">
        <f>VLOOKUP(M243,Mapping!L:M,2,0)</f>
        <v>W37_2023</v>
      </c>
      <c r="P243" s="33" t="str">
        <f t="shared" ca="1" si="28"/>
        <v>180-360 days</v>
      </c>
    </row>
    <row r="244" spans="1:16" ht="15" x14ac:dyDescent="0.25">
      <c r="A244" s="33" t="s">
        <v>58</v>
      </c>
      <c r="B244" s="623" t="s">
        <v>901</v>
      </c>
      <c r="C244" s="33" t="s">
        <v>264</v>
      </c>
      <c r="D244" s="33" t="s">
        <v>79</v>
      </c>
      <c r="F244" s="33" t="s">
        <v>35</v>
      </c>
      <c r="G244" s="624">
        <v>373</v>
      </c>
      <c r="H244" s="255">
        <f>IF(F244="TND",1,IF(F244="EUR",Vertical_Cash_flow!$C$16,IF(F244="USD",Vertical_Cash_flow!$F$16,0)))</f>
        <v>1</v>
      </c>
      <c r="I244" s="255">
        <f t="shared" si="25"/>
        <v>373</v>
      </c>
      <c r="J244" s="33" t="s">
        <v>251</v>
      </c>
      <c r="K244" s="625">
        <v>45191</v>
      </c>
      <c r="L244" s="255">
        <f t="shared" si="26"/>
        <v>0</v>
      </c>
      <c r="M244" s="625">
        <v>45191</v>
      </c>
      <c r="N244" s="411">
        <f t="shared" ca="1" si="27"/>
        <v>250</v>
      </c>
      <c r="O244" s="33" t="str">
        <f>VLOOKUP(M244,Mapping!L:M,2,0)</f>
        <v>W38_2023</v>
      </c>
      <c r="P244" s="33" t="str">
        <f t="shared" ca="1" si="28"/>
        <v>180-360 days</v>
      </c>
    </row>
    <row r="245" spans="1:16" ht="15" x14ac:dyDescent="0.25">
      <c r="A245" s="33" t="s">
        <v>58</v>
      </c>
      <c r="B245" s="623" t="s">
        <v>900</v>
      </c>
      <c r="C245" s="33" t="s">
        <v>264</v>
      </c>
      <c r="D245" s="33" t="s">
        <v>79</v>
      </c>
      <c r="F245" s="33" t="s">
        <v>35</v>
      </c>
      <c r="G245" s="624">
        <v>231.696</v>
      </c>
      <c r="H245" s="255">
        <f>IF(F245="TND",1,IF(F245="EUR",Vertical_Cash_flow!$C$16,IF(F245="USD",Vertical_Cash_flow!$F$16,0)))</f>
        <v>1</v>
      </c>
      <c r="I245" s="255">
        <f t="shared" si="25"/>
        <v>231.696</v>
      </c>
      <c r="J245" s="33" t="s">
        <v>251</v>
      </c>
      <c r="K245" s="625">
        <v>45153</v>
      </c>
      <c r="L245" s="255">
        <f t="shared" si="26"/>
        <v>0</v>
      </c>
      <c r="M245" s="625">
        <v>45153</v>
      </c>
      <c r="N245" s="411">
        <f t="shared" ca="1" si="27"/>
        <v>288</v>
      </c>
      <c r="O245" s="33" t="str">
        <f>VLOOKUP(M245,Mapping!L:M,2,0)</f>
        <v>W33_2023</v>
      </c>
      <c r="P245" s="33" t="str">
        <f t="shared" ca="1" si="28"/>
        <v>180-360 days</v>
      </c>
    </row>
    <row r="246" spans="1:16" ht="15" x14ac:dyDescent="0.25">
      <c r="A246" s="33" t="s">
        <v>58</v>
      </c>
      <c r="B246" s="623" t="s">
        <v>743</v>
      </c>
      <c r="C246" s="33" t="s">
        <v>264</v>
      </c>
      <c r="D246" s="33" t="s">
        <v>79</v>
      </c>
      <c r="F246" s="33" t="s">
        <v>35</v>
      </c>
      <c r="G246" s="624">
        <v>123.779</v>
      </c>
      <c r="H246" s="255">
        <f>IF(F246="TND",1,IF(F246="EUR",Vertical_Cash_flow!$C$16,IF(F246="USD",Vertical_Cash_flow!$F$16,0)))</f>
        <v>1</v>
      </c>
      <c r="I246" s="255">
        <f t="shared" si="25"/>
        <v>123.779</v>
      </c>
      <c r="J246" s="33" t="s">
        <v>251</v>
      </c>
      <c r="K246" s="625">
        <v>45208</v>
      </c>
      <c r="L246" s="255">
        <f t="shared" si="26"/>
        <v>0</v>
      </c>
      <c r="M246" s="625">
        <v>45208</v>
      </c>
      <c r="N246" s="411">
        <f t="shared" ca="1" si="27"/>
        <v>233</v>
      </c>
      <c r="O246" s="33" t="str">
        <f>VLOOKUP(M246,Mapping!L:M,2,0)</f>
        <v>W41_2023</v>
      </c>
      <c r="P246" s="33" t="str">
        <f t="shared" ca="1" si="28"/>
        <v>180-360 days</v>
      </c>
    </row>
    <row r="247" spans="1:16" ht="15" x14ac:dyDescent="0.25">
      <c r="A247" s="33" t="s">
        <v>58</v>
      </c>
      <c r="B247" s="623" t="s">
        <v>876</v>
      </c>
      <c r="C247" s="33" t="s">
        <v>264</v>
      </c>
      <c r="D247" s="33" t="s">
        <v>79</v>
      </c>
      <c r="F247" s="33" t="s">
        <v>35</v>
      </c>
      <c r="G247" s="624">
        <v>7191.0429999999997</v>
      </c>
      <c r="H247" s="255">
        <f>IF(F247="TND",1,IF(F247="EUR",Vertical_Cash_flow!$C$16,IF(F247="USD",Vertical_Cash_flow!$F$16,0)))</f>
        <v>1</v>
      </c>
      <c r="I247" s="255">
        <f t="shared" si="25"/>
        <v>7191.0429999999997</v>
      </c>
      <c r="J247" s="33" t="s">
        <v>251</v>
      </c>
      <c r="K247" s="625">
        <v>45124</v>
      </c>
      <c r="L247" s="255">
        <f t="shared" si="26"/>
        <v>0</v>
      </c>
      <c r="M247" s="625">
        <v>45124</v>
      </c>
      <c r="N247" s="411">
        <f t="shared" ca="1" si="27"/>
        <v>317</v>
      </c>
      <c r="O247" s="33" t="str">
        <f>VLOOKUP(M247,Mapping!L:M,2,0)</f>
        <v>W29_2023</v>
      </c>
      <c r="P247" s="33" t="str">
        <f t="shared" ca="1" si="28"/>
        <v>180-360 days</v>
      </c>
    </row>
    <row r="248" spans="1:16" ht="15" x14ac:dyDescent="0.25">
      <c r="A248" s="33" t="s">
        <v>58</v>
      </c>
      <c r="B248" s="623" t="s">
        <v>767</v>
      </c>
      <c r="C248" s="33" t="s">
        <v>264</v>
      </c>
      <c r="D248" s="33" t="s">
        <v>79</v>
      </c>
      <c r="F248" s="33" t="s">
        <v>35</v>
      </c>
      <c r="G248" s="624">
        <v>500</v>
      </c>
      <c r="H248" s="255">
        <f>IF(F248="TND",1,IF(F248="EUR",Vertical_Cash_flow!$C$16,IF(F248="USD",Vertical_Cash_flow!$F$16,0)))</f>
        <v>1</v>
      </c>
      <c r="I248" s="255">
        <f t="shared" si="25"/>
        <v>500</v>
      </c>
      <c r="J248" s="33" t="s">
        <v>251</v>
      </c>
      <c r="K248" s="625">
        <v>45188</v>
      </c>
      <c r="L248" s="255">
        <f t="shared" si="26"/>
        <v>0</v>
      </c>
      <c r="M248" s="625">
        <v>45188</v>
      </c>
      <c r="N248" s="411">
        <f t="shared" ca="1" si="27"/>
        <v>253</v>
      </c>
      <c r="O248" s="33" t="str">
        <f>VLOOKUP(M248,Mapping!L:M,2,0)</f>
        <v>W38_2023</v>
      </c>
      <c r="P248" s="33" t="str">
        <f t="shared" ca="1" si="28"/>
        <v>180-360 days</v>
      </c>
    </row>
    <row r="249" spans="1:16" ht="15" x14ac:dyDescent="0.25">
      <c r="A249" s="33" t="s">
        <v>58</v>
      </c>
      <c r="B249" s="623" t="s">
        <v>910</v>
      </c>
      <c r="C249" s="33" t="s">
        <v>264</v>
      </c>
      <c r="D249" s="33" t="s">
        <v>79</v>
      </c>
      <c r="F249" s="33" t="s">
        <v>35</v>
      </c>
      <c r="G249" s="624">
        <v>1891.6579999999999</v>
      </c>
      <c r="H249" s="255">
        <f>IF(F249="TND",1,IF(F249="EUR",Vertical_Cash_flow!$C$16,IF(F249="USD",Vertical_Cash_flow!$F$16,0)))</f>
        <v>1</v>
      </c>
      <c r="I249" s="255">
        <f t="shared" si="25"/>
        <v>1891.6579999999999</v>
      </c>
      <c r="J249" s="33" t="s">
        <v>251</v>
      </c>
      <c r="K249" s="625">
        <v>45203</v>
      </c>
      <c r="L249" s="255">
        <f t="shared" si="26"/>
        <v>0</v>
      </c>
      <c r="M249" s="625">
        <v>45203</v>
      </c>
      <c r="N249" s="411">
        <f t="shared" ca="1" si="27"/>
        <v>238</v>
      </c>
      <c r="O249" s="33" t="str">
        <f>VLOOKUP(M249,Mapping!L:M,2,0)</f>
        <v>W40_2023</v>
      </c>
      <c r="P249" s="33" t="str">
        <f t="shared" ca="1" si="28"/>
        <v>180-360 days</v>
      </c>
    </row>
    <row r="250" spans="1:16" ht="15" x14ac:dyDescent="0.25">
      <c r="A250" s="33" t="s">
        <v>58</v>
      </c>
      <c r="B250" s="623" t="s">
        <v>2997</v>
      </c>
      <c r="C250" s="33" t="s">
        <v>264</v>
      </c>
      <c r="D250" s="33" t="s">
        <v>79</v>
      </c>
      <c r="F250" s="33" t="s">
        <v>35</v>
      </c>
      <c r="G250" s="624">
        <v>311.56900000000002</v>
      </c>
      <c r="H250" s="255">
        <f>IF(F250="TND",1,IF(F250="EUR",Vertical_Cash_flow!$C$16,IF(F250="USD",Vertical_Cash_flow!$F$16,0)))</f>
        <v>1</v>
      </c>
      <c r="I250" s="255">
        <f t="shared" si="25"/>
        <v>311.56900000000002</v>
      </c>
      <c r="J250" s="33" t="s">
        <v>251</v>
      </c>
      <c r="K250" s="625">
        <v>45118</v>
      </c>
      <c r="L250" s="255">
        <f t="shared" si="26"/>
        <v>0</v>
      </c>
      <c r="M250" s="625">
        <v>45118</v>
      </c>
      <c r="N250" s="411">
        <f t="shared" ca="1" si="27"/>
        <v>323</v>
      </c>
      <c r="O250" s="33" t="str">
        <f>VLOOKUP(M250,Mapping!L:M,2,0)</f>
        <v>W28_2023</v>
      </c>
      <c r="P250" s="33" t="str">
        <f t="shared" ca="1" si="28"/>
        <v>180-360 days</v>
      </c>
    </row>
    <row r="251" spans="1:16" ht="15" x14ac:dyDescent="0.25">
      <c r="A251" s="33" t="s">
        <v>58</v>
      </c>
      <c r="B251" s="623" t="s">
        <v>771</v>
      </c>
      <c r="C251" s="33" t="s">
        <v>264</v>
      </c>
      <c r="D251" s="33" t="s">
        <v>79</v>
      </c>
      <c r="F251" s="33" t="s">
        <v>35</v>
      </c>
      <c r="G251" s="624">
        <v>350</v>
      </c>
      <c r="H251" s="255">
        <f>IF(F251="TND",1,IF(F251="EUR",Vertical_Cash_flow!$C$16,IF(F251="USD",Vertical_Cash_flow!$F$16,0)))</f>
        <v>1</v>
      </c>
      <c r="I251" s="255">
        <f t="shared" si="25"/>
        <v>350</v>
      </c>
      <c r="J251" s="33" t="s">
        <v>251</v>
      </c>
      <c r="K251" s="625">
        <v>45203</v>
      </c>
      <c r="L251" s="255">
        <f t="shared" si="26"/>
        <v>0</v>
      </c>
      <c r="M251" s="625">
        <v>45203</v>
      </c>
      <c r="N251" s="411">
        <f t="shared" ca="1" si="27"/>
        <v>238</v>
      </c>
      <c r="O251" s="33" t="str">
        <f>VLOOKUP(M251,Mapping!L:M,2,0)</f>
        <v>W40_2023</v>
      </c>
      <c r="P251" s="33" t="str">
        <f t="shared" ca="1" si="28"/>
        <v>180-360 days</v>
      </c>
    </row>
    <row r="252" spans="1:16" ht="15" x14ac:dyDescent="0.25">
      <c r="A252" s="33" t="s">
        <v>58</v>
      </c>
      <c r="B252" s="623" t="s">
        <v>771</v>
      </c>
      <c r="C252" s="33" t="s">
        <v>264</v>
      </c>
      <c r="D252" s="33" t="s">
        <v>79</v>
      </c>
      <c r="F252" s="33" t="s">
        <v>35</v>
      </c>
      <c r="G252" s="624">
        <v>170</v>
      </c>
      <c r="H252" s="255">
        <f>IF(F252="TND",1,IF(F252="EUR",Vertical_Cash_flow!$C$16,IF(F252="USD",Vertical_Cash_flow!$F$16,0)))</f>
        <v>1</v>
      </c>
      <c r="I252" s="255">
        <f t="shared" si="25"/>
        <v>170</v>
      </c>
      <c r="J252" s="33" t="s">
        <v>251</v>
      </c>
      <c r="K252" s="625">
        <v>45218</v>
      </c>
      <c r="L252" s="255">
        <f t="shared" si="26"/>
        <v>0</v>
      </c>
      <c r="M252" s="625">
        <v>45218</v>
      </c>
      <c r="N252" s="411">
        <f t="shared" ca="1" si="27"/>
        <v>223</v>
      </c>
      <c r="O252" s="33" t="str">
        <f>VLOOKUP(M252,Mapping!L:M,2,0)</f>
        <v>W42_2023</v>
      </c>
      <c r="P252" s="33" t="str">
        <f t="shared" ca="1" si="28"/>
        <v>180-360 days</v>
      </c>
    </row>
    <row r="253" spans="1:16" ht="15" x14ac:dyDescent="0.25">
      <c r="A253" s="33" t="s">
        <v>58</v>
      </c>
      <c r="B253" s="623" t="s">
        <v>899</v>
      </c>
      <c r="C253" s="33" t="s">
        <v>264</v>
      </c>
      <c r="D253" s="33" t="s">
        <v>79</v>
      </c>
      <c r="F253" s="33" t="s">
        <v>35</v>
      </c>
      <c r="G253" s="624">
        <v>7068.6</v>
      </c>
      <c r="H253" s="255">
        <f>IF(F253="TND",1,IF(F253="EUR",Vertical_Cash_flow!$C$16,IF(F253="USD",Vertical_Cash_flow!$F$16,0)))</f>
        <v>1</v>
      </c>
      <c r="I253" s="255">
        <f t="shared" si="25"/>
        <v>7068.6</v>
      </c>
      <c r="J253" s="33" t="s">
        <v>251</v>
      </c>
      <c r="K253" s="625">
        <v>45153</v>
      </c>
      <c r="L253" s="255">
        <f t="shared" si="26"/>
        <v>0</v>
      </c>
      <c r="M253" s="625">
        <v>45153</v>
      </c>
      <c r="N253" s="411">
        <f t="shared" ca="1" si="27"/>
        <v>288</v>
      </c>
      <c r="O253" s="33" t="str">
        <f>VLOOKUP(M253,Mapping!L:M,2,0)</f>
        <v>W33_2023</v>
      </c>
      <c r="P253" s="33" t="str">
        <f t="shared" ca="1" si="28"/>
        <v>180-360 days</v>
      </c>
    </row>
    <row r="254" spans="1:16" ht="15" x14ac:dyDescent="0.25">
      <c r="A254" s="33" t="s">
        <v>58</v>
      </c>
      <c r="B254" s="623" t="s">
        <v>929</v>
      </c>
      <c r="C254" s="33" t="s">
        <v>264</v>
      </c>
      <c r="D254" s="33" t="s">
        <v>79</v>
      </c>
      <c r="F254" s="33" t="s">
        <v>35</v>
      </c>
      <c r="G254" s="624">
        <v>611</v>
      </c>
      <c r="H254" s="255">
        <f>IF(F254="TND",1,IF(F254="EUR",Vertical_Cash_flow!$C$16,IF(F254="USD",Vertical_Cash_flow!$F$16,0)))</f>
        <v>1</v>
      </c>
      <c r="I254" s="255">
        <f t="shared" si="25"/>
        <v>611</v>
      </c>
      <c r="J254" s="33" t="s">
        <v>251</v>
      </c>
      <c r="K254" s="625">
        <v>45089</v>
      </c>
      <c r="L254" s="255">
        <f t="shared" si="26"/>
        <v>0</v>
      </c>
      <c r="M254" s="625">
        <v>45089</v>
      </c>
      <c r="N254" s="411">
        <f t="shared" ca="1" si="27"/>
        <v>352</v>
      </c>
      <c r="O254" s="33" t="str">
        <f>VLOOKUP(M254,Mapping!L:M,2,0)</f>
        <v>W24_2023</v>
      </c>
      <c r="P254" s="33" t="str">
        <f t="shared" ca="1" si="28"/>
        <v>180-360 days</v>
      </c>
    </row>
    <row r="255" spans="1:16" ht="15" x14ac:dyDescent="0.25">
      <c r="A255" s="33" t="s">
        <v>58</v>
      </c>
      <c r="B255" s="623" t="s">
        <v>972</v>
      </c>
      <c r="C255" s="33" t="s">
        <v>264</v>
      </c>
      <c r="D255" s="33" t="s">
        <v>79</v>
      </c>
      <c r="F255" s="33" t="s">
        <v>35</v>
      </c>
      <c r="G255" s="624">
        <v>2676.1869999999999</v>
      </c>
      <c r="H255" s="255">
        <f>IF(F255="TND",1,IF(F255="EUR",Vertical_Cash_flow!$C$16,IF(F255="USD",Vertical_Cash_flow!$F$16,0)))</f>
        <v>1</v>
      </c>
      <c r="I255" s="255">
        <f t="shared" si="25"/>
        <v>2676.1869999999999</v>
      </c>
      <c r="J255" s="33" t="s">
        <v>251</v>
      </c>
      <c r="K255" s="625">
        <v>45239</v>
      </c>
      <c r="L255" s="255">
        <f t="shared" si="26"/>
        <v>0</v>
      </c>
      <c r="M255" s="625">
        <v>45239</v>
      </c>
      <c r="N255" s="411">
        <f t="shared" ca="1" si="27"/>
        <v>202</v>
      </c>
      <c r="O255" s="33" t="str">
        <f>VLOOKUP(M255,Mapping!L:M,2,0)</f>
        <v>W45_2023</v>
      </c>
      <c r="P255" s="33" t="str">
        <f t="shared" ca="1" si="28"/>
        <v>180-360 days</v>
      </c>
    </row>
    <row r="256" spans="1:16" ht="15" x14ac:dyDescent="0.25">
      <c r="A256" s="33" t="s">
        <v>58</v>
      </c>
      <c r="B256" s="623" t="s">
        <v>875</v>
      </c>
      <c r="C256" s="33" t="s">
        <v>264</v>
      </c>
      <c r="D256" s="33" t="s">
        <v>79</v>
      </c>
      <c r="F256" s="33" t="s">
        <v>35</v>
      </c>
      <c r="G256" s="624">
        <v>445.70299999999997</v>
      </c>
      <c r="H256" s="255">
        <f>IF(F256="TND",1,IF(F256="EUR",Vertical_Cash_flow!$C$16,IF(F256="USD",Vertical_Cash_flow!$F$16,0)))</f>
        <v>1</v>
      </c>
      <c r="I256" s="255">
        <f t="shared" si="25"/>
        <v>445.70299999999997</v>
      </c>
      <c r="J256" s="33" t="s">
        <v>251</v>
      </c>
      <c r="K256" s="625">
        <v>45272</v>
      </c>
      <c r="L256" s="255">
        <f t="shared" si="26"/>
        <v>0</v>
      </c>
      <c r="M256" s="625">
        <v>45272</v>
      </c>
      <c r="N256" s="411">
        <f t="shared" ca="1" si="27"/>
        <v>169</v>
      </c>
      <c r="O256" s="33" t="str">
        <f>VLOOKUP(M256,Mapping!L:M,2,0)</f>
        <v>W50_2023</v>
      </c>
      <c r="P256" s="33" t="str">
        <f t="shared" ca="1" si="28"/>
        <v>120-180 days</v>
      </c>
    </row>
    <row r="257" spans="1:16" ht="15" x14ac:dyDescent="0.25">
      <c r="A257" s="33" t="s">
        <v>58</v>
      </c>
      <c r="B257" s="623" t="s">
        <v>665</v>
      </c>
      <c r="C257" s="33" t="s">
        <v>264</v>
      </c>
      <c r="D257" s="33" t="s">
        <v>79</v>
      </c>
      <c r="F257" s="33" t="s">
        <v>35</v>
      </c>
      <c r="G257" s="624">
        <v>634.19899999999996</v>
      </c>
      <c r="H257" s="255">
        <f>IF(F257="TND",1,IF(F257="EUR",Vertical_Cash_flow!$C$16,IF(F257="USD",Vertical_Cash_flow!$F$16,0)))</f>
        <v>1</v>
      </c>
      <c r="I257" s="255">
        <f t="shared" si="25"/>
        <v>634.19899999999996</v>
      </c>
      <c r="J257" s="33" t="s">
        <v>251</v>
      </c>
      <c r="K257" s="625">
        <v>45296</v>
      </c>
      <c r="L257" s="255">
        <f t="shared" si="26"/>
        <v>0</v>
      </c>
      <c r="M257" s="625">
        <v>45296</v>
      </c>
      <c r="N257" s="411">
        <f t="shared" ca="1" si="27"/>
        <v>145</v>
      </c>
      <c r="O257" s="33" t="str">
        <f>VLOOKUP(M257,Mapping!L:M,2,0)</f>
        <v>W01_2024</v>
      </c>
      <c r="P257" s="33" t="str">
        <f t="shared" ca="1" si="28"/>
        <v>120-180 days</v>
      </c>
    </row>
    <row r="258" spans="1:16" ht="15" x14ac:dyDescent="0.25">
      <c r="A258" s="33" t="s">
        <v>58</v>
      </c>
      <c r="B258" s="623" t="s">
        <v>976</v>
      </c>
      <c r="C258" s="33" t="s">
        <v>264</v>
      </c>
      <c r="D258" s="33" t="s">
        <v>79</v>
      </c>
      <c r="F258" s="33" t="s">
        <v>35</v>
      </c>
      <c r="G258" s="624">
        <v>4197.1949999999997</v>
      </c>
      <c r="H258" s="255">
        <f>IF(F258="TND",1,IF(F258="EUR",Vertical_Cash_flow!$C$16,IF(F258="USD",Vertical_Cash_flow!$F$16,0)))</f>
        <v>1</v>
      </c>
      <c r="I258" s="255">
        <f t="shared" si="25"/>
        <v>4197.1949999999997</v>
      </c>
      <c r="J258" s="33" t="s">
        <v>251</v>
      </c>
      <c r="K258" s="625">
        <v>45253</v>
      </c>
      <c r="L258" s="255">
        <f t="shared" si="26"/>
        <v>58</v>
      </c>
      <c r="M258" s="625">
        <v>45311</v>
      </c>
      <c r="N258" s="411">
        <f t="shared" ca="1" si="27"/>
        <v>130</v>
      </c>
      <c r="O258" s="33" t="str">
        <f>VLOOKUP(M258,Mapping!L:M,2,0)</f>
        <v>W04_2024</v>
      </c>
      <c r="P258" s="33" t="str">
        <f t="shared" ca="1" si="28"/>
        <v>120-180 days</v>
      </c>
    </row>
    <row r="259" spans="1:16" ht="15" x14ac:dyDescent="0.25">
      <c r="A259" s="33" t="s">
        <v>58</v>
      </c>
      <c r="B259" s="623" t="s">
        <v>1014</v>
      </c>
      <c r="C259" s="33" t="s">
        <v>264</v>
      </c>
      <c r="D259" s="33" t="s">
        <v>79</v>
      </c>
      <c r="F259" s="33" t="s">
        <v>35</v>
      </c>
      <c r="G259" s="624">
        <v>4476.78</v>
      </c>
      <c r="H259" s="255">
        <f>IF(F259="TND",1,IF(F259="EUR",Vertical_Cash_flow!$C$16,IF(F259="USD",Vertical_Cash_flow!$F$16,0)))</f>
        <v>1</v>
      </c>
      <c r="I259" s="255">
        <f t="shared" si="25"/>
        <v>4476.78</v>
      </c>
      <c r="J259" s="33" t="s">
        <v>251</v>
      </c>
      <c r="K259" s="625">
        <v>45273</v>
      </c>
      <c r="L259" s="255">
        <f t="shared" si="26"/>
        <v>0</v>
      </c>
      <c r="M259" s="625">
        <v>45273</v>
      </c>
      <c r="N259" s="411">
        <f t="shared" ca="1" si="27"/>
        <v>168</v>
      </c>
      <c r="O259" s="33" t="str">
        <f>VLOOKUP(M259,Mapping!L:M,2,0)</f>
        <v>W50_2023</v>
      </c>
      <c r="P259" s="33" t="str">
        <f t="shared" ca="1" si="28"/>
        <v>120-180 days</v>
      </c>
    </row>
    <row r="260" spans="1:16" ht="15" x14ac:dyDescent="0.25">
      <c r="A260" s="33" t="s">
        <v>58</v>
      </c>
      <c r="B260" s="623" t="s">
        <v>767</v>
      </c>
      <c r="C260" s="33" t="s">
        <v>264</v>
      </c>
      <c r="D260" s="33" t="s">
        <v>79</v>
      </c>
      <c r="F260" s="33" t="s">
        <v>35</v>
      </c>
      <c r="G260" s="624">
        <v>1000</v>
      </c>
      <c r="H260" s="255">
        <f>IF(F260="TND",1,IF(F260="EUR",Vertical_Cash_flow!$C$16,IF(F260="USD",Vertical_Cash_flow!$F$16,0)))</f>
        <v>1</v>
      </c>
      <c r="I260" s="255">
        <f t="shared" si="25"/>
        <v>1000</v>
      </c>
      <c r="J260" s="33" t="s">
        <v>251</v>
      </c>
      <c r="K260" s="625">
        <v>45285</v>
      </c>
      <c r="L260" s="255">
        <f t="shared" si="26"/>
        <v>0</v>
      </c>
      <c r="M260" s="625">
        <v>45285</v>
      </c>
      <c r="N260" s="411">
        <f t="shared" ca="1" si="27"/>
        <v>156</v>
      </c>
      <c r="O260" s="33" t="str">
        <f>VLOOKUP(M260,Mapping!L:M,2,0)</f>
        <v>W52_2023</v>
      </c>
      <c r="P260" s="33" t="str">
        <f t="shared" ca="1" si="28"/>
        <v>120-180 days</v>
      </c>
    </row>
    <row r="261" spans="1:16" ht="15" x14ac:dyDescent="0.25">
      <c r="A261" s="33" t="s">
        <v>58</v>
      </c>
      <c r="B261" s="623" t="s">
        <v>973</v>
      </c>
      <c r="C261" s="33" t="s">
        <v>264</v>
      </c>
      <c r="D261" s="33" t="s">
        <v>79</v>
      </c>
      <c r="F261" s="33" t="s">
        <v>35</v>
      </c>
      <c r="G261" s="624">
        <v>1155.3009999999999</v>
      </c>
      <c r="H261" s="255">
        <f>IF(F261="TND",1,IF(F261="EUR",Vertical_Cash_flow!$C$16,IF(F261="USD",Vertical_Cash_flow!$F$16,0)))</f>
        <v>1</v>
      </c>
      <c r="I261" s="255">
        <f t="shared" si="25"/>
        <v>1155.3009999999999</v>
      </c>
      <c r="J261" s="33" t="s">
        <v>251</v>
      </c>
      <c r="K261" s="625">
        <v>45271</v>
      </c>
      <c r="L261" s="255">
        <f t="shared" si="26"/>
        <v>0</v>
      </c>
      <c r="M261" s="625">
        <v>45271</v>
      </c>
      <c r="N261" s="411">
        <f t="shared" ca="1" si="27"/>
        <v>170</v>
      </c>
      <c r="O261" s="33" t="str">
        <f>VLOOKUP(M261,Mapping!L:M,2,0)</f>
        <v>W50_2023</v>
      </c>
      <c r="P261" s="33" t="str">
        <f t="shared" ca="1" si="28"/>
        <v>120-180 days</v>
      </c>
    </row>
    <row r="262" spans="1:16" ht="15" x14ac:dyDescent="0.25">
      <c r="A262" s="33" t="s">
        <v>58</v>
      </c>
      <c r="B262" s="623" t="s">
        <v>1015</v>
      </c>
      <c r="C262" s="33" t="s">
        <v>264</v>
      </c>
      <c r="D262" s="33" t="s">
        <v>79</v>
      </c>
      <c r="F262" s="33" t="s">
        <v>35</v>
      </c>
      <c r="G262" s="624">
        <v>918.68</v>
      </c>
      <c r="H262" s="255">
        <f>IF(F262="TND",1,IF(F262="EUR",Vertical_Cash_flow!$C$16,IF(F262="USD",Vertical_Cash_flow!$F$16,0)))</f>
        <v>1</v>
      </c>
      <c r="I262" s="255">
        <f t="shared" si="25"/>
        <v>918.68</v>
      </c>
      <c r="J262" s="33" t="s">
        <v>251</v>
      </c>
      <c r="K262" s="625">
        <v>45278</v>
      </c>
      <c r="L262" s="255">
        <f t="shared" si="26"/>
        <v>0</v>
      </c>
      <c r="M262" s="625">
        <v>45278</v>
      </c>
      <c r="N262" s="411">
        <f t="shared" ca="1" si="27"/>
        <v>163</v>
      </c>
      <c r="O262" s="33" t="str">
        <f>VLOOKUP(M262,Mapping!L:M,2,0)</f>
        <v>W51_2023</v>
      </c>
      <c r="P262" s="33" t="str">
        <f t="shared" ca="1" si="28"/>
        <v>120-180 days</v>
      </c>
    </row>
    <row r="263" spans="1:16" ht="15" x14ac:dyDescent="0.25">
      <c r="A263" s="33" t="s">
        <v>58</v>
      </c>
      <c r="B263" s="623" t="s">
        <v>771</v>
      </c>
      <c r="C263" s="33" t="s">
        <v>264</v>
      </c>
      <c r="D263" s="33" t="s">
        <v>79</v>
      </c>
      <c r="F263" s="33" t="s">
        <v>35</v>
      </c>
      <c r="G263" s="624">
        <v>2368.971</v>
      </c>
      <c r="H263" s="255">
        <f>IF(F263="TND",1,IF(F263="EUR",Vertical_Cash_flow!$C$16,IF(F263="USD",Vertical_Cash_flow!$F$16,0)))</f>
        <v>1</v>
      </c>
      <c r="I263" s="255">
        <f t="shared" si="25"/>
        <v>2368.971</v>
      </c>
      <c r="J263" s="33" t="s">
        <v>251</v>
      </c>
      <c r="K263" s="625">
        <v>45295</v>
      </c>
      <c r="L263" s="255">
        <f t="shared" si="26"/>
        <v>0</v>
      </c>
      <c r="M263" s="625">
        <v>45295</v>
      </c>
      <c r="N263" s="411">
        <f t="shared" ca="1" si="27"/>
        <v>146</v>
      </c>
      <c r="O263" s="33" t="str">
        <f>VLOOKUP(M263,Mapping!L:M,2,0)</f>
        <v>W01_2024</v>
      </c>
      <c r="P263" s="33" t="str">
        <f t="shared" ca="1" si="28"/>
        <v>120-180 days</v>
      </c>
    </row>
    <row r="264" spans="1:16" ht="15" x14ac:dyDescent="0.25">
      <c r="A264" s="33" t="s">
        <v>58</v>
      </c>
      <c r="B264" s="623" t="s">
        <v>974</v>
      </c>
      <c r="C264" s="33" t="s">
        <v>264</v>
      </c>
      <c r="D264" s="33" t="s">
        <v>79</v>
      </c>
      <c r="F264" s="33" t="s">
        <v>35</v>
      </c>
      <c r="G264" s="624">
        <v>852.29399999999998</v>
      </c>
      <c r="H264" s="255">
        <f>IF(F264="TND",1,IF(F264="EUR",Vertical_Cash_flow!$C$16,IF(F264="USD",Vertical_Cash_flow!$F$16,0)))</f>
        <v>1</v>
      </c>
      <c r="I264" s="255">
        <f t="shared" si="25"/>
        <v>852.29399999999998</v>
      </c>
      <c r="J264" s="33" t="s">
        <v>251</v>
      </c>
      <c r="K264" s="625">
        <v>45261</v>
      </c>
      <c r="L264" s="255">
        <f t="shared" si="26"/>
        <v>0</v>
      </c>
      <c r="M264" s="625">
        <v>45261</v>
      </c>
      <c r="N264" s="411">
        <f t="shared" ca="1" si="27"/>
        <v>180</v>
      </c>
      <c r="O264" s="33" t="str">
        <f>VLOOKUP(M264,Mapping!L:M,2,0)</f>
        <v>W48_2023</v>
      </c>
      <c r="P264" s="33" t="str">
        <f t="shared" ca="1" si="28"/>
        <v>120-180 days</v>
      </c>
    </row>
    <row r="265" spans="1:16" ht="15" x14ac:dyDescent="0.25">
      <c r="A265" s="33" t="s">
        <v>58</v>
      </c>
      <c r="B265" s="623" t="s">
        <v>1016</v>
      </c>
      <c r="C265" s="33" t="s">
        <v>264</v>
      </c>
      <c r="D265" s="33" t="s">
        <v>79</v>
      </c>
      <c r="F265" s="33" t="s">
        <v>35</v>
      </c>
      <c r="G265" s="624">
        <v>494.85</v>
      </c>
      <c r="H265" s="255">
        <f>IF(F265="TND",1,IF(F265="EUR",Vertical_Cash_flow!$C$16,IF(F265="USD",Vertical_Cash_flow!$F$16,0)))</f>
        <v>1</v>
      </c>
      <c r="I265" s="255">
        <f t="shared" si="25"/>
        <v>494.85</v>
      </c>
      <c r="J265" s="33" t="s">
        <v>251</v>
      </c>
      <c r="K265" s="625">
        <v>45285</v>
      </c>
      <c r="L265" s="255">
        <f t="shared" si="26"/>
        <v>0</v>
      </c>
      <c r="M265" s="625">
        <v>45285</v>
      </c>
      <c r="N265" s="411">
        <f t="shared" ca="1" si="27"/>
        <v>156</v>
      </c>
      <c r="O265" s="33" t="str">
        <f>VLOOKUP(M265,Mapping!L:M,2,0)</f>
        <v>W52_2023</v>
      </c>
      <c r="P265" s="33" t="str">
        <f t="shared" ca="1" si="28"/>
        <v>120-180 days</v>
      </c>
    </row>
    <row r="266" spans="1:16" ht="15" x14ac:dyDescent="0.25">
      <c r="A266" s="33" t="s">
        <v>58</v>
      </c>
      <c r="B266" s="623" t="s">
        <v>1046</v>
      </c>
      <c r="C266" s="33" t="s">
        <v>264</v>
      </c>
      <c r="D266" s="33" t="s">
        <v>79</v>
      </c>
      <c r="F266" s="33" t="s">
        <v>35</v>
      </c>
      <c r="G266" s="624">
        <v>2180.1</v>
      </c>
      <c r="H266" s="255">
        <f>IF(F266="TND",1,IF(F266="EUR",Vertical_Cash_flow!$C$16,IF(F266="USD",Vertical_Cash_flow!$F$16,0)))</f>
        <v>1</v>
      </c>
      <c r="I266" s="255">
        <f t="shared" si="25"/>
        <v>2180.1</v>
      </c>
      <c r="J266" s="33" t="s">
        <v>251</v>
      </c>
      <c r="K266" s="625">
        <v>45303</v>
      </c>
      <c r="L266" s="255">
        <f t="shared" si="26"/>
        <v>0</v>
      </c>
      <c r="M266" s="625">
        <v>45303</v>
      </c>
      <c r="N266" s="411">
        <f t="shared" ca="1" si="27"/>
        <v>138</v>
      </c>
      <c r="O266" s="33" t="str">
        <f>VLOOKUP(M266,Mapping!L:M,2,0)</f>
        <v>W02_2024</v>
      </c>
      <c r="P266" s="33" t="str">
        <f t="shared" ca="1" si="28"/>
        <v>120-180 days</v>
      </c>
    </row>
    <row r="267" spans="1:16" ht="15" x14ac:dyDescent="0.25">
      <c r="A267" s="33" t="s">
        <v>58</v>
      </c>
      <c r="B267" s="623" t="s">
        <v>939</v>
      </c>
      <c r="C267" s="33" t="s">
        <v>264</v>
      </c>
      <c r="D267" s="33" t="s">
        <v>79</v>
      </c>
      <c r="F267" s="33" t="s">
        <v>35</v>
      </c>
      <c r="G267" s="624">
        <v>507.827</v>
      </c>
      <c r="H267" s="255">
        <f>IF(F267="TND",1,IF(F267="EUR",Vertical_Cash_flow!$C$16,IF(F267="USD",Vertical_Cash_flow!$F$16,0)))</f>
        <v>1</v>
      </c>
      <c r="I267" s="255">
        <f t="shared" si="25"/>
        <v>507.827</v>
      </c>
      <c r="J267" s="33" t="s">
        <v>251</v>
      </c>
      <c r="K267" s="625">
        <v>45225</v>
      </c>
      <c r="L267" s="255">
        <f t="shared" si="26"/>
        <v>81</v>
      </c>
      <c r="M267" s="625">
        <v>45306</v>
      </c>
      <c r="N267" s="411">
        <f t="shared" ca="1" si="27"/>
        <v>135</v>
      </c>
      <c r="O267" s="33" t="str">
        <f>VLOOKUP(M267,Mapping!L:M,2,0)</f>
        <v>W03_2024</v>
      </c>
      <c r="P267" s="33" t="str">
        <f t="shared" ca="1" si="28"/>
        <v>120-180 days</v>
      </c>
    </row>
    <row r="268" spans="1:16" ht="15" x14ac:dyDescent="0.25">
      <c r="A268" s="33" t="s">
        <v>58</v>
      </c>
      <c r="B268" s="623" t="s">
        <v>972</v>
      </c>
      <c r="C268" s="33" t="s">
        <v>264</v>
      </c>
      <c r="D268" s="33" t="s">
        <v>79</v>
      </c>
      <c r="F268" s="33" t="s">
        <v>35</v>
      </c>
      <c r="G268" s="624">
        <v>1167.2539999999999</v>
      </c>
      <c r="H268" s="255">
        <f>IF(F268="TND",1,IF(F268="EUR",Vertical_Cash_flow!$C$16,IF(F268="USD",Vertical_Cash_flow!$F$16,0)))</f>
        <v>1</v>
      </c>
      <c r="I268" s="255">
        <f t="shared" si="25"/>
        <v>1167.2539999999999</v>
      </c>
      <c r="J268" s="33" t="s">
        <v>251</v>
      </c>
      <c r="K268" s="625">
        <v>45261</v>
      </c>
      <c r="L268" s="255">
        <f t="shared" si="26"/>
        <v>0</v>
      </c>
      <c r="M268" s="625">
        <v>45261</v>
      </c>
      <c r="N268" s="411">
        <f t="shared" ca="1" si="27"/>
        <v>180</v>
      </c>
      <c r="O268" s="33" t="str">
        <f>VLOOKUP(M268,Mapping!L:M,2,0)</f>
        <v>W48_2023</v>
      </c>
      <c r="P268" s="33" t="str">
        <f t="shared" ca="1" si="28"/>
        <v>120-180 days</v>
      </c>
    </row>
    <row r="269" spans="1:16" ht="15" x14ac:dyDescent="0.25">
      <c r="A269" s="33" t="s">
        <v>58</v>
      </c>
      <c r="B269" s="623" t="s">
        <v>972</v>
      </c>
      <c r="C269" s="33" t="s">
        <v>264</v>
      </c>
      <c r="D269" s="33" t="s">
        <v>79</v>
      </c>
      <c r="F269" s="33" t="s">
        <v>35</v>
      </c>
      <c r="G269" s="624">
        <v>671.66</v>
      </c>
      <c r="H269" s="255">
        <f>IF(F269="TND",1,IF(F269="EUR",Vertical_Cash_flow!$C$16,IF(F269="USD",Vertical_Cash_flow!$F$16,0)))</f>
        <v>1</v>
      </c>
      <c r="I269" s="255">
        <f t="shared" si="25"/>
        <v>671.66</v>
      </c>
      <c r="J269" s="33" t="s">
        <v>251</v>
      </c>
      <c r="K269" s="625">
        <v>45273</v>
      </c>
      <c r="L269" s="255">
        <f t="shared" si="26"/>
        <v>0</v>
      </c>
      <c r="M269" s="625">
        <v>45273</v>
      </c>
      <c r="N269" s="411">
        <f t="shared" ca="1" si="27"/>
        <v>168</v>
      </c>
      <c r="O269" s="33" t="str">
        <f>VLOOKUP(M269,Mapping!L:M,2,0)</f>
        <v>W50_2023</v>
      </c>
      <c r="P269" s="33" t="str">
        <f t="shared" ca="1" si="28"/>
        <v>120-180 days</v>
      </c>
    </row>
    <row r="270" spans="1:16" ht="15" x14ac:dyDescent="0.25">
      <c r="A270" s="33" t="s">
        <v>58</v>
      </c>
      <c r="B270" s="623" t="s">
        <v>972</v>
      </c>
      <c r="C270" s="33" t="s">
        <v>264</v>
      </c>
      <c r="D270" s="33" t="s">
        <v>79</v>
      </c>
      <c r="F270" s="33" t="s">
        <v>35</v>
      </c>
      <c r="G270" s="624">
        <v>1608.3209999999999</v>
      </c>
      <c r="H270" s="255">
        <f>IF(F270="TND",1,IF(F270="EUR",Vertical_Cash_flow!$C$16,IF(F270="USD",Vertical_Cash_flow!$F$16,0)))</f>
        <v>1</v>
      </c>
      <c r="I270" s="255">
        <f t="shared" si="25"/>
        <v>1608.3209999999999</v>
      </c>
      <c r="J270" s="33" t="s">
        <v>251</v>
      </c>
      <c r="K270" s="625">
        <v>45285</v>
      </c>
      <c r="L270" s="255">
        <f t="shared" si="26"/>
        <v>0</v>
      </c>
      <c r="M270" s="625">
        <v>45285</v>
      </c>
      <c r="N270" s="411">
        <f t="shared" ca="1" si="27"/>
        <v>156</v>
      </c>
      <c r="O270" s="33" t="str">
        <f>VLOOKUP(M270,Mapping!L:M,2,0)</f>
        <v>W52_2023</v>
      </c>
      <c r="P270" s="33" t="str">
        <f t="shared" ca="1" si="28"/>
        <v>120-180 days</v>
      </c>
    </row>
    <row r="271" spans="1:16" s="34" customFormat="1" ht="15" x14ac:dyDescent="0.25">
      <c r="A271" s="34" t="s">
        <v>58</v>
      </c>
      <c r="B271" s="626" t="s">
        <v>803</v>
      </c>
      <c r="C271" s="34" t="s">
        <v>264</v>
      </c>
      <c r="D271" s="34" t="s">
        <v>79</v>
      </c>
      <c r="F271" s="34" t="s">
        <v>35</v>
      </c>
      <c r="G271" s="627">
        <v>507.54</v>
      </c>
      <c r="H271" s="257">
        <f>IF(F271="TND",1,IF(F271="EUR",Vertical_Cash_flow!$C$16,IF(F271="USD",Vertical_Cash_flow!$F$16,0)))</f>
        <v>1</v>
      </c>
      <c r="I271" s="257">
        <f t="shared" si="25"/>
        <v>507.54</v>
      </c>
      <c r="J271" s="34" t="s">
        <v>252</v>
      </c>
      <c r="K271" s="628">
        <v>44944</v>
      </c>
      <c r="L271" s="257">
        <f t="shared" si="26"/>
        <v>506</v>
      </c>
      <c r="M271" s="628">
        <v>45450</v>
      </c>
      <c r="N271" s="412">
        <f t="shared" ca="1" si="27"/>
        <v>-9</v>
      </c>
      <c r="O271" s="34" t="str">
        <f>VLOOKUP(M271,Mapping!L:M,2,0)</f>
        <v>W23_2024</v>
      </c>
      <c r="P271" s="34" t="str">
        <f t="shared" ca="1" si="28"/>
        <v>Not Due</v>
      </c>
    </row>
    <row r="272" spans="1:16" s="34" customFormat="1" ht="15" x14ac:dyDescent="0.25">
      <c r="A272" s="34" t="s">
        <v>58</v>
      </c>
      <c r="B272" s="626" t="s">
        <v>803</v>
      </c>
      <c r="C272" s="34" t="s">
        <v>264</v>
      </c>
      <c r="D272" s="34" t="s">
        <v>79</v>
      </c>
      <c r="F272" s="34" t="s">
        <v>35</v>
      </c>
      <c r="G272" s="627">
        <v>1237.9949999999999</v>
      </c>
      <c r="H272" s="257">
        <f>IF(F272="TND",1,IF(F272="EUR",Vertical_Cash_flow!$C$16,IF(F272="USD",Vertical_Cash_flow!$F$16,0)))</f>
        <v>1</v>
      </c>
      <c r="I272" s="257">
        <f t="shared" si="25"/>
        <v>1237.9949999999999</v>
      </c>
      <c r="J272" s="34" t="s">
        <v>252</v>
      </c>
      <c r="K272" s="628">
        <v>44953</v>
      </c>
      <c r="L272" s="257">
        <f t="shared" si="26"/>
        <v>497</v>
      </c>
      <c r="M272" s="628">
        <v>45450</v>
      </c>
      <c r="N272" s="412">
        <f t="shared" ca="1" si="27"/>
        <v>-9</v>
      </c>
      <c r="O272" s="34" t="str">
        <f>VLOOKUP(M272,Mapping!L:M,2,0)</f>
        <v>W23_2024</v>
      </c>
      <c r="P272" s="34" t="str">
        <f t="shared" ca="1" si="28"/>
        <v>Not Due</v>
      </c>
    </row>
    <row r="273" spans="1:16" s="34" customFormat="1" ht="15" x14ac:dyDescent="0.25">
      <c r="A273" s="34" t="s">
        <v>58</v>
      </c>
      <c r="B273" s="638" t="s">
        <v>771</v>
      </c>
      <c r="C273" s="34" t="s">
        <v>264</v>
      </c>
      <c r="D273" s="34" t="s">
        <v>79</v>
      </c>
      <c r="F273" s="34" t="s">
        <v>35</v>
      </c>
      <c r="G273" s="627">
        <v>160</v>
      </c>
      <c r="H273" s="257">
        <f>IF(F273="TND",1,IF(F273="EUR",Vertical_Cash_flow!$C$16,IF(F273="USD",Vertical_Cash_flow!$F$16,0)))</f>
        <v>1</v>
      </c>
      <c r="I273" s="257">
        <f t="shared" si="25"/>
        <v>160</v>
      </c>
      <c r="J273" s="34" t="s">
        <v>252</v>
      </c>
      <c r="K273" s="628">
        <v>45051</v>
      </c>
      <c r="L273" s="257">
        <f t="shared" si="26"/>
        <v>399</v>
      </c>
      <c r="M273" s="628">
        <v>45450</v>
      </c>
      <c r="N273" s="412">
        <f t="shared" ca="1" si="27"/>
        <v>-9</v>
      </c>
      <c r="O273" s="34" t="str">
        <f>VLOOKUP(M273,Mapping!L:M,2,0)</f>
        <v>W23_2024</v>
      </c>
      <c r="P273" s="34" t="str">
        <f t="shared" ca="1" si="28"/>
        <v>Not Due</v>
      </c>
    </row>
    <row r="274" spans="1:16" s="34" customFormat="1" ht="15" x14ac:dyDescent="0.25">
      <c r="A274" s="34" t="s">
        <v>58</v>
      </c>
      <c r="B274" s="638" t="s">
        <v>855</v>
      </c>
      <c r="C274" s="34" t="s">
        <v>264</v>
      </c>
      <c r="D274" s="34" t="s">
        <v>79</v>
      </c>
      <c r="F274" s="34" t="s">
        <v>35</v>
      </c>
      <c r="G274" s="627">
        <v>226.029</v>
      </c>
      <c r="H274" s="257">
        <f>IF(F274="TND",1,IF(F274="EUR",Vertical_Cash_flow!$C$16,IF(F274="USD",Vertical_Cash_flow!$F$16,0)))</f>
        <v>1</v>
      </c>
      <c r="I274" s="257">
        <f t="shared" si="25"/>
        <v>226.029</v>
      </c>
      <c r="J274" s="34" t="s">
        <v>252</v>
      </c>
      <c r="K274" s="628">
        <v>45068</v>
      </c>
      <c r="L274" s="257">
        <f t="shared" si="26"/>
        <v>382</v>
      </c>
      <c r="M274" s="628">
        <v>45450</v>
      </c>
      <c r="N274" s="412">
        <f t="shared" ca="1" si="27"/>
        <v>-9</v>
      </c>
      <c r="O274" s="34" t="str">
        <f>VLOOKUP(M274,Mapping!L:M,2,0)</f>
        <v>W23_2024</v>
      </c>
      <c r="P274" s="34" t="str">
        <f t="shared" ca="1" si="28"/>
        <v>Not Due</v>
      </c>
    </row>
    <row r="275" spans="1:16" s="34" customFormat="1" ht="15" x14ac:dyDescent="0.25">
      <c r="A275" s="34" t="s">
        <v>58</v>
      </c>
      <c r="B275" s="626" t="s">
        <v>874</v>
      </c>
      <c r="C275" s="34" t="s">
        <v>264</v>
      </c>
      <c r="D275" s="34" t="s">
        <v>79</v>
      </c>
      <c r="F275" s="34" t="s">
        <v>35</v>
      </c>
      <c r="G275" s="627">
        <v>337.36500000000001</v>
      </c>
      <c r="H275" s="257">
        <f>IF(F275="TND",1,IF(F275="EUR",Vertical_Cash_flow!$C$16,IF(F275="USD",Vertical_Cash_flow!$F$16,0)))</f>
        <v>1</v>
      </c>
      <c r="I275" s="257">
        <f t="shared" si="25"/>
        <v>337.36500000000001</v>
      </c>
      <c r="J275" s="34" t="s">
        <v>252</v>
      </c>
      <c r="K275" s="628">
        <v>45014</v>
      </c>
      <c r="L275" s="257">
        <f t="shared" si="26"/>
        <v>436</v>
      </c>
      <c r="M275" s="628">
        <v>45450</v>
      </c>
      <c r="N275" s="412">
        <f t="shared" ca="1" si="27"/>
        <v>-9</v>
      </c>
      <c r="O275" s="34" t="str">
        <f>VLOOKUP(M275,Mapping!L:M,2,0)</f>
        <v>W23_2024</v>
      </c>
      <c r="P275" s="34" t="str">
        <f t="shared" ca="1" si="28"/>
        <v>Not Due</v>
      </c>
    </row>
    <row r="276" spans="1:16" s="34" customFormat="1" ht="15" x14ac:dyDescent="0.25">
      <c r="A276" s="34" t="s">
        <v>58</v>
      </c>
      <c r="B276" s="626" t="s">
        <v>771</v>
      </c>
      <c r="C276" s="34" t="s">
        <v>264</v>
      </c>
      <c r="D276" s="34" t="s">
        <v>79</v>
      </c>
      <c r="F276" s="34" t="s">
        <v>35</v>
      </c>
      <c r="G276" s="627">
        <v>595</v>
      </c>
      <c r="H276" s="257">
        <f>IF(F276="TND",1,IF(F276="EUR",Vertical_Cash_flow!$C$16,IF(F276="USD",Vertical_Cash_flow!$F$16,0)))</f>
        <v>1</v>
      </c>
      <c r="I276" s="257">
        <f t="shared" si="25"/>
        <v>595</v>
      </c>
      <c r="J276" s="34" t="s">
        <v>252</v>
      </c>
      <c r="K276" s="628">
        <v>45316</v>
      </c>
      <c r="L276" s="257">
        <f t="shared" si="26"/>
        <v>134</v>
      </c>
      <c r="M276" s="628">
        <v>45450</v>
      </c>
      <c r="N276" s="412">
        <f t="shared" ca="1" si="27"/>
        <v>-9</v>
      </c>
      <c r="O276" s="34" t="str">
        <f>VLOOKUP(M276,Mapping!L:M,2,0)</f>
        <v>W23_2024</v>
      </c>
      <c r="P276" s="34" t="str">
        <f t="shared" ca="1" si="28"/>
        <v>Not Due</v>
      </c>
    </row>
    <row r="277" spans="1:16" s="34" customFormat="1" ht="15" x14ac:dyDescent="0.25">
      <c r="A277" s="34" t="s">
        <v>58</v>
      </c>
      <c r="B277" s="626" t="s">
        <v>771</v>
      </c>
      <c r="C277" s="34" t="s">
        <v>264</v>
      </c>
      <c r="D277" s="34" t="s">
        <v>79</v>
      </c>
      <c r="F277" s="34" t="s">
        <v>35</v>
      </c>
      <c r="G277" s="627">
        <v>465.1</v>
      </c>
      <c r="H277" s="257">
        <f>IF(F277="TND",1,IF(F277="EUR",Vertical_Cash_flow!$C$16,IF(F277="USD",Vertical_Cash_flow!$F$16,0)))</f>
        <v>1</v>
      </c>
      <c r="I277" s="257">
        <f t="shared" si="25"/>
        <v>465.1</v>
      </c>
      <c r="J277" s="34" t="s">
        <v>252</v>
      </c>
      <c r="K277" s="628">
        <v>45323</v>
      </c>
      <c r="L277" s="257">
        <f t="shared" si="26"/>
        <v>127</v>
      </c>
      <c r="M277" s="628">
        <v>45450</v>
      </c>
      <c r="N277" s="412">
        <f t="shared" ca="1" si="27"/>
        <v>-9</v>
      </c>
      <c r="O277" s="34" t="str">
        <f>VLOOKUP(M277,Mapping!L:M,2,0)</f>
        <v>W23_2024</v>
      </c>
      <c r="P277" s="34" t="str">
        <f t="shared" ca="1" si="28"/>
        <v>Not Due</v>
      </c>
    </row>
    <row r="278" spans="1:16" s="34" customFormat="1" ht="15" x14ac:dyDescent="0.25">
      <c r="A278" s="34" t="s">
        <v>58</v>
      </c>
      <c r="B278" s="626" t="s">
        <v>771</v>
      </c>
      <c r="C278" s="34" t="s">
        <v>264</v>
      </c>
      <c r="D278" s="34" t="s">
        <v>79</v>
      </c>
      <c r="F278" s="34" t="s">
        <v>35</v>
      </c>
      <c r="G278" s="627">
        <v>1450</v>
      </c>
      <c r="H278" s="257">
        <f>IF(F278="TND",1,IF(F278="EUR",Vertical_Cash_flow!$C$16,IF(F278="USD",Vertical_Cash_flow!$F$16,0)))</f>
        <v>1</v>
      </c>
      <c r="I278" s="257">
        <f t="shared" si="25"/>
        <v>1450</v>
      </c>
      <c r="J278" s="34" t="s">
        <v>252</v>
      </c>
      <c r="K278" s="628">
        <v>45323</v>
      </c>
      <c r="L278" s="257">
        <f t="shared" si="26"/>
        <v>127</v>
      </c>
      <c r="M278" s="628">
        <v>45450</v>
      </c>
      <c r="N278" s="412">
        <f t="shared" ca="1" si="27"/>
        <v>-9</v>
      </c>
      <c r="O278" s="34" t="str">
        <f>VLOOKUP(M278,Mapping!L:M,2,0)</f>
        <v>W23_2024</v>
      </c>
      <c r="P278" s="34" t="str">
        <f t="shared" ca="1" si="28"/>
        <v>Not Due</v>
      </c>
    </row>
    <row r="279" spans="1:16" s="34" customFormat="1" ht="15" x14ac:dyDescent="0.25">
      <c r="A279" s="34" t="s">
        <v>58</v>
      </c>
      <c r="B279" s="626" t="s">
        <v>1046</v>
      </c>
      <c r="C279" s="34" t="s">
        <v>264</v>
      </c>
      <c r="D279" s="34" t="s">
        <v>79</v>
      </c>
      <c r="F279" s="34" t="s">
        <v>35</v>
      </c>
      <c r="G279" s="627">
        <v>5627.5959999999995</v>
      </c>
      <c r="H279" s="257">
        <f>IF(F279="TND",1,IF(F279="EUR",Vertical_Cash_flow!$C$16,IF(F279="USD",Vertical_Cash_flow!$F$16,0)))</f>
        <v>1</v>
      </c>
      <c r="I279" s="257">
        <f t="shared" si="25"/>
        <v>5627.5959999999995</v>
      </c>
      <c r="J279" s="34" t="s">
        <v>252</v>
      </c>
      <c r="K279" s="628">
        <v>45316</v>
      </c>
      <c r="L279" s="257">
        <f t="shared" si="26"/>
        <v>134</v>
      </c>
      <c r="M279" s="628">
        <v>45450</v>
      </c>
      <c r="N279" s="412">
        <f t="shared" ca="1" si="27"/>
        <v>-9</v>
      </c>
      <c r="O279" s="34" t="str">
        <f>VLOOKUP(M279,Mapping!L:M,2,0)</f>
        <v>W23_2024</v>
      </c>
      <c r="P279" s="34" t="str">
        <f t="shared" ca="1" si="28"/>
        <v>Not Due</v>
      </c>
    </row>
    <row r="280" spans="1:16" s="34" customFormat="1" ht="15" x14ac:dyDescent="0.25">
      <c r="A280" s="34" t="s">
        <v>58</v>
      </c>
      <c r="B280" s="626" t="s">
        <v>1238</v>
      </c>
      <c r="C280" s="34" t="s">
        <v>264</v>
      </c>
      <c r="D280" s="34" t="s">
        <v>79</v>
      </c>
      <c r="F280" s="34" t="s">
        <v>35</v>
      </c>
      <c r="G280" s="627">
        <v>6000</v>
      </c>
      <c r="H280" s="257">
        <f>IF(F280="TND",1,IF(F280="EUR",Vertical_Cash_flow!$C$16,IF(F280="USD",Vertical_Cash_flow!$F$16,0)))</f>
        <v>1</v>
      </c>
      <c r="I280" s="257">
        <f t="shared" si="25"/>
        <v>6000</v>
      </c>
      <c r="J280" s="34" t="s">
        <v>252</v>
      </c>
      <c r="K280" s="628">
        <v>45321</v>
      </c>
      <c r="L280" s="257">
        <f t="shared" si="26"/>
        <v>129</v>
      </c>
      <c r="M280" s="628">
        <v>45450</v>
      </c>
      <c r="N280" s="412">
        <f t="shared" ca="1" si="27"/>
        <v>-9</v>
      </c>
      <c r="O280" s="34" t="str">
        <f>VLOOKUP(M280,Mapping!L:M,2,0)</f>
        <v>W23_2024</v>
      </c>
      <c r="P280" s="34" t="str">
        <f t="shared" ca="1" si="28"/>
        <v>Not Due</v>
      </c>
    </row>
    <row r="281" spans="1:16" s="34" customFormat="1" ht="15" x14ac:dyDescent="0.25">
      <c r="A281" s="34" t="s">
        <v>58</v>
      </c>
      <c r="B281" s="626" t="s">
        <v>972</v>
      </c>
      <c r="C281" s="34" t="s">
        <v>264</v>
      </c>
      <c r="D281" s="34" t="s">
        <v>79</v>
      </c>
      <c r="F281" s="34" t="s">
        <v>35</v>
      </c>
      <c r="G281" s="627">
        <v>152.43899999999999</v>
      </c>
      <c r="H281" s="257">
        <f>IF(F281="TND",1,IF(F281="EUR",Vertical_Cash_flow!$C$16,IF(F281="USD",Vertical_Cash_flow!$F$16,0)))</f>
        <v>1</v>
      </c>
      <c r="I281" s="257">
        <f t="shared" si="25"/>
        <v>152.43899999999999</v>
      </c>
      <c r="J281" s="34" t="s">
        <v>252</v>
      </c>
      <c r="K281" s="628">
        <v>45323</v>
      </c>
      <c r="L281" s="257">
        <f t="shared" si="26"/>
        <v>127</v>
      </c>
      <c r="M281" s="628">
        <v>45450</v>
      </c>
      <c r="N281" s="412">
        <f t="shared" ca="1" si="27"/>
        <v>-9</v>
      </c>
      <c r="O281" s="34" t="str">
        <f>VLOOKUP(M281,Mapping!L:M,2,0)</f>
        <v>W23_2024</v>
      </c>
      <c r="P281" s="34" t="str">
        <f t="shared" ca="1" si="28"/>
        <v>Not Due</v>
      </c>
    </row>
    <row r="282" spans="1:16" s="34" customFormat="1" ht="15" x14ac:dyDescent="0.25">
      <c r="A282" s="34" t="s">
        <v>58</v>
      </c>
      <c r="B282" s="626" t="s">
        <v>911</v>
      </c>
      <c r="C282" s="34" t="s">
        <v>264</v>
      </c>
      <c r="D282" s="34" t="s">
        <v>79</v>
      </c>
      <c r="F282" s="34" t="s">
        <v>35</v>
      </c>
      <c r="G282" s="627">
        <v>3649.9520000000002</v>
      </c>
      <c r="H282" s="257">
        <f>IF(F282="TND",1,IF(F282="EUR",Vertical_Cash_flow!$C$16,IF(F282="USD",Vertical_Cash_flow!$F$16,0)))</f>
        <v>1</v>
      </c>
      <c r="I282" s="257">
        <f t="shared" si="25"/>
        <v>3649.9520000000002</v>
      </c>
      <c r="J282" s="34" t="s">
        <v>252</v>
      </c>
      <c r="K282" s="628">
        <v>45345</v>
      </c>
      <c r="L282" s="257">
        <f t="shared" si="26"/>
        <v>105</v>
      </c>
      <c r="M282" s="628">
        <v>45450</v>
      </c>
      <c r="N282" s="412">
        <f t="shared" ca="1" si="27"/>
        <v>-9</v>
      </c>
      <c r="O282" s="34" t="str">
        <f>VLOOKUP(M282,Mapping!L:M,2,0)</f>
        <v>W23_2024</v>
      </c>
      <c r="P282" s="34" t="str">
        <f t="shared" ca="1" si="28"/>
        <v>Not Due</v>
      </c>
    </row>
    <row r="283" spans="1:16" s="34" customFormat="1" ht="15" x14ac:dyDescent="0.25">
      <c r="A283" s="34" t="s">
        <v>58</v>
      </c>
      <c r="B283" s="34" t="s">
        <v>1470</v>
      </c>
      <c r="C283" s="34" t="s">
        <v>264</v>
      </c>
      <c r="D283" s="34" t="s">
        <v>79</v>
      </c>
      <c r="F283" s="34" t="s">
        <v>35</v>
      </c>
      <c r="G283" s="629">
        <v>251.00200000000001</v>
      </c>
      <c r="H283" s="257">
        <f>IF(F283="TND",1,IF(F283="EUR",Vertical_Cash_flow!$C$16,IF(F283="USD",Vertical_Cash_flow!$F$16,0)))</f>
        <v>1</v>
      </c>
      <c r="I283" s="257">
        <f t="shared" si="25"/>
        <v>251.00200000000001</v>
      </c>
      <c r="J283" s="34" t="s">
        <v>252</v>
      </c>
      <c r="K283" s="409">
        <v>45358</v>
      </c>
      <c r="L283" s="257">
        <f t="shared" si="26"/>
        <v>92</v>
      </c>
      <c r="M283" s="628">
        <v>45450</v>
      </c>
      <c r="N283" s="412">
        <f t="shared" ca="1" si="27"/>
        <v>-9</v>
      </c>
      <c r="O283" s="34" t="str">
        <f>VLOOKUP(M283,Mapping!L:M,2,0)</f>
        <v>W23_2024</v>
      </c>
      <c r="P283" s="34" t="str">
        <f t="shared" ca="1" si="28"/>
        <v>Not Due</v>
      </c>
    </row>
    <row r="284" spans="1:16" s="34" customFormat="1" ht="15" x14ac:dyDescent="0.25">
      <c r="A284" s="34" t="s">
        <v>58</v>
      </c>
      <c r="B284" s="34" t="s">
        <v>2319</v>
      </c>
      <c r="C284" s="34" t="s">
        <v>264</v>
      </c>
      <c r="D284" s="34" t="s">
        <v>79</v>
      </c>
      <c r="F284" s="34" t="s">
        <v>35</v>
      </c>
      <c r="G284" s="629">
        <v>1071.883</v>
      </c>
      <c r="H284" s="257">
        <f>IF(F284="TND",1,IF(F284="EUR",Vertical_Cash_flow!$C$16,IF(F284="USD",Vertical_Cash_flow!$F$16,0)))</f>
        <v>1</v>
      </c>
      <c r="I284" s="257">
        <f t="shared" si="25"/>
        <v>1071.883</v>
      </c>
      <c r="J284" s="34" t="s">
        <v>252</v>
      </c>
      <c r="K284" s="409">
        <v>45365</v>
      </c>
      <c r="L284" s="257">
        <f t="shared" si="26"/>
        <v>85</v>
      </c>
      <c r="M284" s="628">
        <v>45450</v>
      </c>
      <c r="N284" s="412">
        <f t="shared" ca="1" si="27"/>
        <v>-9</v>
      </c>
      <c r="O284" s="34" t="str">
        <f>VLOOKUP(M284,Mapping!L:M,2,0)</f>
        <v>W23_2024</v>
      </c>
      <c r="P284" s="34" t="str">
        <f t="shared" ca="1" si="28"/>
        <v>Not Due</v>
      </c>
    </row>
    <row r="285" spans="1:16" s="34" customFormat="1" ht="15" x14ac:dyDescent="0.25">
      <c r="A285" s="34" t="s">
        <v>58</v>
      </c>
      <c r="B285" s="626" t="s">
        <v>662</v>
      </c>
      <c r="C285" s="34" t="s">
        <v>264</v>
      </c>
      <c r="D285" s="34" t="s">
        <v>79</v>
      </c>
      <c r="F285" s="34" t="s">
        <v>35</v>
      </c>
      <c r="G285" s="627">
        <v>656.024</v>
      </c>
      <c r="H285" s="257">
        <f>IF(F285="TND",1,IF(F285="EUR",Vertical_Cash_flow!$C$16,IF(F285="USD",Vertical_Cash_flow!$F$16,0)))</f>
        <v>1</v>
      </c>
      <c r="I285" s="257">
        <f t="shared" si="25"/>
        <v>656.024</v>
      </c>
      <c r="J285" s="34" t="s">
        <v>252</v>
      </c>
      <c r="K285" s="628">
        <v>45285</v>
      </c>
      <c r="L285" s="257">
        <f t="shared" si="26"/>
        <v>165</v>
      </c>
      <c r="M285" s="628">
        <v>45450</v>
      </c>
      <c r="N285" s="412">
        <f t="shared" ca="1" si="27"/>
        <v>-9</v>
      </c>
      <c r="O285" s="34" t="str">
        <f>VLOOKUP(M285,Mapping!L:M,2,0)</f>
        <v>W23_2024</v>
      </c>
      <c r="P285" s="34" t="str">
        <f t="shared" ca="1" si="28"/>
        <v>Not Due</v>
      </c>
    </row>
    <row r="286" spans="1:16" s="34" customFormat="1" ht="15" x14ac:dyDescent="0.25">
      <c r="A286" s="34" t="s">
        <v>58</v>
      </c>
      <c r="B286" s="626" t="s">
        <v>1472</v>
      </c>
      <c r="C286" s="34" t="s">
        <v>264</v>
      </c>
      <c r="D286" s="34" t="s">
        <v>79</v>
      </c>
      <c r="F286" s="34" t="s">
        <v>35</v>
      </c>
      <c r="G286" s="627">
        <v>774.5</v>
      </c>
      <c r="H286" s="257">
        <f>IF(F286="TND",1,IF(F286="EUR",Vertical_Cash_flow!$C$16,IF(F286="USD",Vertical_Cash_flow!$F$16,0)))</f>
        <v>1</v>
      </c>
      <c r="I286" s="257">
        <f t="shared" si="25"/>
        <v>774.5</v>
      </c>
      <c r="J286" s="34" t="s">
        <v>252</v>
      </c>
      <c r="K286" s="628">
        <v>45344</v>
      </c>
      <c r="L286" s="257">
        <f t="shared" si="26"/>
        <v>106</v>
      </c>
      <c r="M286" s="628">
        <v>45450</v>
      </c>
      <c r="N286" s="412">
        <f t="shared" ca="1" si="27"/>
        <v>-9</v>
      </c>
      <c r="O286" s="34" t="str">
        <f>VLOOKUP(M286,Mapping!L:M,2,0)</f>
        <v>W23_2024</v>
      </c>
      <c r="P286" s="34" t="str">
        <f t="shared" ca="1" si="28"/>
        <v>Not Due</v>
      </c>
    </row>
    <row r="287" spans="1:16" s="34" customFormat="1" ht="15" x14ac:dyDescent="0.25">
      <c r="A287" s="34" t="s">
        <v>58</v>
      </c>
      <c r="B287" s="626" t="s">
        <v>767</v>
      </c>
      <c r="C287" s="34" t="s">
        <v>264</v>
      </c>
      <c r="D287" s="34" t="s">
        <v>79</v>
      </c>
      <c r="F287" s="34" t="s">
        <v>35</v>
      </c>
      <c r="G287" s="627">
        <v>1886.8</v>
      </c>
      <c r="H287" s="257">
        <f>IF(F287="TND",1,IF(F287="EUR",Vertical_Cash_flow!$C$16,IF(F287="USD",Vertical_Cash_flow!$F$16,0)))</f>
        <v>1</v>
      </c>
      <c r="I287" s="257">
        <f t="shared" si="25"/>
        <v>1886.8</v>
      </c>
      <c r="J287" s="34" t="s">
        <v>252</v>
      </c>
      <c r="K287" s="628">
        <v>45345</v>
      </c>
      <c r="L287" s="257">
        <f t="shared" si="26"/>
        <v>105</v>
      </c>
      <c r="M287" s="628">
        <v>45450</v>
      </c>
      <c r="N287" s="412">
        <f t="shared" ca="1" si="27"/>
        <v>-9</v>
      </c>
      <c r="O287" s="34" t="str">
        <f>VLOOKUP(M287,Mapping!L:M,2,0)</f>
        <v>W23_2024</v>
      </c>
      <c r="P287" s="34" t="str">
        <f t="shared" ca="1" si="28"/>
        <v>Not Due</v>
      </c>
    </row>
    <row r="288" spans="1:16" s="34" customFormat="1" ht="15" x14ac:dyDescent="0.25">
      <c r="A288" s="34" t="s">
        <v>58</v>
      </c>
      <c r="B288" s="626" t="s">
        <v>2997</v>
      </c>
      <c r="C288" s="34" t="s">
        <v>264</v>
      </c>
      <c r="D288" s="34" t="s">
        <v>79</v>
      </c>
      <c r="F288" s="34" t="s">
        <v>35</v>
      </c>
      <c r="G288" s="627">
        <v>2600</v>
      </c>
      <c r="H288" s="257">
        <f>IF(F288="TND",1,IF(F288="EUR",Vertical_Cash_flow!$C$16,IF(F288="USD",Vertical_Cash_flow!$F$16,0)))</f>
        <v>1</v>
      </c>
      <c r="I288" s="257">
        <f t="shared" si="25"/>
        <v>2600</v>
      </c>
      <c r="J288" s="34" t="s">
        <v>252</v>
      </c>
      <c r="K288" s="628">
        <v>45344</v>
      </c>
      <c r="L288" s="257">
        <f t="shared" si="26"/>
        <v>106</v>
      </c>
      <c r="M288" s="628">
        <v>45450</v>
      </c>
      <c r="N288" s="412">
        <f t="shared" ca="1" si="27"/>
        <v>-9</v>
      </c>
      <c r="O288" s="34" t="str">
        <f>VLOOKUP(M288,Mapping!L:M,2,0)</f>
        <v>W23_2024</v>
      </c>
      <c r="P288" s="34" t="str">
        <f t="shared" ca="1" si="28"/>
        <v>Not Due</v>
      </c>
    </row>
    <row r="289" spans="1:16" s="34" customFormat="1" ht="15" x14ac:dyDescent="0.25">
      <c r="A289" s="34" t="s">
        <v>58</v>
      </c>
      <c r="B289" s="626" t="s">
        <v>1474</v>
      </c>
      <c r="C289" s="34" t="s">
        <v>264</v>
      </c>
      <c r="D289" s="34" t="s">
        <v>79</v>
      </c>
      <c r="F289" s="34" t="s">
        <v>35</v>
      </c>
      <c r="G289" s="627">
        <v>166.21199999999999</v>
      </c>
      <c r="H289" s="257">
        <f>IF(F289="TND",1,IF(F289="EUR",Vertical_Cash_flow!$C$16,IF(F289="USD",Vertical_Cash_flow!$F$16,0)))</f>
        <v>1</v>
      </c>
      <c r="I289" s="257">
        <f t="shared" si="25"/>
        <v>166.21199999999999</v>
      </c>
      <c r="J289" s="34" t="s">
        <v>252</v>
      </c>
      <c r="K289" s="628">
        <v>45345</v>
      </c>
      <c r="L289" s="257">
        <f t="shared" si="26"/>
        <v>105</v>
      </c>
      <c r="M289" s="628">
        <v>45450</v>
      </c>
      <c r="N289" s="412">
        <f t="shared" ca="1" si="27"/>
        <v>-9</v>
      </c>
      <c r="O289" s="34" t="str">
        <f>VLOOKUP(M289,Mapping!L:M,2,0)</f>
        <v>W23_2024</v>
      </c>
      <c r="P289" s="34" t="str">
        <f t="shared" ca="1" si="28"/>
        <v>Not Due</v>
      </c>
    </row>
    <row r="290" spans="1:16" s="34" customFormat="1" ht="15" x14ac:dyDescent="0.25">
      <c r="A290" s="34" t="s">
        <v>58</v>
      </c>
      <c r="B290" s="34" t="s">
        <v>1046</v>
      </c>
      <c r="C290" s="34" t="s">
        <v>264</v>
      </c>
      <c r="D290" s="34" t="s">
        <v>79</v>
      </c>
      <c r="F290" s="34" t="s">
        <v>35</v>
      </c>
      <c r="G290" s="629">
        <v>3215.5659999999998</v>
      </c>
      <c r="H290" s="257">
        <f>IF(F290="TND",1,IF(F290="EUR",Vertical_Cash_flow!$C$16,IF(F290="USD",Vertical_Cash_flow!$F$16,0)))</f>
        <v>1</v>
      </c>
      <c r="I290" s="257">
        <f t="shared" si="25"/>
        <v>3215.5659999999998</v>
      </c>
      <c r="J290" s="34" t="s">
        <v>252</v>
      </c>
      <c r="K290" s="409">
        <v>45355</v>
      </c>
      <c r="L290" s="257">
        <f t="shared" si="26"/>
        <v>95</v>
      </c>
      <c r="M290" s="628">
        <v>45450</v>
      </c>
      <c r="N290" s="412">
        <f t="shared" ca="1" si="27"/>
        <v>-9</v>
      </c>
      <c r="O290" s="34" t="str">
        <f>VLOOKUP(M290,Mapping!L:M,2,0)</f>
        <v>W23_2024</v>
      </c>
      <c r="P290" s="34" t="str">
        <f t="shared" ca="1" si="28"/>
        <v>Not Due</v>
      </c>
    </row>
    <row r="291" spans="1:16" s="34" customFormat="1" ht="15" x14ac:dyDescent="0.25">
      <c r="A291" s="34" t="s">
        <v>58</v>
      </c>
      <c r="B291" s="34" t="s">
        <v>1237</v>
      </c>
      <c r="C291" s="34" t="s">
        <v>264</v>
      </c>
      <c r="D291" s="34" t="s">
        <v>79</v>
      </c>
      <c r="F291" s="34" t="s">
        <v>35</v>
      </c>
      <c r="G291" s="629">
        <v>34668.120000000003</v>
      </c>
      <c r="H291" s="257">
        <f>IF(F291="TND",1,IF(F291="EUR",Vertical_Cash_flow!$C$16,IF(F291="USD",Vertical_Cash_flow!$F$16,0)))</f>
        <v>1</v>
      </c>
      <c r="I291" s="257">
        <f t="shared" si="25"/>
        <v>34668.120000000003</v>
      </c>
      <c r="J291" s="34" t="s">
        <v>252</v>
      </c>
      <c r="K291" s="409">
        <v>45379</v>
      </c>
      <c r="L291" s="257">
        <f t="shared" si="26"/>
        <v>71</v>
      </c>
      <c r="M291" s="628">
        <v>45450</v>
      </c>
      <c r="N291" s="412">
        <f t="shared" ca="1" si="27"/>
        <v>-9</v>
      </c>
      <c r="O291" s="34" t="str">
        <f>VLOOKUP(M291,Mapping!L:M,2,0)</f>
        <v>W23_2024</v>
      </c>
      <c r="P291" s="34" t="str">
        <f t="shared" ca="1" si="28"/>
        <v>Not Due</v>
      </c>
    </row>
    <row r="292" spans="1:16" s="34" customFormat="1" ht="15" x14ac:dyDescent="0.25">
      <c r="A292" s="34" t="s">
        <v>58</v>
      </c>
      <c r="B292" s="626" t="s">
        <v>433</v>
      </c>
      <c r="C292" s="34" t="s">
        <v>264</v>
      </c>
      <c r="D292" s="34" t="s">
        <v>79</v>
      </c>
      <c r="F292" s="34" t="s">
        <v>35</v>
      </c>
      <c r="G292" s="627">
        <v>1292.4829999999999</v>
      </c>
      <c r="H292" s="257">
        <f>IF(F292="TND",1,IF(F292="EUR",Vertical_Cash_flow!$C$16,IF(F292="USD",Vertical_Cash_flow!$F$16,0)))</f>
        <v>1</v>
      </c>
      <c r="I292" s="257">
        <f t="shared" ref="I292:I355" si="29">G292/H292</f>
        <v>1292.4829999999999</v>
      </c>
      <c r="J292" s="34" t="s">
        <v>252</v>
      </c>
      <c r="K292" s="628">
        <v>45330</v>
      </c>
      <c r="L292" s="257">
        <f t="shared" ref="L292:L355" si="30">M292-K292</f>
        <v>120</v>
      </c>
      <c r="M292" s="628">
        <v>45450</v>
      </c>
      <c r="N292" s="412">
        <f t="shared" ref="N292:N355" ca="1" si="31">$S$1-M292</f>
        <v>-9</v>
      </c>
      <c r="O292" s="34" t="str">
        <f>VLOOKUP(M292,Mapping!L:M,2,0)</f>
        <v>W23_2024</v>
      </c>
      <c r="P292" s="34" t="str">
        <f t="shared" ref="P292:P343" ca="1" si="32">IF(N292="","",IF(N292&lt;0,"Not Due",IF(AND(N292&gt;=0,N292&lt;=30),"up 30 days",IF(AND(N292&gt;30,N292&lt;=60),"30-60 days",IF(AND(N292&gt;60,N292&lt;=90),"60-90 days",IF(AND(N292&gt;90,N292&lt;=120),"90-120 days",IF(AND(N292&gt;120,N292&lt;=180),"120-180 days",IF(AND(N292&gt;180,N292&lt;=360),"180-360 days",IF(N292&gt;360,"more than 360 days","ok")))))))))</f>
        <v>Not Due</v>
      </c>
    </row>
    <row r="293" spans="1:16" s="34" customFormat="1" ht="15" x14ac:dyDescent="0.25">
      <c r="A293" s="34" t="s">
        <v>58</v>
      </c>
      <c r="B293" s="626" t="s">
        <v>433</v>
      </c>
      <c r="C293" s="34" t="s">
        <v>264</v>
      </c>
      <c r="D293" s="34" t="s">
        <v>79</v>
      </c>
      <c r="F293" s="34" t="s">
        <v>35</v>
      </c>
      <c r="G293" s="627">
        <v>2558.4569999999999</v>
      </c>
      <c r="H293" s="257">
        <f>IF(F293="TND",1,IF(F293="EUR",Vertical_Cash_flow!$C$16,IF(F293="USD",Vertical_Cash_flow!$F$16,0)))</f>
        <v>1</v>
      </c>
      <c r="I293" s="257">
        <f t="shared" si="29"/>
        <v>2558.4569999999999</v>
      </c>
      <c r="J293" s="34" t="s">
        <v>252</v>
      </c>
      <c r="K293" s="628">
        <v>45345</v>
      </c>
      <c r="L293" s="257">
        <f t="shared" si="30"/>
        <v>105</v>
      </c>
      <c r="M293" s="628">
        <v>45450</v>
      </c>
      <c r="N293" s="412">
        <f t="shared" ca="1" si="31"/>
        <v>-9</v>
      </c>
      <c r="O293" s="34" t="str">
        <f>VLOOKUP(M293,Mapping!L:M,2,0)</f>
        <v>W23_2024</v>
      </c>
      <c r="P293" s="34" t="str">
        <f t="shared" ca="1" si="32"/>
        <v>Not Due</v>
      </c>
    </row>
    <row r="294" spans="1:16" s="34" customFormat="1" ht="15" x14ac:dyDescent="0.25">
      <c r="A294" s="34" t="s">
        <v>58</v>
      </c>
      <c r="B294" s="34" t="s">
        <v>3001</v>
      </c>
      <c r="C294" s="34" t="s">
        <v>264</v>
      </c>
      <c r="D294" s="34" t="s">
        <v>79</v>
      </c>
      <c r="F294" s="34" t="s">
        <v>35</v>
      </c>
      <c r="G294" s="629">
        <v>619.79999999999995</v>
      </c>
      <c r="H294" s="257">
        <f>IF(F294="TND",1,IF(F294="EUR",Vertical_Cash_flow!$C$16,IF(F294="USD",Vertical_Cash_flow!$F$16,0)))</f>
        <v>1</v>
      </c>
      <c r="I294" s="257">
        <f t="shared" si="29"/>
        <v>619.79999999999995</v>
      </c>
      <c r="J294" s="34" t="s">
        <v>252</v>
      </c>
      <c r="K294" s="409">
        <v>45397</v>
      </c>
      <c r="L294" s="257">
        <f t="shared" si="30"/>
        <v>53</v>
      </c>
      <c r="M294" s="628">
        <v>45450</v>
      </c>
      <c r="N294" s="412">
        <f t="shared" ca="1" si="31"/>
        <v>-9</v>
      </c>
      <c r="O294" s="34" t="str">
        <f>VLOOKUP(M294,Mapping!L:M,2,0)</f>
        <v>W23_2024</v>
      </c>
      <c r="P294" s="34" t="str">
        <f t="shared" ca="1" si="32"/>
        <v>Not Due</v>
      </c>
    </row>
    <row r="295" spans="1:16" s="34" customFormat="1" ht="15" x14ac:dyDescent="0.25">
      <c r="A295" s="34" t="s">
        <v>58</v>
      </c>
      <c r="B295" s="34" t="s">
        <v>1017</v>
      </c>
      <c r="C295" s="34" t="s">
        <v>264</v>
      </c>
      <c r="D295" s="34" t="s">
        <v>79</v>
      </c>
      <c r="F295" s="34" t="s">
        <v>35</v>
      </c>
      <c r="G295" s="629">
        <v>4475.4189999999999</v>
      </c>
      <c r="H295" s="257">
        <f>IF(F295="TND",1,IF(F295="EUR",Vertical_Cash_flow!$C$16,IF(F295="USD",Vertical_Cash_flow!$F$16,0)))</f>
        <v>1</v>
      </c>
      <c r="I295" s="257">
        <f t="shared" si="29"/>
        <v>4475.4189999999999</v>
      </c>
      <c r="J295" s="34" t="s">
        <v>252</v>
      </c>
      <c r="K295" s="409">
        <v>45355</v>
      </c>
      <c r="L295" s="257">
        <f t="shared" si="30"/>
        <v>95</v>
      </c>
      <c r="M295" s="628">
        <v>45450</v>
      </c>
      <c r="N295" s="412">
        <f t="shared" ca="1" si="31"/>
        <v>-9</v>
      </c>
      <c r="O295" s="34" t="str">
        <f>VLOOKUP(M295,Mapping!L:M,2,0)</f>
        <v>W23_2024</v>
      </c>
      <c r="P295" s="34" t="str">
        <f t="shared" ca="1" si="32"/>
        <v>Not Due</v>
      </c>
    </row>
    <row r="296" spans="1:16" s="34" customFormat="1" ht="15" x14ac:dyDescent="0.25">
      <c r="A296" s="34" t="s">
        <v>58</v>
      </c>
      <c r="B296" s="34" t="s">
        <v>976</v>
      </c>
      <c r="C296" s="34" t="s">
        <v>264</v>
      </c>
      <c r="D296" s="34" t="s">
        <v>79</v>
      </c>
      <c r="F296" s="34" t="s">
        <v>35</v>
      </c>
      <c r="G296" s="629">
        <v>8134.0280000000002</v>
      </c>
      <c r="H296" s="257">
        <f>IF(F296="TND",1,IF(F296="EUR",Vertical_Cash_flow!$C$16,IF(F296="USD",Vertical_Cash_flow!$F$16,0)))</f>
        <v>1</v>
      </c>
      <c r="I296" s="257">
        <f t="shared" si="29"/>
        <v>8134.0280000000002</v>
      </c>
      <c r="J296" s="34" t="s">
        <v>252</v>
      </c>
      <c r="K296" s="409">
        <v>45387</v>
      </c>
      <c r="L296" s="257">
        <f t="shared" si="30"/>
        <v>63</v>
      </c>
      <c r="M296" s="628">
        <v>45450</v>
      </c>
      <c r="N296" s="412">
        <f t="shared" ca="1" si="31"/>
        <v>-9</v>
      </c>
      <c r="O296" s="34" t="str">
        <f>VLOOKUP(M296,Mapping!L:M,2,0)</f>
        <v>W23_2024</v>
      </c>
      <c r="P296" s="34" t="str">
        <f t="shared" ca="1" si="32"/>
        <v>Not Due</v>
      </c>
    </row>
    <row r="297" spans="1:16" s="34" customFormat="1" ht="15" x14ac:dyDescent="0.25">
      <c r="A297" s="34" t="s">
        <v>58</v>
      </c>
      <c r="B297" s="34" t="s">
        <v>662</v>
      </c>
      <c r="C297" s="34" t="s">
        <v>264</v>
      </c>
      <c r="D297" s="34" t="s">
        <v>79</v>
      </c>
      <c r="F297" s="34" t="s">
        <v>35</v>
      </c>
      <c r="G297" s="629">
        <v>203.26400000000001</v>
      </c>
      <c r="H297" s="257">
        <f>IF(F297="TND",1,IF(F297="EUR",Vertical_Cash_flow!$C$16,IF(F297="USD",Vertical_Cash_flow!$F$16,0)))</f>
        <v>1</v>
      </c>
      <c r="I297" s="257">
        <f t="shared" si="29"/>
        <v>203.26400000000001</v>
      </c>
      <c r="J297" s="34" t="s">
        <v>252</v>
      </c>
      <c r="K297" s="409">
        <v>45379</v>
      </c>
      <c r="L297" s="257">
        <f t="shared" si="30"/>
        <v>71</v>
      </c>
      <c r="M297" s="628">
        <v>45450</v>
      </c>
      <c r="N297" s="412">
        <f t="shared" ca="1" si="31"/>
        <v>-9</v>
      </c>
      <c r="O297" s="34" t="str">
        <f>VLOOKUP(M297,Mapping!L:M,2,0)</f>
        <v>W23_2024</v>
      </c>
      <c r="P297" s="34" t="str">
        <f t="shared" ca="1" si="32"/>
        <v>Not Due</v>
      </c>
    </row>
    <row r="298" spans="1:16" s="34" customFormat="1" ht="15" x14ac:dyDescent="0.25">
      <c r="A298" s="34" t="s">
        <v>58</v>
      </c>
      <c r="B298" s="34" t="s">
        <v>3002</v>
      </c>
      <c r="C298" s="34" t="s">
        <v>264</v>
      </c>
      <c r="D298" s="34" t="s">
        <v>79</v>
      </c>
      <c r="F298" s="34" t="s">
        <v>35</v>
      </c>
      <c r="G298" s="629">
        <v>477</v>
      </c>
      <c r="H298" s="257">
        <f>IF(F298="TND",1,IF(F298="EUR",Vertical_Cash_flow!$C$16,IF(F298="USD",Vertical_Cash_flow!$F$16,0)))</f>
        <v>1</v>
      </c>
      <c r="I298" s="257">
        <f t="shared" si="29"/>
        <v>477</v>
      </c>
      <c r="J298" s="34" t="s">
        <v>252</v>
      </c>
      <c r="K298" s="409">
        <v>45397</v>
      </c>
      <c r="L298" s="257">
        <f t="shared" si="30"/>
        <v>60</v>
      </c>
      <c r="M298" s="628">
        <v>45457</v>
      </c>
      <c r="N298" s="412">
        <f t="shared" ca="1" si="31"/>
        <v>-16</v>
      </c>
      <c r="O298" s="34" t="str">
        <f>VLOOKUP(M298,Mapping!L:M,2,0)</f>
        <v>W24_2024</v>
      </c>
      <c r="P298" s="34" t="str">
        <f t="shared" ca="1" si="32"/>
        <v>Not Due</v>
      </c>
    </row>
    <row r="299" spans="1:16" s="34" customFormat="1" ht="15" x14ac:dyDescent="0.25">
      <c r="A299" s="34" t="s">
        <v>58</v>
      </c>
      <c r="B299" s="34" t="s">
        <v>767</v>
      </c>
      <c r="C299" s="34" t="s">
        <v>264</v>
      </c>
      <c r="D299" s="34" t="s">
        <v>79</v>
      </c>
      <c r="F299" s="34" t="s">
        <v>35</v>
      </c>
      <c r="G299" s="629">
        <v>433.88</v>
      </c>
      <c r="H299" s="257">
        <f>IF(F299="TND",1,IF(F299="EUR",Vertical_Cash_flow!$C$16,IF(F299="USD",Vertical_Cash_flow!$F$16,0)))</f>
        <v>1</v>
      </c>
      <c r="I299" s="257">
        <f t="shared" si="29"/>
        <v>433.88</v>
      </c>
      <c r="J299" s="34" t="s">
        <v>252</v>
      </c>
      <c r="K299" s="409">
        <v>45398</v>
      </c>
      <c r="L299" s="257">
        <f t="shared" si="30"/>
        <v>59</v>
      </c>
      <c r="M299" s="628">
        <v>45457</v>
      </c>
      <c r="N299" s="412">
        <f t="shared" ca="1" si="31"/>
        <v>-16</v>
      </c>
      <c r="O299" s="34" t="str">
        <f>VLOOKUP(M299,Mapping!L:M,2,0)</f>
        <v>W24_2024</v>
      </c>
      <c r="P299" s="34" t="str">
        <f t="shared" ca="1" si="32"/>
        <v>Not Due</v>
      </c>
    </row>
    <row r="300" spans="1:16" s="34" customFormat="1" ht="15" x14ac:dyDescent="0.25">
      <c r="A300" s="34" t="s">
        <v>58</v>
      </c>
      <c r="B300" s="34" t="s">
        <v>2997</v>
      </c>
      <c r="C300" s="34" t="s">
        <v>264</v>
      </c>
      <c r="D300" s="34" t="s">
        <v>79</v>
      </c>
      <c r="F300" s="34" t="s">
        <v>35</v>
      </c>
      <c r="G300" s="629">
        <v>1000</v>
      </c>
      <c r="H300" s="257">
        <f>IF(F300="TND",1,IF(F300="EUR",Vertical_Cash_flow!$C$16,IF(F300="USD",Vertical_Cash_flow!$F$16,0)))</f>
        <v>1</v>
      </c>
      <c r="I300" s="257">
        <f t="shared" si="29"/>
        <v>1000</v>
      </c>
      <c r="J300" s="34" t="s">
        <v>252</v>
      </c>
      <c r="K300" s="409">
        <v>45398</v>
      </c>
      <c r="L300" s="257">
        <f t="shared" si="30"/>
        <v>59</v>
      </c>
      <c r="M300" s="628">
        <v>45457</v>
      </c>
      <c r="N300" s="412">
        <f t="shared" ca="1" si="31"/>
        <v>-16</v>
      </c>
      <c r="O300" s="34" t="str">
        <f>VLOOKUP(M300,Mapping!L:M,2,0)</f>
        <v>W24_2024</v>
      </c>
      <c r="P300" s="34" t="str">
        <f t="shared" ca="1" si="32"/>
        <v>Not Due</v>
      </c>
    </row>
    <row r="301" spans="1:16" s="34" customFormat="1" ht="15" x14ac:dyDescent="0.25">
      <c r="A301" s="34" t="s">
        <v>58</v>
      </c>
      <c r="B301" s="34" t="s">
        <v>2997</v>
      </c>
      <c r="C301" s="34" t="s">
        <v>264</v>
      </c>
      <c r="D301" s="34" t="s">
        <v>79</v>
      </c>
      <c r="F301" s="34" t="s">
        <v>35</v>
      </c>
      <c r="G301" s="629">
        <v>5200</v>
      </c>
      <c r="H301" s="257">
        <f>IF(F301="TND",1,IF(F301="EUR",Vertical_Cash_flow!$C$16,IF(F301="USD",Vertical_Cash_flow!$F$16,0)))</f>
        <v>1</v>
      </c>
      <c r="I301" s="257">
        <f t="shared" si="29"/>
        <v>5200</v>
      </c>
      <c r="J301" s="34" t="s">
        <v>252</v>
      </c>
      <c r="K301" s="409">
        <v>45399</v>
      </c>
      <c r="L301" s="257">
        <f t="shared" si="30"/>
        <v>58</v>
      </c>
      <c r="M301" s="628">
        <v>45457</v>
      </c>
      <c r="N301" s="412">
        <f t="shared" ca="1" si="31"/>
        <v>-16</v>
      </c>
      <c r="O301" s="34" t="str">
        <f>VLOOKUP(M301,Mapping!L:M,2,0)</f>
        <v>W24_2024</v>
      </c>
      <c r="P301" s="34" t="str">
        <f t="shared" ca="1" si="32"/>
        <v>Not Due</v>
      </c>
    </row>
    <row r="302" spans="1:16" s="34" customFormat="1" ht="15" x14ac:dyDescent="0.25">
      <c r="A302" s="34" t="s">
        <v>58</v>
      </c>
      <c r="B302" s="34" t="s">
        <v>1474</v>
      </c>
      <c r="C302" s="34" t="s">
        <v>264</v>
      </c>
      <c r="D302" s="34" t="s">
        <v>79</v>
      </c>
      <c r="F302" s="34" t="s">
        <v>35</v>
      </c>
      <c r="G302" s="629">
        <v>166.21199999999999</v>
      </c>
      <c r="H302" s="257">
        <f>IF(F302="TND",1,IF(F302="EUR",Vertical_Cash_flow!$C$16,IF(F302="USD",Vertical_Cash_flow!$F$16,0)))</f>
        <v>1</v>
      </c>
      <c r="I302" s="257">
        <f t="shared" si="29"/>
        <v>166.21199999999999</v>
      </c>
      <c r="J302" s="34" t="s">
        <v>252</v>
      </c>
      <c r="K302" s="409">
        <v>45379</v>
      </c>
      <c r="L302" s="257">
        <f t="shared" si="30"/>
        <v>78</v>
      </c>
      <c r="M302" s="628">
        <v>45457</v>
      </c>
      <c r="N302" s="412">
        <f t="shared" ca="1" si="31"/>
        <v>-16</v>
      </c>
      <c r="O302" s="34" t="str">
        <f>VLOOKUP(M302,Mapping!L:M,2,0)</f>
        <v>W24_2024</v>
      </c>
      <c r="P302" s="34" t="str">
        <f t="shared" ca="1" si="32"/>
        <v>Not Due</v>
      </c>
    </row>
    <row r="303" spans="1:16" s="34" customFormat="1" ht="15" x14ac:dyDescent="0.25">
      <c r="A303" s="34" t="s">
        <v>58</v>
      </c>
      <c r="B303" s="34" t="s">
        <v>2998</v>
      </c>
      <c r="C303" s="34" t="s">
        <v>264</v>
      </c>
      <c r="D303" s="34" t="s">
        <v>79</v>
      </c>
      <c r="F303" s="34" t="s">
        <v>35</v>
      </c>
      <c r="G303" s="629">
        <v>2619.9070000000002</v>
      </c>
      <c r="H303" s="257">
        <f>IF(F303="TND",1,IF(F303="EUR",Vertical_Cash_flow!$C$16,IF(F303="USD",Vertical_Cash_flow!$F$16,0)))</f>
        <v>1</v>
      </c>
      <c r="I303" s="257">
        <f t="shared" si="29"/>
        <v>2619.9070000000002</v>
      </c>
      <c r="J303" s="34" t="s">
        <v>252</v>
      </c>
      <c r="K303" s="409">
        <v>45387</v>
      </c>
      <c r="L303" s="257">
        <f t="shared" si="30"/>
        <v>70</v>
      </c>
      <c r="M303" s="628">
        <v>45457</v>
      </c>
      <c r="N303" s="412">
        <f t="shared" ca="1" si="31"/>
        <v>-16</v>
      </c>
      <c r="O303" s="34" t="str">
        <f>VLOOKUP(M303,Mapping!L:M,2,0)</f>
        <v>W24_2024</v>
      </c>
      <c r="P303" s="34" t="str">
        <f t="shared" ca="1" si="32"/>
        <v>Not Due</v>
      </c>
    </row>
    <row r="304" spans="1:16" s="34" customFormat="1" ht="15" x14ac:dyDescent="0.25">
      <c r="A304" s="34" t="s">
        <v>58</v>
      </c>
      <c r="B304" s="34" t="s">
        <v>1015</v>
      </c>
      <c r="C304" s="34" t="s">
        <v>264</v>
      </c>
      <c r="D304" s="34" t="s">
        <v>79</v>
      </c>
      <c r="F304" s="34" t="s">
        <v>35</v>
      </c>
      <c r="G304" s="629">
        <v>4405.5</v>
      </c>
      <c r="H304" s="257">
        <f>IF(F304="TND",1,IF(F304="EUR",Vertical_Cash_flow!$C$16,IF(F304="USD",Vertical_Cash_flow!$F$16,0)))</f>
        <v>1</v>
      </c>
      <c r="I304" s="257">
        <f t="shared" si="29"/>
        <v>4405.5</v>
      </c>
      <c r="J304" s="34" t="s">
        <v>252</v>
      </c>
      <c r="K304" s="409">
        <v>45379</v>
      </c>
      <c r="L304" s="257">
        <f t="shared" si="30"/>
        <v>78</v>
      </c>
      <c r="M304" s="628">
        <v>45457</v>
      </c>
      <c r="N304" s="412">
        <f t="shared" ca="1" si="31"/>
        <v>-16</v>
      </c>
      <c r="O304" s="34" t="str">
        <f>VLOOKUP(M304,Mapping!L:M,2,0)</f>
        <v>W24_2024</v>
      </c>
      <c r="P304" s="34" t="str">
        <f t="shared" ca="1" si="32"/>
        <v>Not Due</v>
      </c>
    </row>
    <row r="305" spans="1:16" s="34" customFormat="1" ht="15" x14ac:dyDescent="0.25">
      <c r="A305" s="34" t="s">
        <v>58</v>
      </c>
      <c r="B305" s="34" t="s">
        <v>2999</v>
      </c>
      <c r="C305" s="34" t="s">
        <v>264</v>
      </c>
      <c r="D305" s="34" t="s">
        <v>79</v>
      </c>
      <c r="F305" s="34" t="s">
        <v>35</v>
      </c>
      <c r="G305" s="629">
        <v>5039.5540000000001</v>
      </c>
      <c r="H305" s="257">
        <f>IF(F305="TND",1,IF(F305="EUR",Vertical_Cash_flow!$C$16,IF(F305="USD",Vertical_Cash_flow!$F$16,0)))</f>
        <v>1</v>
      </c>
      <c r="I305" s="257">
        <f t="shared" si="29"/>
        <v>5039.5540000000001</v>
      </c>
      <c r="J305" s="34" t="s">
        <v>252</v>
      </c>
      <c r="K305" s="409">
        <v>45387</v>
      </c>
      <c r="L305" s="257">
        <f t="shared" si="30"/>
        <v>70</v>
      </c>
      <c r="M305" s="628">
        <v>45457</v>
      </c>
      <c r="N305" s="412">
        <f t="shared" ca="1" si="31"/>
        <v>-16</v>
      </c>
      <c r="O305" s="34" t="str">
        <f>VLOOKUP(M305,Mapping!L:M,2,0)</f>
        <v>W24_2024</v>
      </c>
      <c r="P305" s="34" t="str">
        <f t="shared" ca="1" si="32"/>
        <v>Not Due</v>
      </c>
    </row>
    <row r="306" spans="1:16" s="34" customFormat="1" ht="15" x14ac:dyDescent="0.25">
      <c r="A306" s="34" t="s">
        <v>58</v>
      </c>
      <c r="B306" s="34" t="s">
        <v>3000</v>
      </c>
      <c r="C306" s="34" t="s">
        <v>264</v>
      </c>
      <c r="D306" s="34" t="s">
        <v>79</v>
      </c>
      <c r="F306" s="34" t="s">
        <v>35</v>
      </c>
      <c r="G306" s="629">
        <v>1296.9000000000001</v>
      </c>
      <c r="H306" s="257">
        <f>IF(F306="TND",1,IF(F306="EUR",Vertical_Cash_flow!$C$16,IF(F306="USD",Vertical_Cash_flow!$F$16,0)))</f>
        <v>1</v>
      </c>
      <c r="I306" s="257">
        <f t="shared" si="29"/>
        <v>1296.9000000000001</v>
      </c>
      <c r="J306" s="34" t="s">
        <v>252</v>
      </c>
      <c r="K306" s="409">
        <v>45397</v>
      </c>
      <c r="L306" s="257">
        <f t="shared" si="30"/>
        <v>60</v>
      </c>
      <c r="M306" s="628">
        <v>45457</v>
      </c>
      <c r="N306" s="412">
        <f t="shared" ca="1" si="31"/>
        <v>-16</v>
      </c>
      <c r="O306" s="34" t="str">
        <f>VLOOKUP(M306,Mapping!L:M,2,0)</f>
        <v>W24_2024</v>
      </c>
      <c r="P306" s="34" t="str">
        <f t="shared" ca="1" si="32"/>
        <v>Not Due</v>
      </c>
    </row>
    <row r="307" spans="1:16" s="34" customFormat="1" ht="15" x14ac:dyDescent="0.25">
      <c r="A307" s="34" t="s">
        <v>58</v>
      </c>
      <c r="B307" s="34" t="s">
        <v>771</v>
      </c>
      <c r="C307" s="34" t="s">
        <v>264</v>
      </c>
      <c r="D307" s="34" t="s">
        <v>79</v>
      </c>
      <c r="F307" s="34" t="s">
        <v>35</v>
      </c>
      <c r="G307" s="629">
        <v>450</v>
      </c>
      <c r="H307" s="257">
        <f>IF(F307="TND",1,IF(F307="EUR",Vertical_Cash_flow!$C$16,IF(F307="USD",Vertical_Cash_flow!$F$16,0)))</f>
        <v>1</v>
      </c>
      <c r="I307" s="257">
        <f t="shared" si="29"/>
        <v>450</v>
      </c>
      <c r="J307" s="34" t="s">
        <v>252</v>
      </c>
      <c r="K307" s="409">
        <v>45387</v>
      </c>
      <c r="L307" s="257">
        <f t="shared" si="30"/>
        <v>70</v>
      </c>
      <c r="M307" s="628">
        <v>45457</v>
      </c>
      <c r="N307" s="412">
        <f t="shared" ca="1" si="31"/>
        <v>-16</v>
      </c>
      <c r="O307" s="34" t="str">
        <f>VLOOKUP(M307,Mapping!L:M,2,0)</f>
        <v>W24_2024</v>
      </c>
      <c r="P307" s="34" t="str">
        <f t="shared" ca="1" si="32"/>
        <v>Not Due</v>
      </c>
    </row>
    <row r="308" spans="1:16" s="34" customFormat="1" ht="15" x14ac:dyDescent="0.25">
      <c r="A308" s="34" t="s">
        <v>58</v>
      </c>
      <c r="B308" s="34" t="s">
        <v>1469</v>
      </c>
      <c r="C308" s="34" t="s">
        <v>264</v>
      </c>
      <c r="D308" s="34" t="s">
        <v>79</v>
      </c>
      <c r="F308" s="34" t="s">
        <v>35</v>
      </c>
      <c r="G308" s="629">
        <v>2649</v>
      </c>
      <c r="H308" s="257">
        <f>IF(F308="TND",1,IF(F308="EUR",Vertical_Cash_flow!$C$16,IF(F308="USD",Vertical_Cash_flow!$F$16,0)))</f>
        <v>1</v>
      </c>
      <c r="I308" s="257">
        <f t="shared" si="29"/>
        <v>2649</v>
      </c>
      <c r="J308" s="34" t="s">
        <v>252</v>
      </c>
      <c r="K308" s="409">
        <v>45380</v>
      </c>
      <c r="L308" s="257">
        <f t="shared" si="30"/>
        <v>77</v>
      </c>
      <c r="M308" s="628">
        <v>45457</v>
      </c>
      <c r="N308" s="412">
        <f t="shared" ca="1" si="31"/>
        <v>-16</v>
      </c>
      <c r="O308" s="34" t="str">
        <f>VLOOKUP(M308,Mapping!L:M,2,0)</f>
        <v>W24_2024</v>
      </c>
      <c r="P308" s="34" t="str">
        <f t="shared" ca="1" si="32"/>
        <v>Not Due</v>
      </c>
    </row>
    <row r="309" spans="1:16" s="34" customFormat="1" ht="15" x14ac:dyDescent="0.25">
      <c r="A309" s="34" t="s">
        <v>58</v>
      </c>
      <c r="B309" s="34" t="s">
        <v>1469</v>
      </c>
      <c r="C309" s="34" t="s">
        <v>264</v>
      </c>
      <c r="D309" s="34" t="s">
        <v>79</v>
      </c>
      <c r="F309" s="34" t="s">
        <v>35</v>
      </c>
      <c r="G309" s="629">
        <v>408</v>
      </c>
      <c r="H309" s="257">
        <f>IF(F309="TND",1,IF(F309="EUR",Vertical_Cash_flow!$C$16,IF(F309="USD",Vertical_Cash_flow!$F$16,0)))</f>
        <v>1</v>
      </c>
      <c r="I309" s="257">
        <f t="shared" si="29"/>
        <v>408</v>
      </c>
      <c r="J309" s="34" t="s">
        <v>252</v>
      </c>
      <c r="K309" s="409">
        <v>45397</v>
      </c>
      <c r="L309" s="257">
        <f t="shared" si="30"/>
        <v>60</v>
      </c>
      <c r="M309" s="628">
        <v>45457</v>
      </c>
      <c r="N309" s="412">
        <f t="shared" ca="1" si="31"/>
        <v>-16</v>
      </c>
      <c r="O309" s="34" t="str">
        <f>VLOOKUP(M309,Mapping!L:M,2,0)</f>
        <v>W24_2024</v>
      </c>
      <c r="P309" s="34" t="str">
        <f t="shared" ca="1" si="32"/>
        <v>Not Due</v>
      </c>
    </row>
    <row r="310" spans="1:16" s="34" customFormat="1" ht="15" x14ac:dyDescent="0.25">
      <c r="A310" s="34" t="s">
        <v>58</v>
      </c>
      <c r="B310" s="34" t="s">
        <v>1016</v>
      </c>
      <c r="C310" s="34" t="s">
        <v>264</v>
      </c>
      <c r="D310" s="34" t="s">
        <v>79</v>
      </c>
      <c r="F310" s="34" t="s">
        <v>35</v>
      </c>
      <c r="G310" s="629">
        <v>1662.3489999999999</v>
      </c>
      <c r="H310" s="257">
        <f>IF(F310="TND",1,IF(F310="EUR",Vertical_Cash_flow!$C$16,IF(F310="USD",Vertical_Cash_flow!$F$16,0)))</f>
        <v>1</v>
      </c>
      <c r="I310" s="257">
        <f t="shared" si="29"/>
        <v>1662.3489999999999</v>
      </c>
      <c r="J310" s="34" t="s">
        <v>252</v>
      </c>
      <c r="K310" s="409">
        <v>45379</v>
      </c>
      <c r="L310" s="257">
        <f t="shared" si="30"/>
        <v>78</v>
      </c>
      <c r="M310" s="628">
        <v>45457</v>
      </c>
      <c r="N310" s="412">
        <f t="shared" ca="1" si="31"/>
        <v>-16</v>
      </c>
      <c r="O310" s="34" t="str">
        <f>VLOOKUP(M310,Mapping!L:M,2,0)</f>
        <v>W24_2024</v>
      </c>
      <c r="P310" s="34" t="str">
        <f t="shared" ca="1" si="32"/>
        <v>Not Due</v>
      </c>
    </row>
    <row r="311" spans="1:16" s="34" customFormat="1" ht="15" x14ac:dyDescent="0.25">
      <c r="A311" s="34" t="s">
        <v>58</v>
      </c>
      <c r="B311" s="34" t="s">
        <v>1046</v>
      </c>
      <c r="C311" s="34" t="s">
        <v>264</v>
      </c>
      <c r="D311" s="34" t="s">
        <v>79</v>
      </c>
      <c r="F311" s="34" t="s">
        <v>35</v>
      </c>
      <c r="G311" s="629">
        <v>5036.0529999999999</v>
      </c>
      <c r="H311" s="257">
        <f>IF(F311="TND",1,IF(F311="EUR",Vertical_Cash_flow!$C$16,IF(F311="USD",Vertical_Cash_flow!$F$16,0)))</f>
        <v>1</v>
      </c>
      <c r="I311" s="257">
        <f t="shared" si="29"/>
        <v>5036.0529999999999</v>
      </c>
      <c r="J311" s="34" t="s">
        <v>252</v>
      </c>
      <c r="K311" s="409">
        <v>45379</v>
      </c>
      <c r="L311" s="257">
        <f t="shared" si="30"/>
        <v>78</v>
      </c>
      <c r="M311" s="628">
        <v>45457</v>
      </c>
      <c r="N311" s="412">
        <f t="shared" ca="1" si="31"/>
        <v>-16</v>
      </c>
      <c r="O311" s="34" t="str">
        <f>VLOOKUP(M311,Mapping!L:M,2,0)</f>
        <v>W24_2024</v>
      </c>
      <c r="P311" s="34" t="str">
        <f t="shared" ca="1" si="32"/>
        <v>Not Due</v>
      </c>
    </row>
    <row r="312" spans="1:16" s="34" customFormat="1" ht="15" x14ac:dyDescent="0.25">
      <c r="A312" s="34" t="s">
        <v>58</v>
      </c>
      <c r="B312" s="34" t="s">
        <v>972</v>
      </c>
      <c r="C312" s="34" t="s">
        <v>264</v>
      </c>
      <c r="D312" s="34" t="s">
        <v>79</v>
      </c>
      <c r="F312" s="34" t="s">
        <v>35</v>
      </c>
      <c r="G312" s="629">
        <v>399.41199999999998</v>
      </c>
      <c r="H312" s="257">
        <f>IF(F312="TND",1,IF(F312="EUR",Vertical_Cash_flow!$C$16,IF(F312="USD",Vertical_Cash_flow!$F$16,0)))</f>
        <v>1</v>
      </c>
      <c r="I312" s="257">
        <f t="shared" si="29"/>
        <v>399.41199999999998</v>
      </c>
      <c r="J312" s="34" t="s">
        <v>252</v>
      </c>
      <c r="K312" s="409">
        <v>45379</v>
      </c>
      <c r="L312" s="257">
        <f t="shared" si="30"/>
        <v>78</v>
      </c>
      <c r="M312" s="628">
        <v>45457</v>
      </c>
      <c r="N312" s="412">
        <f t="shared" ca="1" si="31"/>
        <v>-16</v>
      </c>
      <c r="O312" s="34" t="str">
        <f>VLOOKUP(M312,Mapping!L:M,2,0)</f>
        <v>W24_2024</v>
      </c>
      <c r="P312" s="34" t="str">
        <f t="shared" ca="1" si="32"/>
        <v>Not Due</v>
      </c>
    </row>
    <row r="313" spans="1:16" s="34" customFormat="1" ht="15" x14ac:dyDescent="0.25">
      <c r="A313" s="34" t="s">
        <v>58</v>
      </c>
      <c r="B313" s="626" t="s">
        <v>792</v>
      </c>
      <c r="C313" s="34" t="s">
        <v>264</v>
      </c>
      <c r="D313" s="34" t="s">
        <v>79</v>
      </c>
      <c r="F313" s="34" t="s">
        <v>35</v>
      </c>
      <c r="G313" s="627">
        <v>497.29</v>
      </c>
      <c r="H313" s="257">
        <f>IF(F313="TND",1,IF(F313="EUR",Vertical_Cash_flow!$C$16,IF(F313="USD",Vertical_Cash_flow!$F$16,0)))</f>
        <v>1</v>
      </c>
      <c r="I313" s="257">
        <f t="shared" si="29"/>
        <v>497.29</v>
      </c>
      <c r="J313" s="34" t="s">
        <v>252</v>
      </c>
      <c r="K313" s="628">
        <v>45168</v>
      </c>
      <c r="L313" s="257">
        <f t="shared" si="30"/>
        <v>289</v>
      </c>
      <c r="M313" s="628">
        <v>45457</v>
      </c>
      <c r="N313" s="412">
        <f t="shared" ca="1" si="31"/>
        <v>-16</v>
      </c>
      <c r="O313" s="34" t="str">
        <f>VLOOKUP(M313,Mapping!L:M,2,0)</f>
        <v>W24_2024</v>
      </c>
      <c r="P313" s="34" t="str">
        <f t="shared" ca="1" si="32"/>
        <v>Not Due</v>
      </c>
    </row>
    <row r="314" spans="1:16" s="34" customFormat="1" ht="15" x14ac:dyDescent="0.25">
      <c r="A314" s="34" t="s">
        <v>58</v>
      </c>
      <c r="B314" s="626" t="s">
        <v>875</v>
      </c>
      <c r="C314" s="34" t="s">
        <v>264</v>
      </c>
      <c r="D314" s="34" t="s">
        <v>79</v>
      </c>
      <c r="F314" s="34" t="s">
        <v>35</v>
      </c>
      <c r="G314" s="627">
        <v>397.62700000000001</v>
      </c>
      <c r="H314" s="257">
        <f>IF(F314="TND",1,IF(F314="EUR",Vertical_Cash_flow!$C$16,IF(F314="USD",Vertical_Cash_flow!$F$16,0)))</f>
        <v>1</v>
      </c>
      <c r="I314" s="257">
        <f t="shared" si="29"/>
        <v>397.62700000000001</v>
      </c>
      <c r="J314" s="34" t="s">
        <v>252</v>
      </c>
      <c r="K314" s="628">
        <v>45204</v>
      </c>
      <c r="L314" s="257">
        <f t="shared" si="30"/>
        <v>253</v>
      </c>
      <c r="M314" s="628">
        <v>45457</v>
      </c>
      <c r="N314" s="412">
        <f t="shared" ca="1" si="31"/>
        <v>-16</v>
      </c>
      <c r="O314" s="34" t="str">
        <f>VLOOKUP(M314,Mapping!L:M,2,0)</f>
        <v>W24_2024</v>
      </c>
      <c r="P314" s="34" t="str">
        <f t="shared" ca="1" si="32"/>
        <v>Not Due</v>
      </c>
    </row>
    <row r="315" spans="1:16" s="34" customFormat="1" ht="15" x14ac:dyDescent="0.25">
      <c r="A315" s="34" t="s">
        <v>58</v>
      </c>
      <c r="B315" s="626" t="s">
        <v>898</v>
      </c>
      <c r="C315" s="34" t="s">
        <v>264</v>
      </c>
      <c r="D315" s="34" t="s">
        <v>79</v>
      </c>
      <c r="F315" s="34" t="s">
        <v>35</v>
      </c>
      <c r="G315" s="627">
        <v>197.97</v>
      </c>
      <c r="H315" s="257">
        <f>IF(F315="TND",1,IF(F315="EUR",Vertical_Cash_flow!$C$16,IF(F315="USD",Vertical_Cash_flow!$F$16,0)))</f>
        <v>1</v>
      </c>
      <c r="I315" s="257">
        <f t="shared" si="29"/>
        <v>197.97</v>
      </c>
      <c r="J315" s="34" t="s">
        <v>252</v>
      </c>
      <c r="K315" s="628">
        <v>45149</v>
      </c>
      <c r="L315" s="257">
        <f t="shared" si="30"/>
        <v>308</v>
      </c>
      <c r="M315" s="628">
        <v>45457</v>
      </c>
      <c r="N315" s="412">
        <f t="shared" ca="1" si="31"/>
        <v>-16</v>
      </c>
      <c r="O315" s="34" t="str">
        <f>VLOOKUP(M315,Mapping!L:M,2,0)</f>
        <v>W24_2024</v>
      </c>
      <c r="P315" s="34" t="str">
        <f t="shared" ca="1" si="32"/>
        <v>Not Due</v>
      </c>
    </row>
    <row r="316" spans="1:16" s="34" customFormat="1" ht="15" x14ac:dyDescent="0.25">
      <c r="A316" s="34" t="s">
        <v>58</v>
      </c>
      <c r="B316" s="626" t="s">
        <v>901</v>
      </c>
      <c r="C316" s="34" t="s">
        <v>264</v>
      </c>
      <c r="D316" s="34" t="s">
        <v>79</v>
      </c>
      <c r="F316" s="34" t="s">
        <v>35</v>
      </c>
      <c r="G316" s="627">
        <v>191</v>
      </c>
      <c r="H316" s="257">
        <f>IF(F316="TND",1,IF(F316="EUR",Vertical_Cash_flow!$C$16,IF(F316="USD",Vertical_Cash_flow!$F$16,0)))</f>
        <v>1</v>
      </c>
      <c r="I316" s="257">
        <f t="shared" si="29"/>
        <v>191</v>
      </c>
      <c r="J316" s="34" t="s">
        <v>252</v>
      </c>
      <c r="K316" s="628">
        <v>45180</v>
      </c>
      <c r="L316" s="257">
        <f t="shared" si="30"/>
        <v>277</v>
      </c>
      <c r="M316" s="628">
        <v>45457</v>
      </c>
      <c r="N316" s="412">
        <f t="shared" ca="1" si="31"/>
        <v>-16</v>
      </c>
      <c r="O316" s="34" t="str">
        <f>VLOOKUP(M316,Mapping!L:M,2,0)</f>
        <v>W24_2024</v>
      </c>
      <c r="P316" s="34" t="str">
        <f t="shared" ca="1" si="32"/>
        <v>Not Due</v>
      </c>
    </row>
    <row r="317" spans="1:16" s="34" customFormat="1" ht="15" x14ac:dyDescent="0.25">
      <c r="A317" s="34" t="s">
        <v>58</v>
      </c>
      <c r="B317" s="626" t="s">
        <v>901</v>
      </c>
      <c r="C317" s="34" t="s">
        <v>264</v>
      </c>
      <c r="D317" s="34" t="s">
        <v>79</v>
      </c>
      <c r="F317" s="34" t="s">
        <v>35</v>
      </c>
      <c r="G317" s="627">
        <v>373</v>
      </c>
      <c r="H317" s="257">
        <f>IF(F317="TND",1,IF(F317="EUR",Vertical_Cash_flow!$C$16,IF(F317="USD",Vertical_Cash_flow!$F$16,0)))</f>
        <v>1</v>
      </c>
      <c r="I317" s="257">
        <f t="shared" si="29"/>
        <v>373</v>
      </c>
      <c r="J317" s="34" t="s">
        <v>252</v>
      </c>
      <c r="K317" s="628">
        <v>45191</v>
      </c>
      <c r="L317" s="257">
        <f t="shared" si="30"/>
        <v>266</v>
      </c>
      <c r="M317" s="628">
        <v>45457</v>
      </c>
      <c r="N317" s="412">
        <f t="shared" ca="1" si="31"/>
        <v>-16</v>
      </c>
      <c r="O317" s="34" t="str">
        <f>VLOOKUP(M317,Mapping!L:M,2,0)</f>
        <v>W24_2024</v>
      </c>
      <c r="P317" s="34" t="str">
        <f t="shared" ca="1" si="32"/>
        <v>Not Due</v>
      </c>
    </row>
    <row r="318" spans="1:16" s="34" customFormat="1" ht="15" x14ac:dyDescent="0.25">
      <c r="A318" s="34" t="s">
        <v>58</v>
      </c>
      <c r="B318" s="626" t="s">
        <v>900</v>
      </c>
      <c r="C318" s="34" t="s">
        <v>264</v>
      </c>
      <c r="D318" s="34" t="s">
        <v>79</v>
      </c>
      <c r="F318" s="34" t="s">
        <v>35</v>
      </c>
      <c r="G318" s="627">
        <v>231.696</v>
      </c>
      <c r="H318" s="257">
        <f>IF(F318="TND",1,IF(F318="EUR",Vertical_Cash_flow!$C$16,IF(F318="USD",Vertical_Cash_flow!$F$16,0)))</f>
        <v>1</v>
      </c>
      <c r="I318" s="257">
        <f t="shared" si="29"/>
        <v>231.696</v>
      </c>
      <c r="J318" s="34" t="s">
        <v>252</v>
      </c>
      <c r="K318" s="628">
        <v>45153</v>
      </c>
      <c r="L318" s="257">
        <f t="shared" si="30"/>
        <v>304</v>
      </c>
      <c r="M318" s="628">
        <v>45457</v>
      </c>
      <c r="N318" s="412">
        <f t="shared" ca="1" si="31"/>
        <v>-16</v>
      </c>
      <c r="O318" s="34" t="str">
        <f>VLOOKUP(M318,Mapping!L:M,2,0)</f>
        <v>W24_2024</v>
      </c>
      <c r="P318" s="34" t="str">
        <f t="shared" ca="1" si="32"/>
        <v>Not Due</v>
      </c>
    </row>
    <row r="319" spans="1:16" s="34" customFormat="1" ht="15" x14ac:dyDescent="0.25">
      <c r="A319" s="34" t="s">
        <v>58</v>
      </c>
      <c r="B319" s="626" t="s">
        <v>743</v>
      </c>
      <c r="C319" s="34" t="s">
        <v>264</v>
      </c>
      <c r="D319" s="34" t="s">
        <v>79</v>
      </c>
      <c r="F319" s="34" t="s">
        <v>35</v>
      </c>
      <c r="G319" s="627">
        <v>123.779</v>
      </c>
      <c r="H319" s="257">
        <f>IF(F319="TND",1,IF(F319="EUR",Vertical_Cash_flow!$C$16,IF(F319="USD",Vertical_Cash_flow!$F$16,0)))</f>
        <v>1</v>
      </c>
      <c r="I319" s="257">
        <f t="shared" si="29"/>
        <v>123.779</v>
      </c>
      <c r="J319" s="34" t="s">
        <v>252</v>
      </c>
      <c r="K319" s="628">
        <v>45208</v>
      </c>
      <c r="L319" s="257">
        <f t="shared" si="30"/>
        <v>249</v>
      </c>
      <c r="M319" s="628">
        <v>45457</v>
      </c>
      <c r="N319" s="412">
        <f t="shared" ca="1" si="31"/>
        <v>-16</v>
      </c>
      <c r="O319" s="34" t="str">
        <f>VLOOKUP(M319,Mapping!L:M,2,0)</f>
        <v>W24_2024</v>
      </c>
      <c r="P319" s="34" t="str">
        <f t="shared" ca="1" si="32"/>
        <v>Not Due</v>
      </c>
    </row>
    <row r="320" spans="1:16" s="34" customFormat="1" ht="15" x14ac:dyDescent="0.25">
      <c r="A320" s="34" t="s">
        <v>58</v>
      </c>
      <c r="B320" s="626" t="s">
        <v>876</v>
      </c>
      <c r="C320" s="34" t="s">
        <v>264</v>
      </c>
      <c r="D320" s="34" t="s">
        <v>79</v>
      </c>
      <c r="F320" s="34" t="s">
        <v>35</v>
      </c>
      <c r="G320" s="627">
        <v>7191.0429999999997</v>
      </c>
      <c r="H320" s="257">
        <f>IF(F320="TND",1,IF(F320="EUR",Vertical_Cash_flow!$C$16,IF(F320="USD",Vertical_Cash_flow!$F$16,0)))</f>
        <v>1</v>
      </c>
      <c r="I320" s="257">
        <f t="shared" si="29"/>
        <v>7191.0429999999997</v>
      </c>
      <c r="J320" s="34" t="s">
        <v>252</v>
      </c>
      <c r="K320" s="628">
        <v>45124</v>
      </c>
      <c r="L320" s="257">
        <f t="shared" si="30"/>
        <v>333</v>
      </c>
      <c r="M320" s="628">
        <v>45457</v>
      </c>
      <c r="N320" s="412">
        <f t="shared" ca="1" si="31"/>
        <v>-16</v>
      </c>
      <c r="O320" s="34" t="str">
        <f>VLOOKUP(M320,Mapping!L:M,2,0)</f>
        <v>W24_2024</v>
      </c>
      <c r="P320" s="34" t="str">
        <f t="shared" ca="1" si="32"/>
        <v>Not Due</v>
      </c>
    </row>
    <row r="321" spans="1:16" s="34" customFormat="1" ht="15" x14ac:dyDescent="0.25">
      <c r="A321" s="34" t="s">
        <v>58</v>
      </c>
      <c r="B321" s="626" t="s">
        <v>767</v>
      </c>
      <c r="C321" s="34" t="s">
        <v>264</v>
      </c>
      <c r="D321" s="34" t="s">
        <v>79</v>
      </c>
      <c r="F321" s="34" t="s">
        <v>35</v>
      </c>
      <c r="G321" s="627">
        <v>500</v>
      </c>
      <c r="H321" s="257">
        <f>IF(F321="TND",1,IF(F321="EUR",Vertical_Cash_flow!$C$16,IF(F321="USD",Vertical_Cash_flow!$F$16,0)))</f>
        <v>1</v>
      </c>
      <c r="I321" s="257">
        <f t="shared" si="29"/>
        <v>500</v>
      </c>
      <c r="J321" s="34" t="s">
        <v>252</v>
      </c>
      <c r="K321" s="628">
        <v>45188</v>
      </c>
      <c r="L321" s="257">
        <f t="shared" si="30"/>
        <v>276</v>
      </c>
      <c r="M321" s="628">
        <v>45464</v>
      </c>
      <c r="N321" s="412">
        <f t="shared" ca="1" si="31"/>
        <v>-23</v>
      </c>
      <c r="O321" s="34" t="str">
        <f>VLOOKUP(M321,Mapping!L:M,2,0)</f>
        <v>W25_2024</v>
      </c>
      <c r="P321" s="34" t="str">
        <f t="shared" ca="1" si="32"/>
        <v>Not Due</v>
      </c>
    </row>
    <row r="322" spans="1:16" s="34" customFormat="1" ht="15" x14ac:dyDescent="0.25">
      <c r="A322" s="34" t="s">
        <v>58</v>
      </c>
      <c r="B322" s="626" t="s">
        <v>910</v>
      </c>
      <c r="C322" s="34" t="s">
        <v>264</v>
      </c>
      <c r="D322" s="34" t="s">
        <v>79</v>
      </c>
      <c r="F322" s="34" t="s">
        <v>35</v>
      </c>
      <c r="G322" s="627">
        <v>1891.6579999999999</v>
      </c>
      <c r="H322" s="257">
        <f>IF(F322="TND",1,IF(F322="EUR",Vertical_Cash_flow!$C$16,IF(F322="USD",Vertical_Cash_flow!$F$16,0)))</f>
        <v>1</v>
      </c>
      <c r="I322" s="257">
        <f t="shared" si="29"/>
        <v>1891.6579999999999</v>
      </c>
      <c r="J322" s="34" t="s">
        <v>252</v>
      </c>
      <c r="K322" s="628">
        <v>45203</v>
      </c>
      <c r="L322" s="257">
        <f t="shared" si="30"/>
        <v>261</v>
      </c>
      <c r="M322" s="628">
        <v>45464</v>
      </c>
      <c r="N322" s="412">
        <f t="shared" ca="1" si="31"/>
        <v>-23</v>
      </c>
      <c r="O322" s="34" t="str">
        <f>VLOOKUP(M322,Mapping!L:M,2,0)</f>
        <v>W25_2024</v>
      </c>
      <c r="P322" s="34" t="str">
        <f t="shared" ca="1" si="32"/>
        <v>Not Due</v>
      </c>
    </row>
    <row r="323" spans="1:16" s="34" customFormat="1" ht="15" x14ac:dyDescent="0.25">
      <c r="A323" s="34" t="s">
        <v>58</v>
      </c>
      <c r="B323" s="626" t="s">
        <v>2997</v>
      </c>
      <c r="C323" s="34" t="s">
        <v>264</v>
      </c>
      <c r="D323" s="34" t="s">
        <v>79</v>
      </c>
      <c r="F323" s="34" t="s">
        <v>35</v>
      </c>
      <c r="G323" s="627">
        <v>311.56900000000002</v>
      </c>
      <c r="H323" s="257">
        <f>IF(F323="TND",1,IF(F323="EUR",Vertical_Cash_flow!$C$16,IF(F323="USD",Vertical_Cash_flow!$F$16,0)))</f>
        <v>1</v>
      </c>
      <c r="I323" s="257">
        <f t="shared" si="29"/>
        <v>311.56900000000002</v>
      </c>
      <c r="J323" s="34" t="s">
        <v>252</v>
      </c>
      <c r="K323" s="628">
        <v>45118</v>
      </c>
      <c r="L323" s="257">
        <f t="shared" si="30"/>
        <v>346</v>
      </c>
      <c r="M323" s="628">
        <v>45464</v>
      </c>
      <c r="N323" s="412">
        <f t="shared" ca="1" si="31"/>
        <v>-23</v>
      </c>
      <c r="O323" s="34" t="str">
        <f>VLOOKUP(M323,Mapping!L:M,2,0)</f>
        <v>W25_2024</v>
      </c>
      <c r="P323" s="34" t="str">
        <f t="shared" ca="1" si="32"/>
        <v>Not Due</v>
      </c>
    </row>
    <row r="324" spans="1:16" s="34" customFormat="1" ht="15" x14ac:dyDescent="0.25">
      <c r="A324" s="34" t="s">
        <v>58</v>
      </c>
      <c r="B324" s="626" t="s">
        <v>771</v>
      </c>
      <c r="C324" s="34" t="s">
        <v>264</v>
      </c>
      <c r="D324" s="34" t="s">
        <v>79</v>
      </c>
      <c r="F324" s="34" t="s">
        <v>35</v>
      </c>
      <c r="G324" s="627">
        <v>350</v>
      </c>
      <c r="H324" s="257">
        <f>IF(F324="TND",1,IF(F324="EUR",Vertical_Cash_flow!$C$16,IF(F324="USD",Vertical_Cash_flow!$F$16,0)))</f>
        <v>1</v>
      </c>
      <c r="I324" s="257">
        <f t="shared" si="29"/>
        <v>350</v>
      </c>
      <c r="J324" s="34" t="s">
        <v>252</v>
      </c>
      <c r="K324" s="628">
        <v>45203</v>
      </c>
      <c r="L324" s="257">
        <f t="shared" si="30"/>
        <v>261</v>
      </c>
      <c r="M324" s="628">
        <v>45464</v>
      </c>
      <c r="N324" s="412">
        <f t="shared" ca="1" si="31"/>
        <v>-23</v>
      </c>
      <c r="O324" s="34" t="str">
        <f>VLOOKUP(M324,Mapping!L:M,2,0)</f>
        <v>W25_2024</v>
      </c>
      <c r="P324" s="34" t="str">
        <f t="shared" ca="1" si="32"/>
        <v>Not Due</v>
      </c>
    </row>
    <row r="325" spans="1:16" s="34" customFormat="1" ht="15" x14ac:dyDescent="0.25">
      <c r="A325" s="34" t="s">
        <v>58</v>
      </c>
      <c r="B325" s="626" t="s">
        <v>771</v>
      </c>
      <c r="C325" s="34" t="s">
        <v>264</v>
      </c>
      <c r="D325" s="34" t="s">
        <v>79</v>
      </c>
      <c r="F325" s="34" t="s">
        <v>35</v>
      </c>
      <c r="G325" s="627">
        <v>170</v>
      </c>
      <c r="H325" s="257">
        <f>IF(F325="TND",1,IF(F325="EUR",Vertical_Cash_flow!$C$16,IF(F325="USD",Vertical_Cash_flow!$F$16,0)))</f>
        <v>1</v>
      </c>
      <c r="I325" s="257">
        <f t="shared" si="29"/>
        <v>170</v>
      </c>
      <c r="J325" s="34" t="s">
        <v>252</v>
      </c>
      <c r="K325" s="628">
        <v>45218</v>
      </c>
      <c r="L325" s="257">
        <f t="shared" si="30"/>
        <v>246</v>
      </c>
      <c r="M325" s="628">
        <v>45464</v>
      </c>
      <c r="N325" s="412">
        <f t="shared" ca="1" si="31"/>
        <v>-23</v>
      </c>
      <c r="O325" s="34" t="str">
        <f>VLOOKUP(M325,Mapping!L:M,2,0)</f>
        <v>W25_2024</v>
      </c>
      <c r="P325" s="34" t="str">
        <f t="shared" ca="1" si="32"/>
        <v>Not Due</v>
      </c>
    </row>
    <row r="326" spans="1:16" s="34" customFormat="1" ht="15" x14ac:dyDescent="0.25">
      <c r="A326" s="34" t="s">
        <v>58</v>
      </c>
      <c r="B326" s="626" t="s">
        <v>899</v>
      </c>
      <c r="C326" s="34" t="s">
        <v>264</v>
      </c>
      <c r="D326" s="34" t="s">
        <v>79</v>
      </c>
      <c r="F326" s="34" t="s">
        <v>35</v>
      </c>
      <c r="G326" s="627">
        <v>7068.6</v>
      </c>
      <c r="H326" s="257">
        <f>IF(F326="TND",1,IF(F326="EUR",Vertical_Cash_flow!$C$16,IF(F326="USD",Vertical_Cash_flow!$F$16,0)))</f>
        <v>1</v>
      </c>
      <c r="I326" s="257">
        <f t="shared" si="29"/>
        <v>7068.6</v>
      </c>
      <c r="J326" s="34" t="s">
        <v>252</v>
      </c>
      <c r="K326" s="628">
        <v>45153</v>
      </c>
      <c r="L326" s="257">
        <f t="shared" si="30"/>
        <v>311</v>
      </c>
      <c r="M326" s="628">
        <v>45464</v>
      </c>
      <c r="N326" s="412">
        <f t="shared" ca="1" si="31"/>
        <v>-23</v>
      </c>
      <c r="O326" s="34" t="str">
        <f>VLOOKUP(M326,Mapping!L:M,2,0)</f>
        <v>W25_2024</v>
      </c>
      <c r="P326" s="34" t="str">
        <f t="shared" ca="1" si="32"/>
        <v>Not Due</v>
      </c>
    </row>
    <row r="327" spans="1:16" s="34" customFormat="1" ht="15" x14ac:dyDescent="0.25">
      <c r="A327" s="34" t="s">
        <v>58</v>
      </c>
      <c r="B327" s="626" t="s">
        <v>929</v>
      </c>
      <c r="C327" s="34" t="s">
        <v>264</v>
      </c>
      <c r="D327" s="34" t="s">
        <v>79</v>
      </c>
      <c r="F327" s="34" t="s">
        <v>35</v>
      </c>
      <c r="G327" s="627">
        <v>611</v>
      </c>
      <c r="H327" s="257">
        <f>IF(F327="TND",1,IF(F327="EUR",Vertical_Cash_flow!$C$16,IF(F327="USD",Vertical_Cash_flow!$F$16,0)))</f>
        <v>1</v>
      </c>
      <c r="I327" s="257">
        <f t="shared" si="29"/>
        <v>611</v>
      </c>
      <c r="J327" s="34" t="s">
        <v>252</v>
      </c>
      <c r="K327" s="628">
        <v>45089</v>
      </c>
      <c r="L327" s="257">
        <f t="shared" si="30"/>
        <v>375</v>
      </c>
      <c r="M327" s="628">
        <v>45464</v>
      </c>
      <c r="N327" s="412">
        <f t="shared" ca="1" si="31"/>
        <v>-23</v>
      </c>
      <c r="O327" s="34" t="str">
        <f>VLOOKUP(M327,Mapping!L:M,2,0)</f>
        <v>W25_2024</v>
      </c>
      <c r="P327" s="34" t="str">
        <f t="shared" ca="1" si="32"/>
        <v>Not Due</v>
      </c>
    </row>
    <row r="328" spans="1:16" s="34" customFormat="1" ht="15" x14ac:dyDescent="0.25">
      <c r="A328" s="34" t="s">
        <v>58</v>
      </c>
      <c r="B328" s="626" t="s">
        <v>972</v>
      </c>
      <c r="C328" s="34" t="s">
        <v>264</v>
      </c>
      <c r="D328" s="34" t="s">
        <v>79</v>
      </c>
      <c r="F328" s="34" t="s">
        <v>35</v>
      </c>
      <c r="G328" s="627">
        <v>2676.1869999999999</v>
      </c>
      <c r="H328" s="257">
        <f>IF(F328="TND",1,IF(F328="EUR",Vertical_Cash_flow!$C$16,IF(F328="USD",Vertical_Cash_flow!$F$16,0)))</f>
        <v>1</v>
      </c>
      <c r="I328" s="257">
        <f t="shared" si="29"/>
        <v>2676.1869999999999</v>
      </c>
      <c r="J328" s="34" t="s">
        <v>252</v>
      </c>
      <c r="K328" s="628">
        <v>45239</v>
      </c>
      <c r="L328" s="257">
        <f t="shared" si="30"/>
        <v>225</v>
      </c>
      <c r="M328" s="628">
        <v>45464</v>
      </c>
      <c r="N328" s="412">
        <f t="shared" ca="1" si="31"/>
        <v>-23</v>
      </c>
      <c r="O328" s="34" t="str">
        <f>VLOOKUP(M328,Mapping!L:M,2,0)</f>
        <v>W25_2024</v>
      </c>
      <c r="P328" s="34" t="str">
        <f t="shared" ca="1" si="32"/>
        <v>Not Due</v>
      </c>
    </row>
    <row r="329" spans="1:16" s="34" customFormat="1" ht="15" x14ac:dyDescent="0.25">
      <c r="A329" s="34" t="s">
        <v>58</v>
      </c>
      <c r="B329" s="626" t="s">
        <v>875</v>
      </c>
      <c r="C329" s="34" t="s">
        <v>264</v>
      </c>
      <c r="D329" s="34" t="s">
        <v>79</v>
      </c>
      <c r="F329" s="34" t="s">
        <v>35</v>
      </c>
      <c r="G329" s="627">
        <v>445.70299999999997</v>
      </c>
      <c r="H329" s="257">
        <f>IF(F329="TND",1,IF(F329="EUR",Vertical_Cash_flow!$C$16,IF(F329="USD",Vertical_Cash_flow!$F$16,0)))</f>
        <v>1</v>
      </c>
      <c r="I329" s="257">
        <f t="shared" si="29"/>
        <v>445.70299999999997</v>
      </c>
      <c r="J329" s="34" t="s">
        <v>252</v>
      </c>
      <c r="K329" s="628">
        <v>45272</v>
      </c>
      <c r="L329" s="257">
        <f t="shared" si="30"/>
        <v>192</v>
      </c>
      <c r="M329" s="628">
        <v>45464</v>
      </c>
      <c r="N329" s="412">
        <f t="shared" ca="1" si="31"/>
        <v>-23</v>
      </c>
      <c r="O329" s="34" t="str">
        <f>VLOOKUP(M329,Mapping!L:M,2,0)</f>
        <v>W25_2024</v>
      </c>
      <c r="P329" s="34" t="str">
        <f t="shared" ca="1" si="32"/>
        <v>Not Due</v>
      </c>
    </row>
    <row r="330" spans="1:16" s="34" customFormat="1" ht="15" x14ac:dyDescent="0.25">
      <c r="A330" s="34" t="s">
        <v>58</v>
      </c>
      <c r="B330" s="626" t="s">
        <v>665</v>
      </c>
      <c r="C330" s="34" t="s">
        <v>264</v>
      </c>
      <c r="D330" s="34" t="s">
        <v>79</v>
      </c>
      <c r="F330" s="34" t="s">
        <v>35</v>
      </c>
      <c r="G330" s="627">
        <v>634.19899999999996</v>
      </c>
      <c r="H330" s="257">
        <f>IF(F330="TND",1,IF(F330="EUR",Vertical_Cash_flow!$C$16,IF(F330="USD",Vertical_Cash_flow!$F$16,0)))</f>
        <v>1</v>
      </c>
      <c r="I330" s="257">
        <f t="shared" si="29"/>
        <v>634.19899999999996</v>
      </c>
      <c r="J330" s="34" t="s">
        <v>252</v>
      </c>
      <c r="K330" s="628">
        <v>45296</v>
      </c>
      <c r="L330" s="257">
        <f t="shared" si="30"/>
        <v>168</v>
      </c>
      <c r="M330" s="628">
        <v>45464</v>
      </c>
      <c r="N330" s="412">
        <f t="shared" ca="1" si="31"/>
        <v>-23</v>
      </c>
      <c r="O330" s="34" t="str">
        <f>VLOOKUP(M330,Mapping!L:M,2,0)</f>
        <v>W25_2024</v>
      </c>
      <c r="P330" s="34" t="str">
        <f t="shared" ca="1" si="32"/>
        <v>Not Due</v>
      </c>
    </row>
    <row r="331" spans="1:16" s="34" customFormat="1" ht="15" x14ac:dyDescent="0.25">
      <c r="A331" s="34" t="s">
        <v>58</v>
      </c>
      <c r="B331" s="626" t="s">
        <v>976</v>
      </c>
      <c r="C331" s="34" t="s">
        <v>264</v>
      </c>
      <c r="D331" s="34" t="s">
        <v>79</v>
      </c>
      <c r="F331" s="34" t="s">
        <v>35</v>
      </c>
      <c r="G331" s="627">
        <v>4197.1949999999997</v>
      </c>
      <c r="H331" s="257">
        <f>IF(F331="TND",1,IF(F331="EUR",Vertical_Cash_flow!$C$16,IF(F331="USD",Vertical_Cash_flow!$F$16,0)))</f>
        <v>1</v>
      </c>
      <c r="I331" s="257">
        <f t="shared" si="29"/>
        <v>4197.1949999999997</v>
      </c>
      <c r="J331" s="34" t="s">
        <v>252</v>
      </c>
      <c r="K331" s="628">
        <v>45253</v>
      </c>
      <c r="L331" s="257">
        <f t="shared" si="30"/>
        <v>211</v>
      </c>
      <c r="M331" s="628">
        <v>45464</v>
      </c>
      <c r="N331" s="412">
        <f t="shared" ca="1" si="31"/>
        <v>-23</v>
      </c>
      <c r="O331" s="34" t="str">
        <f>VLOOKUP(M331,Mapping!L:M,2,0)</f>
        <v>W25_2024</v>
      </c>
      <c r="P331" s="34" t="str">
        <f t="shared" ca="1" si="32"/>
        <v>Not Due</v>
      </c>
    </row>
    <row r="332" spans="1:16" s="34" customFormat="1" ht="15" x14ac:dyDescent="0.25">
      <c r="A332" s="34" t="s">
        <v>58</v>
      </c>
      <c r="B332" s="626" t="s">
        <v>1014</v>
      </c>
      <c r="C332" s="34" t="s">
        <v>264</v>
      </c>
      <c r="D332" s="34" t="s">
        <v>79</v>
      </c>
      <c r="F332" s="34" t="s">
        <v>35</v>
      </c>
      <c r="G332" s="627">
        <v>4476.78</v>
      </c>
      <c r="H332" s="257">
        <f>IF(F332="TND",1,IF(F332="EUR",Vertical_Cash_flow!$C$16,IF(F332="USD",Vertical_Cash_flow!$F$16,0)))</f>
        <v>1</v>
      </c>
      <c r="I332" s="257">
        <f t="shared" si="29"/>
        <v>4476.78</v>
      </c>
      <c r="J332" s="34" t="s">
        <v>252</v>
      </c>
      <c r="K332" s="628">
        <v>45273</v>
      </c>
      <c r="L332" s="257">
        <f t="shared" si="30"/>
        <v>191</v>
      </c>
      <c r="M332" s="628">
        <v>45464</v>
      </c>
      <c r="N332" s="412">
        <f t="shared" ca="1" si="31"/>
        <v>-23</v>
      </c>
      <c r="O332" s="34" t="str">
        <f>VLOOKUP(M332,Mapping!L:M,2,0)</f>
        <v>W25_2024</v>
      </c>
      <c r="P332" s="34" t="str">
        <f t="shared" ca="1" si="32"/>
        <v>Not Due</v>
      </c>
    </row>
    <row r="333" spans="1:16" s="34" customFormat="1" ht="15" x14ac:dyDescent="0.25">
      <c r="A333" s="34" t="s">
        <v>58</v>
      </c>
      <c r="B333" s="626" t="s">
        <v>767</v>
      </c>
      <c r="C333" s="34" t="s">
        <v>264</v>
      </c>
      <c r="D333" s="34" t="s">
        <v>79</v>
      </c>
      <c r="F333" s="34" t="s">
        <v>35</v>
      </c>
      <c r="G333" s="627">
        <v>1000</v>
      </c>
      <c r="H333" s="257">
        <f>IF(F333="TND",1,IF(F333="EUR",Vertical_Cash_flow!$C$16,IF(F333="USD",Vertical_Cash_flow!$F$16,0)))</f>
        <v>1</v>
      </c>
      <c r="I333" s="257">
        <f t="shared" si="29"/>
        <v>1000</v>
      </c>
      <c r="J333" s="34" t="s">
        <v>252</v>
      </c>
      <c r="K333" s="628">
        <v>45285</v>
      </c>
      <c r="L333" s="257">
        <f t="shared" si="30"/>
        <v>179</v>
      </c>
      <c r="M333" s="628">
        <v>45464</v>
      </c>
      <c r="N333" s="412">
        <f t="shared" ca="1" si="31"/>
        <v>-23</v>
      </c>
      <c r="O333" s="34" t="str">
        <f>VLOOKUP(M333,Mapping!L:M,2,0)</f>
        <v>W25_2024</v>
      </c>
      <c r="P333" s="34" t="str">
        <f t="shared" ca="1" si="32"/>
        <v>Not Due</v>
      </c>
    </row>
    <row r="334" spans="1:16" s="34" customFormat="1" ht="15" x14ac:dyDescent="0.25">
      <c r="A334" s="34" t="s">
        <v>58</v>
      </c>
      <c r="B334" s="626" t="s">
        <v>973</v>
      </c>
      <c r="C334" s="34" t="s">
        <v>264</v>
      </c>
      <c r="D334" s="34" t="s">
        <v>79</v>
      </c>
      <c r="F334" s="34" t="s">
        <v>35</v>
      </c>
      <c r="G334" s="627">
        <v>1155.3009999999999</v>
      </c>
      <c r="H334" s="257">
        <f>IF(F334="TND",1,IF(F334="EUR",Vertical_Cash_flow!$C$16,IF(F334="USD",Vertical_Cash_flow!$F$16,0)))</f>
        <v>1</v>
      </c>
      <c r="I334" s="257">
        <f t="shared" si="29"/>
        <v>1155.3009999999999</v>
      </c>
      <c r="J334" s="34" t="s">
        <v>252</v>
      </c>
      <c r="K334" s="628">
        <v>45271</v>
      </c>
      <c r="L334" s="257">
        <f t="shared" si="30"/>
        <v>193</v>
      </c>
      <c r="M334" s="628">
        <v>45464</v>
      </c>
      <c r="N334" s="412">
        <f t="shared" ca="1" si="31"/>
        <v>-23</v>
      </c>
      <c r="O334" s="34" t="str">
        <f>VLOOKUP(M334,Mapping!L:M,2,0)</f>
        <v>W25_2024</v>
      </c>
      <c r="P334" s="34" t="str">
        <f t="shared" ca="1" si="32"/>
        <v>Not Due</v>
      </c>
    </row>
    <row r="335" spans="1:16" s="34" customFormat="1" ht="15" x14ac:dyDescent="0.25">
      <c r="A335" s="34" t="s">
        <v>58</v>
      </c>
      <c r="B335" s="626" t="s">
        <v>1015</v>
      </c>
      <c r="C335" s="34" t="s">
        <v>264</v>
      </c>
      <c r="D335" s="34" t="s">
        <v>79</v>
      </c>
      <c r="F335" s="34" t="s">
        <v>35</v>
      </c>
      <c r="G335" s="627">
        <v>918.68</v>
      </c>
      <c r="H335" s="257">
        <f>IF(F335="TND",1,IF(F335="EUR",Vertical_Cash_flow!$C$16,IF(F335="USD",Vertical_Cash_flow!$F$16,0)))</f>
        <v>1</v>
      </c>
      <c r="I335" s="257">
        <f t="shared" si="29"/>
        <v>918.68</v>
      </c>
      <c r="J335" s="34" t="s">
        <v>252</v>
      </c>
      <c r="K335" s="628">
        <v>45278</v>
      </c>
      <c r="L335" s="257">
        <f t="shared" si="30"/>
        <v>186</v>
      </c>
      <c r="M335" s="628">
        <v>45464</v>
      </c>
      <c r="N335" s="412">
        <f t="shared" ca="1" si="31"/>
        <v>-23</v>
      </c>
      <c r="O335" s="34" t="str">
        <f>VLOOKUP(M335,Mapping!L:M,2,0)</f>
        <v>W25_2024</v>
      </c>
      <c r="P335" s="34" t="str">
        <f t="shared" ca="1" si="32"/>
        <v>Not Due</v>
      </c>
    </row>
    <row r="336" spans="1:16" s="34" customFormat="1" ht="15" x14ac:dyDescent="0.25">
      <c r="A336" s="34" t="s">
        <v>58</v>
      </c>
      <c r="B336" s="626" t="s">
        <v>771</v>
      </c>
      <c r="C336" s="34" t="s">
        <v>264</v>
      </c>
      <c r="D336" s="34" t="s">
        <v>79</v>
      </c>
      <c r="F336" s="34" t="s">
        <v>35</v>
      </c>
      <c r="G336" s="627">
        <v>2368.971</v>
      </c>
      <c r="H336" s="257">
        <f>IF(F336="TND",1,IF(F336="EUR",Vertical_Cash_flow!$C$16,IF(F336="USD",Vertical_Cash_flow!$F$16,0)))</f>
        <v>1</v>
      </c>
      <c r="I336" s="257">
        <f t="shared" si="29"/>
        <v>2368.971</v>
      </c>
      <c r="J336" s="34" t="s">
        <v>252</v>
      </c>
      <c r="K336" s="628">
        <v>45295</v>
      </c>
      <c r="L336" s="257">
        <f t="shared" si="30"/>
        <v>169</v>
      </c>
      <c r="M336" s="628">
        <v>45464</v>
      </c>
      <c r="N336" s="412">
        <f t="shared" ca="1" si="31"/>
        <v>-23</v>
      </c>
      <c r="O336" s="34" t="str">
        <f>VLOOKUP(M336,Mapping!L:M,2,0)</f>
        <v>W25_2024</v>
      </c>
      <c r="P336" s="34" t="str">
        <f t="shared" ca="1" si="32"/>
        <v>Not Due</v>
      </c>
    </row>
    <row r="337" spans="1:16" s="34" customFormat="1" ht="15" x14ac:dyDescent="0.25">
      <c r="A337" s="34" t="s">
        <v>58</v>
      </c>
      <c r="B337" s="626" t="s">
        <v>974</v>
      </c>
      <c r="C337" s="34" t="s">
        <v>264</v>
      </c>
      <c r="D337" s="34" t="s">
        <v>79</v>
      </c>
      <c r="F337" s="34" t="s">
        <v>35</v>
      </c>
      <c r="G337" s="627">
        <v>852.29399999999998</v>
      </c>
      <c r="H337" s="257">
        <f>IF(F337="TND",1,IF(F337="EUR",Vertical_Cash_flow!$C$16,IF(F337="USD",Vertical_Cash_flow!$F$16,0)))</f>
        <v>1</v>
      </c>
      <c r="I337" s="257">
        <f t="shared" si="29"/>
        <v>852.29399999999998</v>
      </c>
      <c r="J337" s="34" t="s">
        <v>252</v>
      </c>
      <c r="K337" s="628">
        <v>45261</v>
      </c>
      <c r="L337" s="257">
        <f t="shared" si="30"/>
        <v>203</v>
      </c>
      <c r="M337" s="628">
        <v>45464</v>
      </c>
      <c r="N337" s="412">
        <f t="shared" ca="1" si="31"/>
        <v>-23</v>
      </c>
      <c r="O337" s="34" t="str">
        <f>VLOOKUP(M337,Mapping!L:M,2,0)</f>
        <v>W25_2024</v>
      </c>
      <c r="P337" s="34" t="str">
        <f t="shared" ca="1" si="32"/>
        <v>Not Due</v>
      </c>
    </row>
    <row r="338" spans="1:16" s="34" customFormat="1" ht="15" x14ac:dyDescent="0.25">
      <c r="A338" s="34" t="s">
        <v>58</v>
      </c>
      <c r="B338" s="626" t="s">
        <v>1016</v>
      </c>
      <c r="C338" s="34" t="s">
        <v>264</v>
      </c>
      <c r="D338" s="34" t="s">
        <v>79</v>
      </c>
      <c r="F338" s="34" t="s">
        <v>35</v>
      </c>
      <c r="G338" s="627">
        <v>494.85</v>
      </c>
      <c r="H338" s="257">
        <f>IF(F338="TND",1,IF(F338="EUR",Vertical_Cash_flow!$C$16,IF(F338="USD",Vertical_Cash_flow!$F$16,0)))</f>
        <v>1</v>
      </c>
      <c r="I338" s="257">
        <f t="shared" si="29"/>
        <v>494.85</v>
      </c>
      <c r="J338" s="34" t="s">
        <v>252</v>
      </c>
      <c r="K338" s="628">
        <v>45285</v>
      </c>
      <c r="L338" s="257">
        <f t="shared" si="30"/>
        <v>179</v>
      </c>
      <c r="M338" s="628">
        <v>45464</v>
      </c>
      <c r="N338" s="412">
        <f t="shared" ca="1" si="31"/>
        <v>-23</v>
      </c>
      <c r="O338" s="34" t="str">
        <f>VLOOKUP(M338,Mapping!L:M,2,0)</f>
        <v>W25_2024</v>
      </c>
      <c r="P338" s="34" t="str">
        <f t="shared" ca="1" si="32"/>
        <v>Not Due</v>
      </c>
    </row>
    <row r="339" spans="1:16" s="34" customFormat="1" ht="15" x14ac:dyDescent="0.25">
      <c r="A339" s="34" t="s">
        <v>58</v>
      </c>
      <c r="B339" s="626" t="s">
        <v>1046</v>
      </c>
      <c r="C339" s="34" t="s">
        <v>264</v>
      </c>
      <c r="D339" s="34" t="s">
        <v>79</v>
      </c>
      <c r="F339" s="34" t="s">
        <v>35</v>
      </c>
      <c r="G339" s="627">
        <v>2180.1</v>
      </c>
      <c r="H339" s="257">
        <f>IF(F339="TND",1,IF(F339="EUR",Vertical_Cash_flow!$C$16,IF(F339="USD",Vertical_Cash_flow!$F$16,0)))</f>
        <v>1</v>
      </c>
      <c r="I339" s="257">
        <f t="shared" si="29"/>
        <v>2180.1</v>
      </c>
      <c r="J339" s="34" t="s">
        <v>252</v>
      </c>
      <c r="K339" s="628">
        <v>45303</v>
      </c>
      <c r="L339" s="257">
        <f t="shared" si="30"/>
        <v>161</v>
      </c>
      <c r="M339" s="628">
        <v>45464</v>
      </c>
      <c r="N339" s="412">
        <f t="shared" ca="1" si="31"/>
        <v>-23</v>
      </c>
      <c r="O339" s="34" t="str">
        <f>VLOOKUP(M339,Mapping!L:M,2,0)</f>
        <v>W25_2024</v>
      </c>
      <c r="P339" s="34" t="str">
        <f t="shared" ca="1" si="32"/>
        <v>Not Due</v>
      </c>
    </row>
    <row r="340" spans="1:16" s="34" customFormat="1" ht="15" x14ac:dyDescent="0.25">
      <c r="A340" s="34" t="s">
        <v>58</v>
      </c>
      <c r="B340" s="626" t="s">
        <v>939</v>
      </c>
      <c r="C340" s="34" t="s">
        <v>264</v>
      </c>
      <c r="D340" s="34" t="s">
        <v>79</v>
      </c>
      <c r="F340" s="34" t="s">
        <v>35</v>
      </c>
      <c r="G340" s="627">
        <v>507.827</v>
      </c>
      <c r="H340" s="257">
        <f>IF(F340="TND",1,IF(F340="EUR",Vertical_Cash_flow!$C$16,IF(F340="USD",Vertical_Cash_flow!$F$16,0)))</f>
        <v>1</v>
      </c>
      <c r="I340" s="257">
        <f t="shared" si="29"/>
        <v>507.827</v>
      </c>
      <c r="J340" s="34" t="s">
        <v>252</v>
      </c>
      <c r="K340" s="628">
        <v>45225</v>
      </c>
      <c r="L340" s="257">
        <f t="shared" si="30"/>
        <v>239</v>
      </c>
      <c r="M340" s="628">
        <v>45464</v>
      </c>
      <c r="N340" s="412">
        <f t="shared" ca="1" si="31"/>
        <v>-23</v>
      </c>
      <c r="O340" s="34" t="str">
        <f>VLOOKUP(M340,Mapping!L:M,2,0)</f>
        <v>W25_2024</v>
      </c>
      <c r="P340" s="34" t="str">
        <f t="shared" ca="1" si="32"/>
        <v>Not Due</v>
      </c>
    </row>
    <row r="341" spans="1:16" s="34" customFormat="1" ht="15" x14ac:dyDescent="0.25">
      <c r="A341" s="34" t="s">
        <v>58</v>
      </c>
      <c r="B341" s="626" t="s">
        <v>972</v>
      </c>
      <c r="C341" s="34" t="s">
        <v>264</v>
      </c>
      <c r="D341" s="34" t="s">
        <v>79</v>
      </c>
      <c r="F341" s="34" t="s">
        <v>35</v>
      </c>
      <c r="G341" s="627">
        <v>1167.2539999999999</v>
      </c>
      <c r="H341" s="257">
        <f>IF(F341="TND",1,IF(F341="EUR",Vertical_Cash_flow!$C$16,IF(F341="USD",Vertical_Cash_flow!$F$16,0)))</f>
        <v>1</v>
      </c>
      <c r="I341" s="257">
        <f t="shared" si="29"/>
        <v>1167.2539999999999</v>
      </c>
      <c r="J341" s="34" t="s">
        <v>252</v>
      </c>
      <c r="K341" s="628">
        <v>45261</v>
      </c>
      <c r="L341" s="257">
        <f t="shared" si="30"/>
        <v>203</v>
      </c>
      <c r="M341" s="628">
        <v>45464</v>
      </c>
      <c r="N341" s="412">
        <f t="shared" ca="1" si="31"/>
        <v>-23</v>
      </c>
      <c r="O341" s="34" t="str">
        <f>VLOOKUP(M341,Mapping!L:M,2,0)</f>
        <v>W25_2024</v>
      </c>
      <c r="P341" s="34" t="str">
        <f t="shared" ca="1" si="32"/>
        <v>Not Due</v>
      </c>
    </row>
    <row r="342" spans="1:16" s="34" customFormat="1" ht="15" x14ac:dyDescent="0.25">
      <c r="A342" s="34" t="s">
        <v>58</v>
      </c>
      <c r="B342" s="626" t="s">
        <v>972</v>
      </c>
      <c r="C342" s="34" t="s">
        <v>264</v>
      </c>
      <c r="D342" s="34" t="s">
        <v>79</v>
      </c>
      <c r="F342" s="34" t="s">
        <v>35</v>
      </c>
      <c r="G342" s="627">
        <v>671.66</v>
      </c>
      <c r="H342" s="257">
        <f>IF(F342="TND",1,IF(F342="EUR",Vertical_Cash_flow!$C$16,IF(F342="USD",Vertical_Cash_flow!$F$16,0)))</f>
        <v>1</v>
      </c>
      <c r="I342" s="257">
        <f t="shared" si="29"/>
        <v>671.66</v>
      </c>
      <c r="J342" s="34" t="s">
        <v>252</v>
      </c>
      <c r="K342" s="628">
        <v>45273</v>
      </c>
      <c r="L342" s="257">
        <f t="shared" si="30"/>
        <v>191</v>
      </c>
      <c r="M342" s="628">
        <v>45464</v>
      </c>
      <c r="N342" s="412">
        <f t="shared" ca="1" si="31"/>
        <v>-23</v>
      </c>
      <c r="O342" s="34" t="str">
        <f>VLOOKUP(M342,Mapping!L:M,2,0)</f>
        <v>W25_2024</v>
      </c>
      <c r="P342" s="34" t="str">
        <f t="shared" ca="1" si="32"/>
        <v>Not Due</v>
      </c>
    </row>
    <row r="343" spans="1:16" s="34" customFormat="1" ht="15" x14ac:dyDescent="0.25">
      <c r="A343" s="34" t="s">
        <v>58</v>
      </c>
      <c r="B343" s="626" t="s">
        <v>972</v>
      </c>
      <c r="C343" s="34" t="s">
        <v>264</v>
      </c>
      <c r="D343" s="34" t="s">
        <v>79</v>
      </c>
      <c r="F343" s="34" t="s">
        <v>35</v>
      </c>
      <c r="G343" s="627">
        <v>1608.3209999999999</v>
      </c>
      <c r="H343" s="257">
        <f>IF(F343="TND",1,IF(F343="EUR",Vertical_Cash_flow!$C$16,IF(F343="USD",Vertical_Cash_flow!$F$16,0)))</f>
        <v>1</v>
      </c>
      <c r="I343" s="257">
        <f t="shared" si="29"/>
        <v>1608.3209999999999</v>
      </c>
      <c r="J343" s="34" t="s">
        <v>252</v>
      </c>
      <c r="K343" s="628">
        <v>45285</v>
      </c>
      <c r="L343" s="257">
        <f t="shared" si="30"/>
        <v>179</v>
      </c>
      <c r="M343" s="628">
        <v>45464</v>
      </c>
      <c r="N343" s="412">
        <f t="shared" ca="1" si="31"/>
        <v>-23</v>
      </c>
      <c r="O343" s="34" t="str">
        <f>VLOOKUP(M343,Mapping!L:M,2,0)</f>
        <v>W25_2024</v>
      </c>
      <c r="P343" s="34" t="str">
        <f t="shared" ca="1" si="32"/>
        <v>Not Due</v>
      </c>
    </row>
  </sheetData>
  <autoFilter ref="A1:P189" xr:uid="{DFE2D00A-E76A-4819-AFBA-EFE66D007507}"/>
  <sortState xmlns:xlrd2="http://schemas.microsoft.com/office/spreadsheetml/2017/richdata2" ref="A36:S270">
    <sortCondition descending="1" ref="P36:P270"/>
  </sortState>
  <phoneticPr fontId="126" type="noConversion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37837CD-3BB4-45B0-A0F5-0D22E5963769}">
          <x14:formula1>
            <xm:f>Mapping!$E$30:$E$40</xm:f>
          </x14:formula1>
          <xm:sqref>D2:D80 D99:D143</xm:sqref>
        </x14:dataValidation>
        <x14:dataValidation type="list" allowBlank="1" showInputMessage="1" showErrorMessage="1" xr:uid="{1D87EDBC-85EE-433E-8147-9386D701C85B}">
          <x14:formula1>
            <xm:f>Mapping!$D$30:$D$34</xm:f>
          </x14:formula1>
          <xm:sqref>C2:C80 C99:C143</xm:sqref>
        </x14:dataValidation>
        <x14:dataValidation type="list" allowBlank="1" showInputMessage="1" showErrorMessage="1" xr:uid="{C80F73F8-029F-4F24-9F3E-88AD148A6C0C}">
          <x14:formula1>
            <xm:f>Mapping!$G$30:$G$36</xm:f>
          </x14:formula1>
          <xm:sqref>F2:F50 F52:F113 F115:F343</xm:sqref>
        </x14:dataValidation>
        <x14:dataValidation type="list" allowBlank="1" showInputMessage="1" showErrorMessage="1" xr:uid="{6F64C7F8-384E-4AC9-BEC4-70B229DBFD2B}">
          <x14:formula1>
            <xm:f>Mapping!$A$30:$A$31</xm:f>
          </x14:formula1>
          <xm:sqref>A2:A343</xm:sqref>
        </x14:dataValidation>
        <x14:dataValidation type="list" allowBlank="1" showInputMessage="1" showErrorMessage="1" xr:uid="{E7AEE3AB-330F-4966-B448-17CA07D37DE4}">
          <x14:formula1>
            <xm:f>Mapping!$I$3:$I$4</xm:f>
          </x14:formula1>
          <xm:sqref>J2:J343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726A3-8120-4654-80BF-F6251302EBB4}">
  <sheetPr>
    <tabColor rgb="FFFFFF00"/>
  </sheetPr>
  <dimension ref="A1:CO47"/>
  <sheetViews>
    <sheetView tabSelected="1" zoomScale="70" zoomScaleNormal="70" workbookViewId="0">
      <selection activeCell="BW24" sqref="BW24"/>
    </sheetView>
  </sheetViews>
  <sheetFormatPr baseColWidth="10" defaultColWidth="10.7109375" defaultRowHeight="15.75" x14ac:dyDescent="0.25"/>
  <cols>
    <col min="1" max="1" width="3.85546875" style="151" bestFit="1" customWidth="1"/>
    <col min="2" max="2" width="12.42578125" style="151" bestFit="1" customWidth="1"/>
    <col min="3" max="3" width="14" style="152" bestFit="1" customWidth="1"/>
    <col min="4" max="4" width="11" style="152" bestFit="1" customWidth="1"/>
    <col min="5" max="6" width="8.140625" style="152" bestFit="1" customWidth="1"/>
    <col min="7" max="7" width="13.85546875" style="152" bestFit="1" customWidth="1"/>
    <col min="8" max="8" width="2.140625" customWidth="1"/>
    <col min="9" max="9" width="1.42578125" style="153" customWidth="1"/>
    <col min="10" max="10" width="3.85546875" style="151" bestFit="1" customWidth="1"/>
    <col min="11" max="11" width="12.42578125" style="151" bestFit="1" customWidth="1"/>
    <col min="12" max="12" width="14" style="147" bestFit="1" customWidth="1"/>
    <col min="13" max="13" width="11" style="147" customWidth="1"/>
    <col min="14" max="15" width="8.140625" style="147" bestFit="1" customWidth="1"/>
    <col min="16" max="16" width="13.85546875" style="147" bestFit="1" customWidth="1"/>
    <col min="17" max="17" width="1.28515625" customWidth="1"/>
    <col min="18" max="18" width="1.42578125" style="153" customWidth="1"/>
    <col min="19" max="19" width="3.85546875" style="151" bestFit="1" customWidth="1"/>
    <col min="20" max="20" width="12.42578125" style="151" bestFit="1" customWidth="1"/>
    <col min="21" max="21" width="14" style="147" bestFit="1" customWidth="1"/>
    <col min="22" max="22" width="11" style="147" bestFit="1" customWidth="1"/>
    <col min="23" max="24" width="8.140625" style="147" bestFit="1" customWidth="1"/>
    <col min="25" max="25" width="13.85546875" style="147" bestFit="1" customWidth="1"/>
    <col min="26" max="26" width="1.28515625" customWidth="1"/>
    <col min="27" max="27" width="1.42578125" style="153" customWidth="1"/>
    <col min="28" max="28" width="1.28515625" customWidth="1"/>
    <col min="29" max="29" width="3.85546875" style="358" bestFit="1" customWidth="1"/>
    <col min="30" max="30" width="12.42578125" style="358" bestFit="1" customWidth="1"/>
    <col min="31" max="31" width="14" style="327" bestFit="1" customWidth="1"/>
    <col min="32" max="32" width="11" style="327" bestFit="1" customWidth="1"/>
    <col min="33" max="33" width="10" style="327" bestFit="1" customWidth="1"/>
    <col min="34" max="34" width="8.140625" style="327" bestFit="1" customWidth="1"/>
    <col min="35" max="35" width="13.85546875" style="327" bestFit="1" customWidth="1"/>
    <col min="36" max="36" width="1.28515625" customWidth="1"/>
    <col min="37" max="37" width="1.42578125" style="153" customWidth="1"/>
    <col min="38" max="38" width="1.28515625" customWidth="1"/>
    <col min="39" max="39" width="3.85546875" style="358" bestFit="1" customWidth="1"/>
    <col min="40" max="40" width="12.42578125" style="358" bestFit="1" customWidth="1"/>
    <col min="41" max="41" width="11.140625" style="327" bestFit="1" customWidth="1"/>
    <col min="42" max="42" width="8.140625" style="327" bestFit="1" customWidth="1"/>
    <col min="43" max="43" width="13.85546875" style="327" bestFit="1" customWidth="1"/>
    <col min="44" max="44" width="1.28515625" customWidth="1"/>
    <col min="45" max="45" width="1.42578125" style="153" customWidth="1"/>
    <col min="46" max="46" width="1.28515625" customWidth="1"/>
    <col min="47" max="47" width="3.85546875" style="358" bestFit="1" customWidth="1"/>
    <col min="48" max="48" width="12.42578125" style="358" bestFit="1" customWidth="1"/>
    <col min="49" max="49" width="11.140625" style="327" bestFit="1" customWidth="1"/>
    <col min="50" max="50" width="11" style="327" bestFit="1" customWidth="1"/>
    <col min="51" max="51" width="13.85546875" style="327" bestFit="1" customWidth="1"/>
    <col min="52" max="52" width="1.28515625" customWidth="1"/>
    <col min="53" max="53" width="1.42578125" style="153" customWidth="1"/>
    <col min="54" max="54" width="1.28515625" customWidth="1"/>
    <col min="55" max="55" width="3.85546875" style="358" bestFit="1" customWidth="1"/>
    <col min="56" max="56" width="12.42578125" style="358" bestFit="1" customWidth="1"/>
    <col min="57" max="57" width="12.42578125" style="327" bestFit="1" customWidth="1"/>
    <col min="58" max="58" width="11" style="327" bestFit="1" customWidth="1"/>
    <col min="59" max="59" width="13.85546875" style="327" bestFit="1" customWidth="1"/>
    <col min="60" max="60" width="1.28515625" customWidth="1"/>
    <col min="61" max="61" width="1.42578125" style="153" customWidth="1"/>
    <col min="62" max="62" width="3.42578125" customWidth="1"/>
    <col min="63" max="63" width="9.5703125" style="154" bestFit="1" customWidth="1"/>
    <col min="64" max="64" width="9.28515625" style="154" bestFit="1" customWidth="1"/>
    <col min="65" max="66" width="11.42578125" style="155" bestFit="1" customWidth="1"/>
    <col min="67" max="67" width="10.5703125" style="155" bestFit="1" customWidth="1"/>
    <col min="68" max="68" width="11.7109375" style="156" bestFit="1" customWidth="1"/>
    <col min="69" max="69" width="5" style="156" bestFit="1" customWidth="1"/>
    <col min="70" max="70" width="5.42578125" style="156" bestFit="1" customWidth="1"/>
    <col min="72" max="72" width="25.28515625" bestFit="1" customWidth="1"/>
    <col min="73" max="73" width="19.28515625" bestFit="1" customWidth="1"/>
    <col min="74" max="74" width="15" bestFit="1" customWidth="1"/>
    <col min="75" max="75" width="13" bestFit="1" customWidth="1"/>
    <col min="76" max="76" width="6.7109375" bestFit="1" customWidth="1"/>
    <col min="77" max="77" width="12.42578125" bestFit="1" customWidth="1"/>
    <col min="78" max="78" width="6.85546875" bestFit="1" customWidth="1"/>
    <col min="79" max="79" width="7.28515625" bestFit="1" customWidth="1"/>
    <col min="80" max="80" width="11" bestFit="1" customWidth="1"/>
    <col min="81" max="81" width="12.42578125" bestFit="1" customWidth="1"/>
    <col min="82" max="82" width="12.140625" bestFit="1" customWidth="1"/>
    <col min="83" max="83" width="12.42578125" bestFit="1" customWidth="1"/>
  </cols>
  <sheetData>
    <row r="1" spans="1:93" x14ac:dyDescent="0.25">
      <c r="A1" s="664" t="s">
        <v>412</v>
      </c>
      <c r="B1" s="664"/>
      <c r="C1" s="664"/>
      <c r="D1" s="665"/>
      <c r="E1" s="665"/>
      <c r="F1" s="665"/>
      <c r="G1" s="665"/>
      <c r="J1" s="659" t="s">
        <v>775</v>
      </c>
      <c r="K1" s="659"/>
      <c r="L1" s="659"/>
      <c r="M1" s="663"/>
      <c r="N1" s="663"/>
      <c r="O1" s="663"/>
      <c r="P1" s="663"/>
      <c r="S1" s="659" t="s">
        <v>777</v>
      </c>
      <c r="T1" s="659"/>
      <c r="U1" s="659"/>
      <c r="V1" s="663"/>
      <c r="W1" s="663"/>
      <c r="X1" s="663"/>
      <c r="Y1" s="663"/>
      <c r="AC1" s="659" t="s">
        <v>804</v>
      </c>
      <c r="AD1" s="659"/>
      <c r="AE1" s="659"/>
      <c r="AF1" s="663"/>
      <c r="AG1" s="663"/>
      <c r="AH1" s="663"/>
      <c r="AI1" s="663"/>
      <c r="AM1" s="659" t="s">
        <v>1031</v>
      </c>
      <c r="AN1" s="659"/>
      <c r="AO1" s="659"/>
      <c r="AP1" s="660" t="s">
        <v>1020</v>
      </c>
      <c r="AQ1" s="660"/>
      <c r="AU1" s="659" t="s">
        <v>1476</v>
      </c>
      <c r="AV1" s="659"/>
      <c r="AW1" s="659"/>
      <c r="AX1" s="660" t="s">
        <v>1020</v>
      </c>
      <c r="AY1" s="660"/>
      <c r="BC1" s="659" t="s">
        <v>2277</v>
      </c>
      <c r="BD1" s="659"/>
      <c r="BE1" s="659"/>
      <c r="BF1" s="660" t="s">
        <v>1020</v>
      </c>
      <c r="BG1" s="660"/>
      <c r="BP1" s="154"/>
      <c r="BQ1" s="154"/>
      <c r="BR1" s="154"/>
    </row>
    <row r="2" spans="1:93" ht="16.5" thickBot="1" x14ac:dyDescent="0.3">
      <c r="A2" s="661" t="s">
        <v>413</v>
      </c>
      <c r="B2" s="661"/>
      <c r="C2" s="661"/>
      <c r="D2" s="661"/>
      <c r="E2" s="661"/>
      <c r="F2" s="661"/>
      <c r="G2" s="661"/>
      <c r="J2" s="662" t="s">
        <v>776</v>
      </c>
      <c r="K2" s="662"/>
      <c r="L2" s="662"/>
      <c r="M2" s="662"/>
      <c r="N2" s="662"/>
      <c r="O2" s="662"/>
      <c r="P2" s="662"/>
      <c r="S2" s="662" t="s">
        <v>778</v>
      </c>
      <c r="T2" s="662"/>
      <c r="U2" s="662"/>
      <c r="V2" s="662"/>
      <c r="W2" s="662"/>
      <c r="X2" s="662"/>
      <c r="Y2" s="662"/>
      <c r="AC2" s="662" t="s">
        <v>805</v>
      </c>
      <c r="AD2" s="662"/>
      <c r="AE2" s="662"/>
      <c r="AF2" s="662"/>
      <c r="AG2" s="662"/>
      <c r="AH2" s="662"/>
      <c r="AI2" s="662"/>
      <c r="AM2" s="662" t="s">
        <v>1018</v>
      </c>
      <c r="AN2" s="662"/>
      <c r="AO2" s="662"/>
      <c r="AP2" s="662"/>
      <c r="AQ2" s="662"/>
      <c r="AU2" s="662" t="s">
        <v>1019</v>
      </c>
      <c r="AV2" s="662"/>
      <c r="AW2" s="662"/>
      <c r="AX2" s="662"/>
      <c r="AY2" s="662"/>
      <c r="BC2" s="662" t="s">
        <v>2278</v>
      </c>
      <c r="BD2" s="662"/>
      <c r="BE2" s="662"/>
      <c r="BF2" s="662"/>
      <c r="BG2" s="662"/>
      <c r="BK2" s="666" t="s">
        <v>423</v>
      </c>
      <c r="BL2" s="666"/>
      <c r="BM2" s="666"/>
      <c r="BN2" s="666"/>
      <c r="BO2" s="666"/>
      <c r="BP2" s="666"/>
      <c r="BQ2" s="666"/>
      <c r="BR2" s="666"/>
    </row>
    <row r="3" spans="1:93" x14ac:dyDescent="0.25">
      <c r="A3" s="140" t="s">
        <v>414</v>
      </c>
      <c r="B3" s="140" t="s">
        <v>8</v>
      </c>
      <c r="C3" s="141" t="s">
        <v>415</v>
      </c>
      <c r="D3" s="141" t="s">
        <v>416</v>
      </c>
      <c r="E3" s="141" t="s">
        <v>417</v>
      </c>
      <c r="F3" s="141" t="s">
        <v>418</v>
      </c>
      <c r="G3" s="141" t="s">
        <v>419</v>
      </c>
      <c r="J3" s="331" t="s">
        <v>414</v>
      </c>
      <c r="K3" s="331" t="s">
        <v>8</v>
      </c>
      <c r="L3" s="329" t="s">
        <v>415</v>
      </c>
      <c r="M3" s="329" t="s">
        <v>416</v>
      </c>
      <c r="N3" s="329" t="s">
        <v>417</v>
      </c>
      <c r="O3" s="329" t="s">
        <v>418</v>
      </c>
      <c r="P3" s="329" t="s">
        <v>419</v>
      </c>
      <c r="S3" s="331" t="s">
        <v>414</v>
      </c>
      <c r="T3" s="331" t="s">
        <v>8</v>
      </c>
      <c r="U3" s="329" t="s">
        <v>415</v>
      </c>
      <c r="V3" s="329" t="s">
        <v>416</v>
      </c>
      <c r="W3" s="329" t="s">
        <v>417</v>
      </c>
      <c r="X3" s="329" t="s">
        <v>418</v>
      </c>
      <c r="Y3" s="329" t="s">
        <v>419</v>
      </c>
      <c r="AC3" s="331" t="s">
        <v>414</v>
      </c>
      <c r="AD3" s="331" t="s">
        <v>8</v>
      </c>
      <c r="AE3" s="329" t="s">
        <v>415</v>
      </c>
      <c r="AF3" s="329" t="s">
        <v>416</v>
      </c>
      <c r="AG3" s="329" t="s">
        <v>417</v>
      </c>
      <c r="AH3" s="329" t="s">
        <v>418</v>
      </c>
      <c r="AI3" s="329" t="s">
        <v>419</v>
      </c>
      <c r="AM3" s="331" t="s">
        <v>414</v>
      </c>
      <c r="AN3" s="331" t="s">
        <v>8</v>
      </c>
      <c r="AO3" s="329" t="s">
        <v>1032</v>
      </c>
      <c r="AP3" s="329" t="s">
        <v>417</v>
      </c>
      <c r="AQ3" s="329" t="s">
        <v>419</v>
      </c>
      <c r="AU3" s="331" t="s">
        <v>414</v>
      </c>
      <c r="AV3" s="331" t="s">
        <v>8</v>
      </c>
      <c r="AW3" s="329" t="s">
        <v>1032</v>
      </c>
      <c r="AX3" s="329" t="s">
        <v>417</v>
      </c>
      <c r="AY3" s="329" t="s">
        <v>419</v>
      </c>
      <c r="BC3" s="331" t="s">
        <v>414</v>
      </c>
      <c r="BD3" s="331" t="s">
        <v>8</v>
      </c>
      <c r="BE3" s="329" t="s">
        <v>1032</v>
      </c>
      <c r="BF3" s="329" t="s">
        <v>417</v>
      </c>
      <c r="BG3" s="329" t="s">
        <v>419</v>
      </c>
      <c r="BK3" s="666" t="s">
        <v>1021</v>
      </c>
      <c r="BL3" s="666"/>
      <c r="BM3" s="666"/>
      <c r="BN3" s="666"/>
      <c r="BO3" s="666"/>
      <c r="BP3" s="666"/>
      <c r="BQ3" s="666"/>
      <c r="BR3" s="666"/>
      <c r="BT3" s="667" t="s">
        <v>668</v>
      </c>
      <c r="BU3" s="676" t="s">
        <v>669</v>
      </c>
      <c r="BV3" s="677"/>
      <c r="BW3" s="672" t="s">
        <v>670</v>
      </c>
      <c r="BX3" s="674" t="s">
        <v>671</v>
      </c>
      <c r="BY3" s="674" t="s">
        <v>672</v>
      </c>
      <c r="BZ3" s="674" t="s">
        <v>673</v>
      </c>
      <c r="CA3" s="674" t="s">
        <v>674</v>
      </c>
      <c r="CB3" s="679" t="s">
        <v>675</v>
      </c>
      <c r="CC3" s="678" t="s">
        <v>676</v>
      </c>
      <c r="CD3" s="679"/>
    </row>
    <row r="4" spans="1:93" ht="16.5" thickBot="1" x14ac:dyDescent="0.3">
      <c r="A4" s="142">
        <v>1</v>
      </c>
      <c r="B4" s="143">
        <v>44722</v>
      </c>
      <c r="C4" s="144">
        <v>1784.1959999999999</v>
      </c>
      <c r="D4" s="144">
        <v>103.43899999999999</v>
      </c>
      <c r="E4" s="144">
        <f t="shared" ref="E4:E39" si="0">(C4+D4)*0.19</f>
        <v>358.65064999999998</v>
      </c>
      <c r="F4" s="144">
        <v>0.6</v>
      </c>
      <c r="G4" s="144">
        <f t="shared" ref="G4:G39" si="1">SUM(C4:F4)</f>
        <v>2246.8856499999997</v>
      </c>
      <c r="J4" s="334">
        <v>1</v>
      </c>
      <c r="K4" s="335">
        <v>44859</v>
      </c>
      <c r="L4" s="328">
        <v>1019.553</v>
      </c>
      <c r="M4" s="328">
        <v>499.57</v>
      </c>
      <c r="N4" s="328">
        <v>288.63337000000001</v>
      </c>
      <c r="O4" s="328">
        <v>0.6</v>
      </c>
      <c r="P4" s="328">
        <v>1808.35637</v>
      </c>
      <c r="S4" s="334">
        <v>1</v>
      </c>
      <c r="T4" s="335">
        <v>44890</v>
      </c>
      <c r="U4" s="328">
        <v>1528.404</v>
      </c>
      <c r="V4" s="328">
        <v>140.756</v>
      </c>
      <c r="W4" s="328">
        <v>317.1404</v>
      </c>
      <c r="X4" s="328">
        <v>0.6</v>
      </c>
      <c r="Y4" s="328">
        <v>1986.9004</v>
      </c>
      <c r="AC4" s="334">
        <v>1</v>
      </c>
      <c r="AD4" s="335">
        <v>44951</v>
      </c>
      <c r="AE4" s="328">
        <v>1639.3630000000001</v>
      </c>
      <c r="AF4" s="328">
        <v>838.73</v>
      </c>
      <c r="AG4" s="328">
        <f t="shared" ref="AG4:AG39" si="2">(AE4+AF4)*0.19</f>
        <v>470.83767</v>
      </c>
      <c r="AH4" s="328">
        <v>1</v>
      </c>
      <c r="AI4" s="328">
        <f t="shared" ref="AI4:AI39" si="3">SUM(AE4:AH4)</f>
        <v>2949.9306699999997</v>
      </c>
      <c r="AM4" s="334">
        <v>1</v>
      </c>
      <c r="AN4" s="335">
        <v>45280</v>
      </c>
      <c r="AO4" s="328">
        <v>6961.1450000000004</v>
      </c>
      <c r="AP4" s="328">
        <f>AO4*0.19</f>
        <v>1322.6175500000002</v>
      </c>
      <c r="AQ4" s="328">
        <f>AO4+AP4</f>
        <v>8283.7625500000013</v>
      </c>
      <c r="AU4" s="334">
        <v>1</v>
      </c>
      <c r="AV4" s="335">
        <v>45296</v>
      </c>
      <c r="AW4" s="328">
        <v>2191.7739999999999</v>
      </c>
      <c r="AX4" s="328">
        <f>AW4*0.19</f>
        <v>416.43705999999997</v>
      </c>
      <c r="AY4" s="328">
        <f>AW4+AX4+2</f>
        <v>2610.2110599999996</v>
      </c>
      <c r="BC4" s="334">
        <v>1</v>
      </c>
      <c r="BD4" s="335">
        <v>45361</v>
      </c>
      <c r="BE4" s="328">
        <v>4814.8230000000003</v>
      </c>
      <c r="BF4" s="328">
        <f>BE4*0.19</f>
        <v>914.81637000000012</v>
      </c>
      <c r="BG4" s="328">
        <f>BE4+BF4+2</f>
        <v>5731.6393700000008</v>
      </c>
      <c r="BT4" s="668"/>
      <c r="BU4" s="262" t="s">
        <v>677</v>
      </c>
      <c r="BV4" s="263" t="s">
        <v>678</v>
      </c>
      <c r="BW4" s="673"/>
      <c r="BX4" s="675"/>
      <c r="BY4" s="675"/>
      <c r="BZ4" s="675"/>
      <c r="CA4" s="675"/>
      <c r="CB4" s="688"/>
      <c r="CC4" s="260" t="s">
        <v>672</v>
      </c>
      <c r="CD4" s="258" t="s">
        <v>679</v>
      </c>
    </row>
    <row r="5" spans="1:93" ht="16.5" thickBot="1" x14ac:dyDescent="0.3">
      <c r="A5" s="142">
        <f t="shared" ref="A5:A39" si="4">+A4+1</f>
        <v>2</v>
      </c>
      <c r="B5" s="143">
        <v>44752</v>
      </c>
      <c r="C5" s="144">
        <v>1272.4549999999999</v>
      </c>
      <c r="D5" s="144">
        <v>615.17999999999995</v>
      </c>
      <c r="E5" s="144">
        <f t="shared" si="0"/>
        <v>358.65064999999998</v>
      </c>
      <c r="F5" s="144">
        <v>2.2149999999999999</v>
      </c>
      <c r="G5" s="144">
        <f t="shared" si="1"/>
        <v>2248.50065</v>
      </c>
      <c r="J5" s="334">
        <v>2</v>
      </c>
      <c r="K5" s="335">
        <v>44890</v>
      </c>
      <c r="L5" s="328">
        <v>1031.2349999999999</v>
      </c>
      <c r="M5" s="328">
        <v>487.88799999999998</v>
      </c>
      <c r="N5" s="328">
        <v>288.63336999999996</v>
      </c>
      <c r="O5" s="328">
        <v>3.2149999999999999</v>
      </c>
      <c r="P5" s="328">
        <v>1810.9713699999998</v>
      </c>
      <c r="S5" s="334">
        <v>2</v>
      </c>
      <c r="T5" s="335">
        <v>44920</v>
      </c>
      <c r="U5" s="328">
        <v>1112.6469999999999</v>
      </c>
      <c r="V5" s="328">
        <v>556.51300000000003</v>
      </c>
      <c r="W5" s="328">
        <v>317.1404</v>
      </c>
      <c r="X5" s="328">
        <v>3.2149999999999999</v>
      </c>
      <c r="Y5" s="328">
        <v>1989.5153999999998</v>
      </c>
      <c r="AC5" s="334">
        <f t="shared" ref="AC5:AC39" si="5">+AC4+1</f>
        <v>2</v>
      </c>
      <c r="AD5" s="335">
        <v>44982</v>
      </c>
      <c r="AE5" s="328">
        <v>1658.8309999999999</v>
      </c>
      <c r="AF5" s="328">
        <v>819.26199999999994</v>
      </c>
      <c r="AG5" s="328">
        <f t="shared" si="2"/>
        <v>470.83767</v>
      </c>
      <c r="AH5" s="328">
        <v>3.2149999999999999</v>
      </c>
      <c r="AI5" s="328">
        <f t="shared" si="3"/>
        <v>2952.1456699999999</v>
      </c>
      <c r="AM5" s="334">
        <f t="shared" ref="AM5:AM39" si="6">+AM4+1</f>
        <v>2</v>
      </c>
      <c r="AN5" s="335">
        <v>45311</v>
      </c>
      <c r="AO5" s="328">
        <v>6961.1450000000004</v>
      </c>
      <c r="AP5" s="328">
        <f t="shared" ref="AP5:AP39" si="7">AO5*0.19</f>
        <v>1322.6175500000002</v>
      </c>
      <c r="AQ5" s="328">
        <f t="shared" ref="AQ5:AQ39" si="8">AO5+AP5</f>
        <v>8283.7625500000013</v>
      </c>
      <c r="AU5" s="334">
        <f t="shared" ref="AU5:AU39" si="9">+AU4+1</f>
        <v>2</v>
      </c>
      <c r="AV5" s="335">
        <v>45327</v>
      </c>
      <c r="AW5" s="328">
        <v>2191.7739999999999</v>
      </c>
      <c r="AX5" s="328">
        <f t="shared" ref="AX5:AX39" si="10">AW5*0.19</f>
        <v>416.43705999999997</v>
      </c>
      <c r="AY5" s="328">
        <f>AW5+AX5+2</f>
        <v>2610.2110599999996</v>
      </c>
      <c r="BC5" s="334">
        <f t="shared" ref="BC5:BC39" si="11">+BC4+1</f>
        <v>2</v>
      </c>
      <c r="BD5" s="335">
        <v>45392</v>
      </c>
      <c r="BE5" s="328">
        <v>4814.8230000000003</v>
      </c>
      <c r="BF5" s="328">
        <f t="shared" ref="BF5:BF39" si="12">BE5*0.19</f>
        <v>914.81637000000012</v>
      </c>
      <c r="BG5" s="328">
        <f>BE5+BF5+2</f>
        <v>5731.6393700000008</v>
      </c>
      <c r="BK5" s="680" t="s">
        <v>424</v>
      </c>
      <c r="BL5" s="681"/>
      <c r="BM5" s="157" t="s">
        <v>425</v>
      </c>
      <c r="BN5" s="158" t="s">
        <v>426</v>
      </c>
      <c r="BO5" s="158" t="s">
        <v>427</v>
      </c>
      <c r="BP5" s="158" t="s">
        <v>59</v>
      </c>
      <c r="BQ5" s="159" t="s">
        <v>428</v>
      </c>
      <c r="BR5" s="160" t="s">
        <v>429</v>
      </c>
      <c r="BT5" s="682" t="s">
        <v>680</v>
      </c>
      <c r="BU5" s="684">
        <v>45446</v>
      </c>
      <c r="BV5" s="686">
        <v>45446</v>
      </c>
      <c r="BW5" s="401">
        <v>45537</v>
      </c>
      <c r="BX5" s="402" t="s">
        <v>58</v>
      </c>
      <c r="BY5" s="403">
        <f>+BW5-BV5</f>
        <v>91</v>
      </c>
      <c r="BZ5" s="404">
        <v>7.97</v>
      </c>
      <c r="CA5" s="402">
        <v>1.75</v>
      </c>
      <c r="CB5" s="405">
        <v>4000000</v>
      </c>
      <c r="CC5" s="359">
        <f>+BY5+3</f>
        <v>94</v>
      </c>
      <c r="CD5" s="360">
        <f>CB5*CC5/360*(BZ5+CA5)/100</f>
        <v>101520</v>
      </c>
    </row>
    <row r="6" spans="1:93" ht="16.5" thickBot="1" x14ac:dyDescent="0.3">
      <c r="A6" s="142">
        <f t="shared" si="4"/>
        <v>3</v>
      </c>
      <c r="B6" s="143">
        <v>44783</v>
      </c>
      <c r="C6" s="144">
        <v>1287.3</v>
      </c>
      <c r="D6" s="144">
        <v>600.33500000000004</v>
      </c>
      <c r="E6" s="144">
        <f t="shared" si="0"/>
        <v>358.65064999999998</v>
      </c>
      <c r="F6" s="144">
        <v>2.2149999999999999</v>
      </c>
      <c r="G6" s="144">
        <f t="shared" si="1"/>
        <v>2248.50065</v>
      </c>
      <c r="J6" s="334">
        <v>3</v>
      </c>
      <c r="K6" s="335">
        <v>44920</v>
      </c>
      <c r="L6" s="328">
        <v>1043.0519999999999</v>
      </c>
      <c r="M6" s="328">
        <v>476.07100000000003</v>
      </c>
      <c r="N6" s="328">
        <v>288.63337000000001</v>
      </c>
      <c r="O6" s="328">
        <v>3.2149999999999999</v>
      </c>
      <c r="P6" s="328">
        <v>1810.97137</v>
      </c>
      <c r="S6" s="334">
        <v>3</v>
      </c>
      <c r="T6" s="335">
        <v>44951</v>
      </c>
      <c r="U6" s="328">
        <v>1125.999</v>
      </c>
      <c r="V6" s="328">
        <v>543.16099999999994</v>
      </c>
      <c r="W6" s="328">
        <v>317.1404</v>
      </c>
      <c r="X6" s="328">
        <v>3.2149999999999999</v>
      </c>
      <c r="Y6" s="328">
        <v>1989.5153999999998</v>
      </c>
      <c r="AC6" s="334">
        <f t="shared" si="5"/>
        <v>3</v>
      </c>
      <c r="AD6" s="335">
        <v>45010</v>
      </c>
      <c r="AE6" s="328">
        <v>1678.529</v>
      </c>
      <c r="AF6" s="328">
        <v>799.56399999999996</v>
      </c>
      <c r="AG6" s="328">
        <f t="shared" si="2"/>
        <v>470.83767</v>
      </c>
      <c r="AH6" s="328">
        <v>3.2149999999999999</v>
      </c>
      <c r="AI6" s="328">
        <f t="shared" si="3"/>
        <v>2952.1456699999999</v>
      </c>
      <c r="AM6" s="334">
        <f t="shared" si="6"/>
        <v>3</v>
      </c>
      <c r="AN6" s="335">
        <v>45342</v>
      </c>
      <c r="AO6" s="328">
        <v>6961.1450000000004</v>
      </c>
      <c r="AP6" s="328">
        <f t="shared" si="7"/>
        <v>1322.6175500000002</v>
      </c>
      <c r="AQ6" s="328">
        <f t="shared" si="8"/>
        <v>8283.7625500000013</v>
      </c>
      <c r="AU6" s="334">
        <f t="shared" si="9"/>
        <v>3</v>
      </c>
      <c r="AV6" s="335">
        <v>45356</v>
      </c>
      <c r="AW6" s="328">
        <v>2191.7739999999999</v>
      </c>
      <c r="AX6" s="328">
        <f t="shared" si="10"/>
        <v>416.43705999999997</v>
      </c>
      <c r="AY6" s="328">
        <f>AW6+AX6+2</f>
        <v>2610.2110599999996</v>
      </c>
      <c r="BC6" s="332">
        <f t="shared" si="11"/>
        <v>3</v>
      </c>
      <c r="BD6" s="333">
        <v>45422</v>
      </c>
      <c r="BE6" s="327">
        <v>4814.8230000000003</v>
      </c>
      <c r="BF6" s="327">
        <f t="shared" si="12"/>
        <v>914.81637000000012</v>
      </c>
      <c r="BG6" s="327">
        <f>BE6+BF6+2</f>
        <v>5731.6393700000008</v>
      </c>
      <c r="BK6" s="510" t="s">
        <v>430</v>
      </c>
      <c r="BL6" s="511">
        <v>2500000</v>
      </c>
      <c r="BM6" s="512">
        <v>45322</v>
      </c>
      <c r="BN6" s="513"/>
      <c r="BO6" s="470">
        <v>13240.972222222224</v>
      </c>
      <c r="BP6" s="471">
        <f>SUM(BN6:BO6)</f>
        <v>13240.972222222224</v>
      </c>
      <c r="BQ6" s="472"/>
      <c r="BR6" s="473"/>
      <c r="BT6" s="683"/>
      <c r="BU6" s="685"/>
      <c r="BV6" s="687"/>
      <c r="BW6" s="324">
        <v>45537</v>
      </c>
      <c r="BX6" s="259" t="s">
        <v>58</v>
      </c>
      <c r="BY6" s="406">
        <f>+BW6-BV5</f>
        <v>91</v>
      </c>
      <c r="BZ6" s="256">
        <v>7.97</v>
      </c>
      <c r="CA6" s="259">
        <v>2</v>
      </c>
      <c r="CB6" s="274">
        <v>6000000</v>
      </c>
      <c r="CC6" s="261">
        <f>+BY6+3</f>
        <v>94</v>
      </c>
      <c r="CD6" s="361">
        <f>CB6*CC6/360*(BZ6+CA6)/100</f>
        <v>156196.66666666666</v>
      </c>
    </row>
    <row r="7" spans="1:93" ht="16.5" thickBot="1" x14ac:dyDescent="0.3">
      <c r="A7" s="142">
        <f t="shared" si="4"/>
        <v>4</v>
      </c>
      <c r="B7" s="143">
        <v>44814</v>
      </c>
      <c r="C7" s="144">
        <v>1302.319</v>
      </c>
      <c r="D7" s="144">
        <v>585.31600000000003</v>
      </c>
      <c r="E7" s="144">
        <f t="shared" si="0"/>
        <v>358.65064999999998</v>
      </c>
      <c r="F7" s="144">
        <v>2.2149999999999999</v>
      </c>
      <c r="G7" s="144">
        <f t="shared" si="1"/>
        <v>2248.50065</v>
      </c>
      <c r="J7" s="334">
        <v>4</v>
      </c>
      <c r="K7" s="335">
        <v>44951</v>
      </c>
      <c r="L7" s="328">
        <v>1055.0029999999999</v>
      </c>
      <c r="M7" s="328">
        <v>464.12</v>
      </c>
      <c r="N7" s="328">
        <v>288.63337000000001</v>
      </c>
      <c r="O7" s="328">
        <v>3.2149999999999999</v>
      </c>
      <c r="P7" s="328">
        <v>1810.97137</v>
      </c>
      <c r="S7" s="334">
        <v>4</v>
      </c>
      <c r="T7" s="335">
        <v>44982</v>
      </c>
      <c r="U7" s="328">
        <v>1139.511</v>
      </c>
      <c r="V7" s="328">
        <v>529.649</v>
      </c>
      <c r="W7" s="328">
        <v>317.1404</v>
      </c>
      <c r="X7" s="328">
        <v>3.2149999999999999</v>
      </c>
      <c r="Y7" s="328">
        <v>1989.5153999999998</v>
      </c>
      <c r="AC7" s="334">
        <f t="shared" si="5"/>
        <v>4</v>
      </c>
      <c r="AD7" s="335">
        <v>45041</v>
      </c>
      <c r="AE7" s="328">
        <v>1698.462</v>
      </c>
      <c r="AF7" s="328">
        <v>779.63099999999997</v>
      </c>
      <c r="AG7" s="328">
        <f t="shared" si="2"/>
        <v>470.83767</v>
      </c>
      <c r="AH7" s="328">
        <v>3.2149999999999999</v>
      </c>
      <c r="AI7" s="328">
        <f t="shared" si="3"/>
        <v>2952.1456699999999</v>
      </c>
      <c r="AM7" s="334">
        <f t="shared" si="6"/>
        <v>4</v>
      </c>
      <c r="AN7" s="335">
        <v>45371</v>
      </c>
      <c r="AO7" s="328">
        <v>6961.1450000000004</v>
      </c>
      <c r="AP7" s="328">
        <f t="shared" si="7"/>
        <v>1322.6175500000002</v>
      </c>
      <c r="AQ7" s="328">
        <f t="shared" si="8"/>
        <v>8283.7625500000013</v>
      </c>
      <c r="AU7" s="334">
        <f t="shared" si="9"/>
        <v>4</v>
      </c>
      <c r="AV7" s="335">
        <v>45387</v>
      </c>
      <c r="AW7" s="328">
        <v>2191.7739999999999</v>
      </c>
      <c r="AX7" s="328">
        <f t="shared" si="10"/>
        <v>416.43705999999997</v>
      </c>
      <c r="AY7" s="328">
        <f t="shared" ref="AY7:AY39" si="13">AW7+AX7+2</f>
        <v>2610.2110599999996</v>
      </c>
      <c r="BC7" s="332">
        <f t="shared" si="11"/>
        <v>4</v>
      </c>
      <c r="BD7" s="333">
        <v>45453</v>
      </c>
      <c r="BE7" s="327">
        <v>4814.8230000000003</v>
      </c>
      <c r="BF7" s="327">
        <f t="shared" si="12"/>
        <v>914.81637000000012</v>
      </c>
      <c r="BG7" s="327">
        <f t="shared" ref="BG7:BG39" si="14">BE7+BF7+2</f>
        <v>5731.6393700000008</v>
      </c>
      <c r="BK7" s="474" t="s">
        <v>430</v>
      </c>
      <c r="BL7" s="514">
        <v>1250000</v>
      </c>
      <c r="BM7" s="515">
        <v>45322</v>
      </c>
      <c r="BN7" s="516">
        <v>104166.667</v>
      </c>
      <c r="BO7" s="475">
        <v>9551.3889999999992</v>
      </c>
      <c r="BP7" s="476">
        <f>SUM(BN7:BO7)</f>
        <v>113718.056</v>
      </c>
      <c r="BQ7" s="474"/>
      <c r="BR7" s="477"/>
      <c r="BU7" s="39"/>
    </row>
    <row r="8" spans="1:93" ht="16.5" thickBot="1" x14ac:dyDescent="0.3">
      <c r="A8" s="142">
        <f t="shared" si="4"/>
        <v>5</v>
      </c>
      <c r="B8" s="143">
        <v>44844</v>
      </c>
      <c r="C8" s="144">
        <v>1317.5119999999999</v>
      </c>
      <c r="D8" s="144">
        <v>570.12300000000005</v>
      </c>
      <c r="E8" s="144">
        <f t="shared" si="0"/>
        <v>358.65064999999998</v>
      </c>
      <c r="F8" s="144">
        <v>2.2149999999999999</v>
      </c>
      <c r="G8" s="144">
        <f t="shared" si="1"/>
        <v>2248.50065</v>
      </c>
      <c r="J8" s="334">
        <v>5</v>
      </c>
      <c r="K8" s="335">
        <v>44982</v>
      </c>
      <c r="L8" s="328">
        <v>1067.0920000000001</v>
      </c>
      <c r="M8" s="328">
        <v>452.03100000000001</v>
      </c>
      <c r="N8" s="328">
        <v>288.63337000000001</v>
      </c>
      <c r="O8" s="328">
        <v>3.2149999999999999</v>
      </c>
      <c r="P8" s="328">
        <v>1810.97137</v>
      </c>
      <c r="S8" s="334">
        <v>5</v>
      </c>
      <c r="T8" s="335">
        <v>45010</v>
      </c>
      <c r="U8" s="328">
        <v>1153.1849999999999</v>
      </c>
      <c r="V8" s="328">
        <v>515.97500000000002</v>
      </c>
      <c r="W8" s="328">
        <v>317.1404</v>
      </c>
      <c r="X8" s="328">
        <v>3.2149999999999999</v>
      </c>
      <c r="Y8" s="328">
        <v>1989.5153999999998</v>
      </c>
      <c r="AC8" s="334">
        <f t="shared" si="5"/>
        <v>5</v>
      </c>
      <c r="AD8" s="335">
        <v>45071</v>
      </c>
      <c r="AE8" s="328">
        <v>1718.6310000000001</v>
      </c>
      <c r="AF8" s="328">
        <v>759.46199999999999</v>
      </c>
      <c r="AG8" s="328">
        <f t="shared" si="2"/>
        <v>470.83767</v>
      </c>
      <c r="AH8" s="328">
        <v>3.2149999999999999</v>
      </c>
      <c r="AI8" s="328">
        <f t="shared" si="3"/>
        <v>2952.1456699999999</v>
      </c>
      <c r="AL8" s="585"/>
      <c r="AM8" s="334">
        <f t="shared" si="6"/>
        <v>5</v>
      </c>
      <c r="AN8" s="143">
        <v>45402</v>
      </c>
      <c r="AO8" s="328">
        <v>6961.1450000000004</v>
      </c>
      <c r="AP8" s="328">
        <f t="shared" si="7"/>
        <v>1322.6175500000002</v>
      </c>
      <c r="AQ8" s="328">
        <f t="shared" si="8"/>
        <v>8283.7625500000013</v>
      </c>
      <c r="AU8" s="332">
        <f t="shared" si="9"/>
        <v>5</v>
      </c>
      <c r="AV8" s="146">
        <v>45417</v>
      </c>
      <c r="AW8" s="327">
        <v>2191.7739999999999</v>
      </c>
      <c r="AX8" s="327">
        <f t="shared" si="10"/>
        <v>416.43705999999997</v>
      </c>
      <c r="AY8" s="327">
        <f t="shared" si="13"/>
        <v>2610.2110599999996</v>
      </c>
      <c r="BC8" s="332">
        <f t="shared" si="11"/>
        <v>5</v>
      </c>
      <c r="BD8" s="550">
        <v>45483</v>
      </c>
      <c r="BE8" s="327">
        <v>4814.8230000000003</v>
      </c>
      <c r="BF8" s="327">
        <f t="shared" si="12"/>
        <v>914.81637000000012</v>
      </c>
      <c r="BG8" s="327">
        <f t="shared" si="14"/>
        <v>5731.6393700000008</v>
      </c>
      <c r="BK8" s="669" t="s">
        <v>1022</v>
      </c>
      <c r="BL8" s="670"/>
      <c r="BM8" s="671"/>
      <c r="BN8" s="161">
        <f>SUM(BN6:BN7)</f>
        <v>104166.667</v>
      </c>
      <c r="BO8" s="162">
        <f>SUM(BO6:BO7)</f>
        <v>22792.361222222222</v>
      </c>
      <c r="BP8" s="352">
        <f>SUM(BP6:BP7)</f>
        <v>126959.02822222222</v>
      </c>
      <c r="BQ8" s="163"/>
      <c r="BR8" s="164"/>
      <c r="CO8" s="4"/>
    </row>
    <row r="9" spans="1:93" ht="16.5" thickBot="1" x14ac:dyDescent="0.3">
      <c r="A9" s="142">
        <f t="shared" si="4"/>
        <v>6</v>
      </c>
      <c r="B9" s="143">
        <v>44875</v>
      </c>
      <c r="C9" s="144">
        <v>1332.883</v>
      </c>
      <c r="D9" s="144">
        <v>554.75199999999995</v>
      </c>
      <c r="E9" s="144">
        <f t="shared" si="0"/>
        <v>358.65064999999998</v>
      </c>
      <c r="F9" s="144">
        <v>2.2149999999999999</v>
      </c>
      <c r="G9" s="144">
        <f t="shared" si="1"/>
        <v>2248.50065</v>
      </c>
      <c r="J9" s="334">
        <v>6</v>
      </c>
      <c r="K9" s="335">
        <v>45010</v>
      </c>
      <c r="L9" s="328">
        <v>1079.319</v>
      </c>
      <c r="M9" s="328">
        <v>439.80399999999997</v>
      </c>
      <c r="N9" s="328">
        <v>288.63337000000001</v>
      </c>
      <c r="O9" s="328">
        <v>3.2149999999999999</v>
      </c>
      <c r="P9" s="328">
        <v>1810.97137</v>
      </c>
      <c r="S9" s="334">
        <v>6</v>
      </c>
      <c r="T9" s="335">
        <v>45041</v>
      </c>
      <c r="U9" s="328">
        <v>1167.0229999999999</v>
      </c>
      <c r="V9" s="328">
        <v>502.137</v>
      </c>
      <c r="W9" s="328">
        <v>317.1404</v>
      </c>
      <c r="X9" s="328">
        <v>3.2149999999999999</v>
      </c>
      <c r="Y9" s="328">
        <v>1989.5153999999998</v>
      </c>
      <c r="AC9" s="334">
        <f t="shared" si="5"/>
        <v>6</v>
      </c>
      <c r="AD9" s="335">
        <v>45102</v>
      </c>
      <c r="AE9" s="328">
        <v>1739.04</v>
      </c>
      <c r="AF9" s="328">
        <v>739.053</v>
      </c>
      <c r="AG9" s="328">
        <f t="shared" si="2"/>
        <v>470.83767</v>
      </c>
      <c r="AH9" s="328">
        <v>3.2149999999999999</v>
      </c>
      <c r="AI9" s="328">
        <f t="shared" si="3"/>
        <v>2952.1456699999999</v>
      </c>
      <c r="AM9" s="332">
        <f t="shared" si="6"/>
        <v>6</v>
      </c>
      <c r="AN9" s="146">
        <v>45432</v>
      </c>
      <c r="AO9" s="327">
        <v>6961.1450000000004</v>
      </c>
      <c r="AP9" s="327">
        <f t="shared" si="7"/>
        <v>1322.6175500000002</v>
      </c>
      <c r="AQ9" s="327">
        <f t="shared" si="8"/>
        <v>8283.7625500000013</v>
      </c>
      <c r="AU9" s="332">
        <f t="shared" si="9"/>
        <v>6</v>
      </c>
      <c r="AV9" s="146">
        <v>45448</v>
      </c>
      <c r="AW9" s="327">
        <v>2191.7739999999999</v>
      </c>
      <c r="AX9" s="327">
        <f t="shared" si="10"/>
        <v>416.43705999999997</v>
      </c>
      <c r="AY9" s="327">
        <f t="shared" si="13"/>
        <v>2610.2110599999996</v>
      </c>
      <c r="BC9" s="332">
        <f t="shared" si="11"/>
        <v>6</v>
      </c>
      <c r="BD9" s="550">
        <v>45514</v>
      </c>
      <c r="BE9" s="327">
        <v>4814.8230000000003</v>
      </c>
      <c r="BF9" s="327">
        <f t="shared" si="12"/>
        <v>914.81637000000012</v>
      </c>
      <c r="BG9" s="327">
        <f t="shared" si="14"/>
        <v>5731.6393700000008</v>
      </c>
      <c r="BK9" s="551" t="s">
        <v>430</v>
      </c>
      <c r="BL9" s="552">
        <v>1000000</v>
      </c>
      <c r="BM9" s="553">
        <v>45351</v>
      </c>
      <c r="BN9" s="513"/>
      <c r="BO9" s="470">
        <v>25909.722000000002</v>
      </c>
      <c r="BP9" s="471">
        <f>SUM(BN9:BO9)</f>
        <v>25909.722000000002</v>
      </c>
      <c r="BQ9" s="510"/>
      <c r="BR9" s="554"/>
    </row>
    <row r="10" spans="1:93" ht="16.5" thickBot="1" x14ac:dyDescent="0.3">
      <c r="A10" s="142">
        <f t="shared" si="4"/>
        <v>7</v>
      </c>
      <c r="B10" s="143">
        <v>44905</v>
      </c>
      <c r="C10" s="144">
        <v>1348.434</v>
      </c>
      <c r="D10" s="144">
        <v>539.20100000000002</v>
      </c>
      <c r="E10" s="144">
        <f t="shared" si="0"/>
        <v>358.65064999999998</v>
      </c>
      <c r="F10" s="144">
        <v>2.2149999999999999</v>
      </c>
      <c r="G10" s="144">
        <f t="shared" si="1"/>
        <v>2248.50065</v>
      </c>
      <c r="J10" s="334">
        <v>7</v>
      </c>
      <c r="K10" s="335">
        <v>45041</v>
      </c>
      <c r="L10" s="328">
        <v>1091.6859999999999</v>
      </c>
      <c r="M10" s="328">
        <v>427.43700000000001</v>
      </c>
      <c r="N10" s="328">
        <v>288.63337000000001</v>
      </c>
      <c r="O10" s="328">
        <v>3.2149999999999999</v>
      </c>
      <c r="P10" s="328">
        <v>1810.97137</v>
      </c>
      <c r="S10" s="334">
        <v>7</v>
      </c>
      <c r="T10" s="335">
        <v>45071</v>
      </c>
      <c r="U10" s="328">
        <v>1181.027</v>
      </c>
      <c r="V10" s="328">
        <v>488.13299999999998</v>
      </c>
      <c r="W10" s="328">
        <v>317.1404</v>
      </c>
      <c r="X10" s="328">
        <v>3.2149999999999999</v>
      </c>
      <c r="Y10" s="328">
        <v>1989.5154</v>
      </c>
      <c r="AC10" s="334">
        <f t="shared" si="5"/>
        <v>7</v>
      </c>
      <c r="AD10" s="335">
        <v>45132</v>
      </c>
      <c r="AE10" s="328">
        <v>1759.691</v>
      </c>
      <c r="AF10" s="328">
        <v>718.40200000000004</v>
      </c>
      <c r="AG10" s="328">
        <f t="shared" si="2"/>
        <v>470.83767</v>
      </c>
      <c r="AH10" s="328">
        <v>3.2149999999999999</v>
      </c>
      <c r="AI10" s="328">
        <f t="shared" si="3"/>
        <v>2952.1456699999999</v>
      </c>
      <c r="AM10" s="332">
        <f t="shared" si="6"/>
        <v>7</v>
      </c>
      <c r="AN10" s="146">
        <v>45463</v>
      </c>
      <c r="AO10" s="327">
        <v>6961.1450000000004</v>
      </c>
      <c r="AP10" s="327">
        <f t="shared" si="7"/>
        <v>1322.6175500000002</v>
      </c>
      <c r="AQ10" s="327">
        <f t="shared" si="8"/>
        <v>8283.7625500000013</v>
      </c>
      <c r="AU10" s="332">
        <f t="shared" si="9"/>
        <v>7</v>
      </c>
      <c r="AV10" s="146">
        <v>45478</v>
      </c>
      <c r="AW10" s="327">
        <v>2191.7739999999999</v>
      </c>
      <c r="AX10" s="327">
        <f t="shared" si="10"/>
        <v>416.43705999999997</v>
      </c>
      <c r="AY10" s="327">
        <f t="shared" si="13"/>
        <v>2610.2110599999996</v>
      </c>
      <c r="BC10" s="332">
        <f t="shared" si="11"/>
        <v>7</v>
      </c>
      <c r="BD10" s="550">
        <v>45545</v>
      </c>
      <c r="BE10" s="327">
        <v>4814.8230000000003</v>
      </c>
      <c r="BF10" s="327">
        <f t="shared" si="12"/>
        <v>914.81637000000012</v>
      </c>
      <c r="BG10" s="327">
        <f t="shared" si="14"/>
        <v>5731.6393700000008</v>
      </c>
      <c r="BK10" s="669" t="s">
        <v>1023</v>
      </c>
      <c r="BL10" s="670"/>
      <c r="BM10" s="695"/>
      <c r="BN10" s="161">
        <f>SUM(BN9:BN9)</f>
        <v>0</v>
      </c>
      <c r="BO10" s="162">
        <f>SUM(BO9:BO9)</f>
        <v>25909.722000000002</v>
      </c>
      <c r="BP10" s="353">
        <f t="shared" ref="BP10" si="15">SUM(BN10:BO10)</f>
        <v>25909.722000000002</v>
      </c>
      <c r="BQ10" s="165"/>
      <c r="BR10" s="164"/>
    </row>
    <row r="11" spans="1:93" x14ac:dyDescent="0.25">
      <c r="A11" s="142">
        <f t="shared" si="4"/>
        <v>8</v>
      </c>
      <c r="B11" s="143">
        <v>44936</v>
      </c>
      <c r="C11" s="144">
        <v>1364.165</v>
      </c>
      <c r="D11" s="144">
        <v>523.47</v>
      </c>
      <c r="E11" s="144">
        <f t="shared" si="0"/>
        <v>358.65064999999998</v>
      </c>
      <c r="F11" s="144">
        <v>2.2149999999999999</v>
      </c>
      <c r="G11" s="144">
        <f t="shared" si="1"/>
        <v>2248.50065</v>
      </c>
      <c r="J11" s="334">
        <v>8</v>
      </c>
      <c r="K11" s="335">
        <v>45071</v>
      </c>
      <c r="L11" s="328">
        <v>1104.1949999999999</v>
      </c>
      <c r="M11" s="328">
        <v>414.928</v>
      </c>
      <c r="N11" s="328">
        <v>288.63337000000001</v>
      </c>
      <c r="O11" s="328">
        <v>3.2149999999999999</v>
      </c>
      <c r="P11" s="328">
        <v>1810.97137</v>
      </c>
      <c r="S11" s="334">
        <v>8</v>
      </c>
      <c r="T11" s="335">
        <v>45102</v>
      </c>
      <c r="U11" s="328">
        <v>1195.2</v>
      </c>
      <c r="V11" s="328">
        <v>473.96</v>
      </c>
      <c r="W11" s="328">
        <v>317.1404</v>
      </c>
      <c r="X11" s="328">
        <v>3.2149999999999999</v>
      </c>
      <c r="Y11" s="328">
        <v>1989.5154</v>
      </c>
      <c r="AC11" s="334">
        <f t="shared" si="5"/>
        <v>8</v>
      </c>
      <c r="AD11" s="335">
        <v>45163</v>
      </c>
      <c r="AE11" s="328">
        <v>1780.587</v>
      </c>
      <c r="AF11" s="328">
        <v>697.50599999999997</v>
      </c>
      <c r="AG11" s="328">
        <f t="shared" si="2"/>
        <v>470.83767</v>
      </c>
      <c r="AH11" s="328">
        <v>3.2149999999999999</v>
      </c>
      <c r="AI11" s="328">
        <f t="shared" si="3"/>
        <v>2952.1456699999999</v>
      </c>
      <c r="AM11" s="332">
        <f t="shared" si="6"/>
        <v>8</v>
      </c>
      <c r="AN11" s="146">
        <v>45493</v>
      </c>
      <c r="AO11" s="327">
        <v>6961.1450000000004</v>
      </c>
      <c r="AP11" s="327">
        <f t="shared" si="7"/>
        <v>1322.6175500000002</v>
      </c>
      <c r="AQ11" s="327">
        <f t="shared" si="8"/>
        <v>8283.7625500000013</v>
      </c>
      <c r="AU11" s="332">
        <f t="shared" si="9"/>
        <v>8</v>
      </c>
      <c r="AV11" s="146">
        <v>45509</v>
      </c>
      <c r="AW11" s="327">
        <v>2191.7739999999999</v>
      </c>
      <c r="AX11" s="327">
        <f t="shared" si="10"/>
        <v>416.43705999999997</v>
      </c>
      <c r="AY11" s="327">
        <f t="shared" si="13"/>
        <v>2610.2110599999996</v>
      </c>
      <c r="BC11" s="332">
        <f t="shared" si="11"/>
        <v>8</v>
      </c>
      <c r="BD11" s="550">
        <v>45575</v>
      </c>
      <c r="BE11" s="327">
        <v>4814.8230000000003</v>
      </c>
      <c r="BF11" s="327">
        <f t="shared" si="12"/>
        <v>914.81637000000012</v>
      </c>
      <c r="BG11" s="327">
        <f t="shared" si="14"/>
        <v>5731.6393700000008</v>
      </c>
      <c r="BK11" s="510" t="s">
        <v>430</v>
      </c>
      <c r="BL11" s="511">
        <v>2500000</v>
      </c>
      <c r="BM11" s="512">
        <v>45412</v>
      </c>
      <c r="BN11" s="513">
        <v>208333.33333333334</v>
      </c>
      <c r="BO11" s="470">
        <v>12953.125000000002</v>
      </c>
      <c r="BP11" s="471">
        <f>SUM(BN11:BO11)</f>
        <v>221286.45833333334</v>
      </c>
      <c r="BQ11" s="510"/>
      <c r="BR11" s="554"/>
    </row>
    <row r="12" spans="1:93" ht="16.5" thickBot="1" x14ac:dyDescent="0.3">
      <c r="A12" s="142">
        <f t="shared" si="4"/>
        <v>9</v>
      </c>
      <c r="B12" s="143">
        <v>44967</v>
      </c>
      <c r="C12" s="144">
        <v>1380.0809999999999</v>
      </c>
      <c r="D12" s="144">
        <v>507.55399999999997</v>
      </c>
      <c r="E12" s="144">
        <f t="shared" si="0"/>
        <v>358.65064999999998</v>
      </c>
      <c r="F12" s="144">
        <v>2.2149999999999999</v>
      </c>
      <c r="G12" s="144">
        <f t="shared" si="1"/>
        <v>2248.50065</v>
      </c>
      <c r="J12" s="334">
        <v>9</v>
      </c>
      <c r="K12" s="335">
        <v>45102</v>
      </c>
      <c r="L12" s="328">
        <v>1116.847</v>
      </c>
      <c r="M12" s="328">
        <v>402.27600000000001</v>
      </c>
      <c r="N12" s="328">
        <v>288.63337000000001</v>
      </c>
      <c r="O12" s="328">
        <v>3.2149999999999999</v>
      </c>
      <c r="P12" s="328">
        <v>1810.97137</v>
      </c>
      <c r="S12" s="334">
        <v>9</v>
      </c>
      <c r="T12" s="335">
        <v>45132</v>
      </c>
      <c r="U12" s="328">
        <v>1209.5419999999999</v>
      </c>
      <c r="V12" s="328">
        <v>459.61799999999999</v>
      </c>
      <c r="W12" s="328">
        <v>317.1404</v>
      </c>
      <c r="X12" s="328">
        <v>3.2149999999999999</v>
      </c>
      <c r="Y12" s="328">
        <v>1989.5153999999998</v>
      </c>
      <c r="AC12" s="334">
        <f t="shared" si="5"/>
        <v>9</v>
      </c>
      <c r="AD12" s="335">
        <v>45194</v>
      </c>
      <c r="AE12" s="328">
        <v>1801.732</v>
      </c>
      <c r="AF12" s="328">
        <v>676.36099999999999</v>
      </c>
      <c r="AG12" s="328">
        <f t="shared" si="2"/>
        <v>470.83767</v>
      </c>
      <c r="AH12" s="328">
        <v>3.2149999999999999</v>
      </c>
      <c r="AI12" s="328">
        <f t="shared" si="3"/>
        <v>2952.1456699999999</v>
      </c>
      <c r="AM12" s="332">
        <f t="shared" si="6"/>
        <v>9</v>
      </c>
      <c r="AN12" s="146">
        <v>45524</v>
      </c>
      <c r="AO12" s="327">
        <v>6961.1450000000004</v>
      </c>
      <c r="AP12" s="327">
        <f t="shared" si="7"/>
        <v>1322.6175500000002</v>
      </c>
      <c r="AQ12" s="327">
        <f t="shared" si="8"/>
        <v>8283.7625500000013</v>
      </c>
      <c r="AU12" s="332">
        <f t="shared" si="9"/>
        <v>9</v>
      </c>
      <c r="AV12" s="146">
        <v>45540</v>
      </c>
      <c r="AW12" s="327">
        <v>2191.7739999999999</v>
      </c>
      <c r="AX12" s="327">
        <f t="shared" si="10"/>
        <v>416.43705999999997</v>
      </c>
      <c r="AY12" s="327">
        <f t="shared" si="13"/>
        <v>2610.2110599999996</v>
      </c>
      <c r="BC12" s="332">
        <f t="shared" si="11"/>
        <v>9</v>
      </c>
      <c r="BD12" s="550">
        <v>45606</v>
      </c>
      <c r="BE12" s="327">
        <v>4814.8230000000003</v>
      </c>
      <c r="BF12" s="327">
        <f t="shared" si="12"/>
        <v>914.81637000000012</v>
      </c>
      <c r="BG12" s="327">
        <f t="shared" si="14"/>
        <v>5731.6393700000008</v>
      </c>
      <c r="BK12" s="474" t="s">
        <v>430</v>
      </c>
      <c r="BL12" s="514">
        <v>1250000</v>
      </c>
      <c r="BM12" s="515">
        <v>45412</v>
      </c>
      <c r="BN12" s="516"/>
      <c r="BO12" s="475">
        <v>7007.8119999999999</v>
      </c>
      <c r="BP12" s="476">
        <f>SUM(BN12:BO12)</f>
        <v>7007.8119999999999</v>
      </c>
      <c r="BQ12" s="474"/>
      <c r="BR12" s="477"/>
    </row>
    <row r="13" spans="1:93" ht="16.5" thickBot="1" x14ac:dyDescent="0.3">
      <c r="A13" s="142">
        <f t="shared" si="4"/>
        <v>10</v>
      </c>
      <c r="B13" s="143">
        <v>44995</v>
      </c>
      <c r="C13" s="144">
        <v>1396.181</v>
      </c>
      <c r="D13" s="144">
        <v>491.45400000000001</v>
      </c>
      <c r="E13" s="144">
        <f t="shared" si="0"/>
        <v>358.65064999999998</v>
      </c>
      <c r="F13" s="144">
        <v>2.2149999999999999</v>
      </c>
      <c r="G13" s="144">
        <f t="shared" si="1"/>
        <v>2248.50065</v>
      </c>
      <c r="J13" s="334">
        <v>10</v>
      </c>
      <c r="K13" s="335">
        <v>45132</v>
      </c>
      <c r="L13" s="328">
        <v>1129.645</v>
      </c>
      <c r="M13" s="328">
        <v>389.47800000000001</v>
      </c>
      <c r="N13" s="328">
        <v>288.63337000000001</v>
      </c>
      <c r="O13" s="328">
        <v>3.2149999999999999</v>
      </c>
      <c r="P13" s="328">
        <v>1810.97137</v>
      </c>
      <c r="S13" s="334">
        <v>10</v>
      </c>
      <c r="T13" s="335">
        <v>45163</v>
      </c>
      <c r="U13" s="328">
        <v>1224.057</v>
      </c>
      <c r="V13" s="328">
        <v>445.10300000000001</v>
      </c>
      <c r="W13" s="328">
        <v>317.1404</v>
      </c>
      <c r="X13" s="328">
        <v>3.2149999999999999</v>
      </c>
      <c r="Y13" s="328">
        <v>1989.5154</v>
      </c>
      <c r="AC13" s="334">
        <f t="shared" si="5"/>
        <v>10</v>
      </c>
      <c r="AD13" s="335">
        <v>45224</v>
      </c>
      <c r="AE13" s="328">
        <v>1823.127</v>
      </c>
      <c r="AF13" s="328">
        <v>654.96600000000001</v>
      </c>
      <c r="AG13" s="328">
        <f t="shared" si="2"/>
        <v>470.83767</v>
      </c>
      <c r="AH13" s="328">
        <v>3.2149999999999999</v>
      </c>
      <c r="AI13" s="328">
        <f t="shared" si="3"/>
        <v>2952.1456699999999</v>
      </c>
      <c r="AM13" s="332">
        <f t="shared" si="6"/>
        <v>10</v>
      </c>
      <c r="AN13" s="146">
        <v>45555</v>
      </c>
      <c r="AO13" s="327">
        <v>6961.1450000000004</v>
      </c>
      <c r="AP13" s="327">
        <f t="shared" si="7"/>
        <v>1322.6175500000002</v>
      </c>
      <c r="AQ13" s="327">
        <f t="shared" si="8"/>
        <v>8283.7625500000013</v>
      </c>
      <c r="AU13" s="332">
        <f t="shared" si="9"/>
        <v>10</v>
      </c>
      <c r="AV13" s="146">
        <v>45570</v>
      </c>
      <c r="AW13" s="327">
        <v>2191.7739999999999</v>
      </c>
      <c r="AX13" s="327">
        <f t="shared" si="10"/>
        <v>416.43705999999997</v>
      </c>
      <c r="AY13" s="327">
        <f t="shared" si="13"/>
        <v>2610.2110599999996</v>
      </c>
      <c r="BC13" s="332">
        <f t="shared" si="11"/>
        <v>10</v>
      </c>
      <c r="BD13" s="550">
        <v>45636</v>
      </c>
      <c r="BE13" s="327">
        <v>4814.8230000000003</v>
      </c>
      <c r="BF13" s="327">
        <f t="shared" si="12"/>
        <v>914.81637000000012</v>
      </c>
      <c r="BG13" s="327">
        <f t="shared" si="14"/>
        <v>5731.6393700000008</v>
      </c>
      <c r="BK13" s="669" t="s">
        <v>1024</v>
      </c>
      <c r="BL13" s="670"/>
      <c r="BM13" s="671"/>
      <c r="BN13" s="161">
        <f>SUM(BN11:BN12)</f>
        <v>208333.33333333334</v>
      </c>
      <c r="BO13" s="162">
        <f>SUM(BO11:BO12)</f>
        <v>19960.937000000002</v>
      </c>
      <c r="BP13" s="353">
        <f t="shared" ref="BP13" si="16">SUM(BN13:BO13)</f>
        <v>228294.27033333335</v>
      </c>
      <c r="BQ13" s="163"/>
      <c r="BR13" s="164"/>
    </row>
    <row r="14" spans="1:93" ht="16.5" thickBot="1" x14ac:dyDescent="0.3">
      <c r="A14" s="142">
        <f t="shared" si="4"/>
        <v>11</v>
      </c>
      <c r="B14" s="143">
        <v>45026</v>
      </c>
      <c r="C14" s="144">
        <v>1412.47</v>
      </c>
      <c r="D14" s="144">
        <v>475.16500000000002</v>
      </c>
      <c r="E14" s="144">
        <f t="shared" si="0"/>
        <v>358.65064999999998</v>
      </c>
      <c r="F14" s="144">
        <v>2.2149999999999999</v>
      </c>
      <c r="G14" s="144">
        <f t="shared" si="1"/>
        <v>2248.50065</v>
      </c>
      <c r="J14" s="334">
        <v>11</v>
      </c>
      <c r="K14" s="335">
        <v>45163</v>
      </c>
      <c r="L14" s="328">
        <v>1142.588</v>
      </c>
      <c r="M14" s="328">
        <v>376.53500000000003</v>
      </c>
      <c r="N14" s="328">
        <v>288.63337000000001</v>
      </c>
      <c r="O14" s="328">
        <v>3.2149999999999999</v>
      </c>
      <c r="P14" s="328">
        <v>1810.97137</v>
      </c>
      <c r="S14" s="334">
        <v>11</v>
      </c>
      <c r="T14" s="335">
        <v>45194</v>
      </c>
      <c r="U14" s="328">
        <v>1238.7449999999999</v>
      </c>
      <c r="V14" s="328">
        <v>430.41500000000002</v>
      </c>
      <c r="W14" s="328">
        <v>317.1404</v>
      </c>
      <c r="X14" s="328">
        <v>3.2149999999999999</v>
      </c>
      <c r="Y14" s="328">
        <v>1989.5153999999998</v>
      </c>
      <c r="AC14" s="334">
        <f t="shared" si="5"/>
        <v>11</v>
      </c>
      <c r="AD14" s="335">
        <v>45255</v>
      </c>
      <c r="AE14" s="328">
        <v>1844.777</v>
      </c>
      <c r="AF14" s="328">
        <v>633.31600000000003</v>
      </c>
      <c r="AG14" s="328">
        <f t="shared" si="2"/>
        <v>470.83767</v>
      </c>
      <c r="AH14" s="328">
        <v>3.2149999999999999</v>
      </c>
      <c r="AI14" s="328">
        <f t="shared" si="3"/>
        <v>2952.1456699999999</v>
      </c>
      <c r="AM14" s="332">
        <f t="shared" si="6"/>
        <v>11</v>
      </c>
      <c r="AN14" s="146">
        <v>45585</v>
      </c>
      <c r="AO14" s="327">
        <v>6961.1450000000004</v>
      </c>
      <c r="AP14" s="327">
        <f t="shared" si="7"/>
        <v>1322.6175500000002</v>
      </c>
      <c r="AQ14" s="327">
        <f t="shared" si="8"/>
        <v>8283.7625500000013</v>
      </c>
      <c r="AU14" s="332">
        <f t="shared" si="9"/>
        <v>11</v>
      </c>
      <c r="AV14" s="146">
        <v>45601</v>
      </c>
      <c r="AW14" s="327">
        <v>2191.7739999999999</v>
      </c>
      <c r="AX14" s="327">
        <f t="shared" si="10"/>
        <v>416.43705999999997</v>
      </c>
      <c r="AY14" s="327">
        <f t="shared" si="13"/>
        <v>2610.2110599999996</v>
      </c>
      <c r="BC14" s="332">
        <f t="shared" si="11"/>
        <v>11</v>
      </c>
      <c r="BD14" s="550">
        <v>45667</v>
      </c>
      <c r="BE14" s="327">
        <v>4814.8230000000003</v>
      </c>
      <c r="BF14" s="327">
        <f t="shared" si="12"/>
        <v>914.81637000000012</v>
      </c>
      <c r="BG14" s="327">
        <f t="shared" si="14"/>
        <v>5731.6393700000008</v>
      </c>
      <c r="BK14" s="438" t="s">
        <v>430</v>
      </c>
      <c r="BL14" s="439">
        <v>1000000</v>
      </c>
      <c r="BM14" s="440">
        <v>45443</v>
      </c>
      <c r="BN14" s="442"/>
      <c r="BO14" s="443">
        <v>26194.444</v>
      </c>
      <c r="BP14" s="351">
        <f>SUM(BN14:BO14)</f>
        <v>26194.444</v>
      </c>
      <c r="BQ14" s="166"/>
      <c r="BR14" s="441"/>
    </row>
    <row r="15" spans="1:93" ht="16.5" thickBot="1" x14ac:dyDescent="0.3">
      <c r="A15" s="142">
        <f t="shared" si="4"/>
        <v>12</v>
      </c>
      <c r="B15" s="143">
        <v>45056</v>
      </c>
      <c r="C15" s="144">
        <v>1428.9490000000001</v>
      </c>
      <c r="D15" s="144">
        <v>458.68599999999998</v>
      </c>
      <c r="E15" s="144">
        <f t="shared" si="0"/>
        <v>358.65064999999998</v>
      </c>
      <c r="F15" s="144">
        <v>2.2149999999999999</v>
      </c>
      <c r="G15" s="144">
        <f t="shared" si="1"/>
        <v>2248.50065</v>
      </c>
      <c r="J15" s="334">
        <v>12</v>
      </c>
      <c r="K15" s="335">
        <v>45194</v>
      </c>
      <c r="L15" s="328">
        <v>1155.681</v>
      </c>
      <c r="M15" s="328">
        <v>363.44200000000001</v>
      </c>
      <c r="N15" s="328">
        <v>288.63337000000001</v>
      </c>
      <c r="O15" s="328">
        <v>3.2149999999999999</v>
      </c>
      <c r="P15" s="328">
        <v>1810.97137</v>
      </c>
      <c r="S15" s="334">
        <v>12</v>
      </c>
      <c r="T15" s="335">
        <v>45224</v>
      </c>
      <c r="U15" s="328">
        <v>1253.6099999999999</v>
      </c>
      <c r="V15" s="328">
        <v>415.55</v>
      </c>
      <c r="W15" s="328">
        <v>317.1404</v>
      </c>
      <c r="X15" s="328">
        <v>3.2149999999999999</v>
      </c>
      <c r="Y15" s="328">
        <v>1989.5153999999998</v>
      </c>
      <c r="AC15" s="334">
        <f t="shared" si="5"/>
        <v>12</v>
      </c>
      <c r="AD15" s="335">
        <v>45285</v>
      </c>
      <c r="AE15" s="328">
        <v>1866.684</v>
      </c>
      <c r="AF15" s="328">
        <v>611.40899999999999</v>
      </c>
      <c r="AG15" s="328">
        <f t="shared" si="2"/>
        <v>470.83767</v>
      </c>
      <c r="AH15" s="328">
        <v>3.2149999999999999</v>
      </c>
      <c r="AI15" s="328">
        <f t="shared" si="3"/>
        <v>2952.1456699999999</v>
      </c>
      <c r="AM15" s="332">
        <f t="shared" si="6"/>
        <v>12</v>
      </c>
      <c r="AN15" s="146">
        <v>45616</v>
      </c>
      <c r="AO15" s="327">
        <v>6961.1450000000004</v>
      </c>
      <c r="AP15" s="327">
        <f t="shared" si="7"/>
        <v>1322.6175500000002</v>
      </c>
      <c r="AQ15" s="327">
        <f t="shared" si="8"/>
        <v>8283.7625500000013</v>
      </c>
      <c r="AU15" s="332">
        <f t="shared" si="9"/>
        <v>12</v>
      </c>
      <c r="AV15" s="146">
        <v>45631</v>
      </c>
      <c r="AW15" s="327">
        <v>2191.7739999999999</v>
      </c>
      <c r="AX15" s="327">
        <f t="shared" si="10"/>
        <v>416.43705999999997</v>
      </c>
      <c r="AY15" s="327">
        <f t="shared" si="13"/>
        <v>2610.2110599999996</v>
      </c>
      <c r="BC15" s="332">
        <f t="shared" si="11"/>
        <v>12</v>
      </c>
      <c r="BD15" s="550">
        <v>45698</v>
      </c>
      <c r="BE15" s="327">
        <v>4814.8230000000003</v>
      </c>
      <c r="BF15" s="327">
        <f t="shared" si="12"/>
        <v>914.81637000000012</v>
      </c>
      <c r="BG15" s="327">
        <f t="shared" si="14"/>
        <v>5731.6393700000008</v>
      </c>
      <c r="BK15" s="669" t="s">
        <v>1025</v>
      </c>
      <c r="BL15" s="670"/>
      <c r="BM15" s="671"/>
      <c r="BN15" s="161">
        <f>SUM(BN14)</f>
        <v>0</v>
      </c>
      <c r="BO15" s="162">
        <f>SUM(BO14)</f>
        <v>26194.444</v>
      </c>
      <c r="BP15" s="353">
        <f>SUM(BN15:BO15)</f>
        <v>26194.444</v>
      </c>
      <c r="BQ15" s="163"/>
      <c r="BR15" s="164"/>
    </row>
    <row r="16" spans="1:93" x14ac:dyDescent="0.25">
      <c r="A16" s="142">
        <f t="shared" si="4"/>
        <v>13</v>
      </c>
      <c r="B16" s="143">
        <v>45087</v>
      </c>
      <c r="C16" s="144">
        <v>1445.62</v>
      </c>
      <c r="D16" s="144">
        <v>442.01499999999999</v>
      </c>
      <c r="E16" s="144">
        <f t="shared" si="0"/>
        <v>358.65064999999998</v>
      </c>
      <c r="F16" s="144">
        <v>2.2149999999999999</v>
      </c>
      <c r="G16" s="144">
        <f t="shared" si="1"/>
        <v>2248.50065</v>
      </c>
      <c r="J16" s="334">
        <v>13</v>
      </c>
      <c r="K16" s="335">
        <v>45224</v>
      </c>
      <c r="L16" s="328">
        <v>1168.923</v>
      </c>
      <c r="M16" s="328">
        <v>350.2</v>
      </c>
      <c r="N16" s="328">
        <v>288.63337000000001</v>
      </c>
      <c r="O16" s="328">
        <v>3.2149999999999999</v>
      </c>
      <c r="P16" s="328">
        <v>1810.97137</v>
      </c>
      <c r="S16" s="334">
        <v>13</v>
      </c>
      <c r="T16" s="335">
        <v>45255</v>
      </c>
      <c r="U16" s="328">
        <v>1268.654</v>
      </c>
      <c r="V16" s="328">
        <v>400.50599999999997</v>
      </c>
      <c r="W16" s="328">
        <v>317.1404</v>
      </c>
      <c r="X16" s="328">
        <v>3.2149999999999999</v>
      </c>
      <c r="Y16" s="328">
        <v>1989.5153999999998</v>
      </c>
      <c r="AC16" s="334">
        <f t="shared" si="5"/>
        <v>13</v>
      </c>
      <c r="AD16" s="335">
        <v>45316</v>
      </c>
      <c r="AE16" s="328">
        <v>1888.8510000000001</v>
      </c>
      <c r="AF16" s="328">
        <v>589.24199999999996</v>
      </c>
      <c r="AG16" s="328">
        <f t="shared" si="2"/>
        <v>470.83767</v>
      </c>
      <c r="AH16" s="328">
        <v>3.2149999999999999</v>
      </c>
      <c r="AI16" s="328">
        <f t="shared" si="3"/>
        <v>2952.1456699999999</v>
      </c>
      <c r="AM16" s="332">
        <f t="shared" si="6"/>
        <v>13</v>
      </c>
      <c r="AN16" s="146">
        <v>45646</v>
      </c>
      <c r="AO16" s="327">
        <v>6961.1450000000004</v>
      </c>
      <c r="AP16" s="327">
        <f t="shared" si="7"/>
        <v>1322.6175500000002</v>
      </c>
      <c r="AQ16" s="327">
        <f t="shared" si="8"/>
        <v>8283.7625500000013</v>
      </c>
      <c r="AU16" s="332">
        <f t="shared" si="9"/>
        <v>13</v>
      </c>
      <c r="AV16" s="146">
        <v>45662</v>
      </c>
      <c r="AW16" s="327">
        <v>2191.7739999999999</v>
      </c>
      <c r="AX16" s="327">
        <f t="shared" si="10"/>
        <v>416.43705999999997</v>
      </c>
      <c r="AY16" s="327">
        <f t="shared" si="13"/>
        <v>2610.2110599999996</v>
      </c>
      <c r="BC16" s="332">
        <f t="shared" si="11"/>
        <v>13</v>
      </c>
      <c r="BD16" s="550">
        <v>45726</v>
      </c>
      <c r="BE16" s="327">
        <v>4814.8230000000003</v>
      </c>
      <c r="BF16" s="327">
        <f t="shared" si="12"/>
        <v>914.81637000000012</v>
      </c>
      <c r="BG16" s="327">
        <f t="shared" si="14"/>
        <v>5731.6393700000008</v>
      </c>
      <c r="BK16" s="166" t="s">
        <v>430</v>
      </c>
      <c r="BL16" s="167">
        <v>2500000</v>
      </c>
      <c r="BM16" s="428">
        <v>45504</v>
      </c>
      <c r="BN16" s="429"/>
      <c r="BO16" s="430">
        <v>8827.3148148148175</v>
      </c>
      <c r="BP16" s="351">
        <f>SUM(BN16:BO16)</f>
        <v>8827.3148148148175</v>
      </c>
      <c r="BQ16" s="166"/>
      <c r="BR16" s="441"/>
    </row>
    <row r="17" spans="1:70" ht="16.5" thickBot="1" x14ac:dyDescent="0.3">
      <c r="A17" s="142">
        <f t="shared" si="4"/>
        <v>14</v>
      </c>
      <c r="B17" s="143">
        <v>45117</v>
      </c>
      <c r="C17" s="144">
        <v>1462.4860000000001</v>
      </c>
      <c r="D17" s="144">
        <v>425.149</v>
      </c>
      <c r="E17" s="144">
        <f t="shared" si="0"/>
        <v>358.65065000000004</v>
      </c>
      <c r="F17" s="144">
        <v>2.2149999999999999</v>
      </c>
      <c r="G17" s="144">
        <f t="shared" si="1"/>
        <v>2248.5006500000004</v>
      </c>
      <c r="J17" s="334">
        <v>14</v>
      </c>
      <c r="K17" s="335">
        <v>45255</v>
      </c>
      <c r="L17" s="328">
        <v>1182.317</v>
      </c>
      <c r="M17" s="328">
        <v>336.80599999999998</v>
      </c>
      <c r="N17" s="328">
        <v>288.63337000000001</v>
      </c>
      <c r="O17" s="328">
        <v>3.2149999999999999</v>
      </c>
      <c r="P17" s="328">
        <v>1810.97137</v>
      </c>
      <c r="S17" s="334">
        <v>14</v>
      </c>
      <c r="T17" s="335">
        <v>45285</v>
      </c>
      <c r="U17" s="328">
        <v>1283.8779999999999</v>
      </c>
      <c r="V17" s="328">
        <v>385.28199999999998</v>
      </c>
      <c r="W17" s="328">
        <v>317.1404</v>
      </c>
      <c r="X17" s="328">
        <v>3.2149999999999999</v>
      </c>
      <c r="Y17" s="328">
        <v>1989.5153999999998</v>
      </c>
      <c r="AC17" s="334">
        <f t="shared" si="5"/>
        <v>14</v>
      </c>
      <c r="AD17" s="335">
        <v>45347</v>
      </c>
      <c r="AE17" s="328">
        <v>1911.2809999999999</v>
      </c>
      <c r="AF17" s="328">
        <v>566.81200000000001</v>
      </c>
      <c r="AG17" s="328">
        <f t="shared" si="2"/>
        <v>470.83767</v>
      </c>
      <c r="AH17" s="328">
        <v>3.2149999999999999</v>
      </c>
      <c r="AI17" s="328">
        <f t="shared" si="3"/>
        <v>2952.1456699999999</v>
      </c>
      <c r="AM17" s="332">
        <f t="shared" si="6"/>
        <v>14</v>
      </c>
      <c r="AN17" s="146">
        <v>45677</v>
      </c>
      <c r="AO17" s="327">
        <v>6961.1450000000004</v>
      </c>
      <c r="AP17" s="327">
        <f t="shared" si="7"/>
        <v>1322.6175500000002</v>
      </c>
      <c r="AQ17" s="327">
        <f t="shared" si="8"/>
        <v>8283.7625500000013</v>
      </c>
      <c r="AU17" s="332">
        <f t="shared" si="9"/>
        <v>14</v>
      </c>
      <c r="AV17" s="146">
        <v>45693</v>
      </c>
      <c r="AW17" s="327">
        <v>2191.7739999999999</v>
      </c>
      <c r="AX17" s="327">
        <f t="shared" si="10"/>
        <v>416.43705999999997</v>
      </c>
      <c r="AY17" s="327">
        <f t="shared" si="13"/>
        <v>2610.2110599999996</v>
      </c>
      <c r="BC17" s="332">
        <f t="shared" si="11"/>
        <v>14</v>
      </c>
      <c r="BD17" s="550">
        <v>45757</v>
      </c>
      <c r="BE17" s="327">
        <v>4814.8230000000003</v>
      </c>
      <c r="BF17" s="327">
        <f t="shared" si="12"/>
        <v>914.81637000000012</v>
      </c>
      <c r="BG17" s="327">
        <f t="shared" si="14"/>
        <v>5731.6393700000008</v>
      </c>
      <c r="BK17" s="431" t="s">
        <v>430</v>
      </c>
      <c r="BL17" s="432">
        <v>1250000</v>
      </c>
      <c r="BM17" s="433">
        <v>45504</v>
      </c>
      <c r="BN17" s="434">
        <v>104166.667</v>
      </c>
      <c r="BO17" s="435">
        <v>7163.5420000000004</v>
      </c>
      <c r="BP17" s="436">
        <f>SUM(BN17:BO17)</f>
        <v>111330.209</v>
      </c>
      <c r="BQ17" s="431"/>
      <c r="BR17" s="437"/>
    </row>
    <row r="18" spans="1:70" ht="16.5" thickBot="1" x14ac:dyDescent="0.3">
      <c r="A18" s="142">
        <f t="shared" si="4"/>
        <v>15</v>
      </c>
      <c r="B18" s="143">
        <v>45148</v>
      </c>
      <c r="C18" s="144">
        <v>1479.548</v>
      </c>
      <c r="D18" s="144">
        <v>408.08699999999999</v>
      </c>
      <c r="E18" s="144">
        <f t="shared" si="0"/>
        <v>358.65064999999998</v>
      </c>
      <c r="F18" s="144">
        <v>2.2149999999999999</v>
      </c>
      <c r="G18" s="144">
        <f t="shared" si="1"/>
        <v>2248.50065</v>
      </c>
      <c r="J18" s="334">
        <v>15</v>
      </c>
      <c r="K18" s="335">
        <v>45285</v>
      </c>
      <c r="L18" s="328">
        <v>1195.864</v>
      </c>
      <c r="M18" s="328">
        <v>323.25900000000001</v>
      </c>
      <c r="N18" s="328">
        <v>288.63337000000001</v>
      </c>
      <c r="O18" s="328">
        <v>3.2149999999999999</v>
      </c>
      <c r="P18" s="328">
        <v>1810.97137</v>
      </c>
      <c r="S18" s="334">
        <v>15</v>
      </c>
      <c r="T18" s="335">
        <v>45316</v>
      </c>
      <c r="U18" s="328">
        <v>1299.2840000000001</v>
      </c>
      <c r="V18" s="328">
        <v>369.87599999999998</v>
      </c>
      <c r="W18" s="328">
        <v>317.1404</v>
      </c>
      <c r="X18" s="328">
        <v>3.2149999999999999</v>
      </c>
      <c r="Y18" s="328">
        <v>1989.5154</v>
      </c>
      <c r="AC18" s="334">
        <f t="shared" si="5"/>
        <v>15</v>
      </c>
      <c r="AD18" s="335">
        <v>45376</v>
      </c>
      <c r="AE18" s="328">
        <v>1933.9770000000001</v>
      </c>
      <c r="AF18" s="328">
        <v>544.11599999999999</v>
      </c>
      <c r="AG18" s="328">
        <f t="shared" si="2"/>
        <v>470.83767</v>
      </c>
      <c r="AH18" s="328">
        <v>3.2149999999999999</v>
      </c>
      <c r="AI18" s="328">
        <f t="shared" si="3"/>
        <v>2952.1456699999999</v>
      </c>
      <c r="AM18" s="332">
        <f t="shared" si="6"/>
        <v>15</v>
      </c>
      <c r="AN18" s="146">
        <v>45708</v>
      </c>
      <c r="AO18" s="327">
        <v>6961.1450000000004</v>
      </c>
      <c r="AP18" s="327">
        <f t="shared" si="7"/>
        <v>1322.6175500000002</v>
      </c>
      <c r="AQ18" s="327">
        <f t="shared" si="8"/>
        <v>8283.7625500000013</v>
      </c>
      <c r="AU18" s="332">
        <f t="shared" si="9"/>
        <v>15</v>
      </c>
      <c r="AV18" s="146">
        <v>45721</v>
      </c>
      <c r="AW18" s="327">
        <v>2191.7739999999999</v>
      </c>
      <c r="AX18" s="327">
        <f t="shared" si="10"/>
        <v>416.43705999999997</v>
      </c>
      <c r="AY18" s="327">
        <f t="shared" si="13"/>
        <v>2610.2110599999996</v>
      </c>
      <c r="BC18" s="332">
        <f t="shared" si="11"/>
        <v>15</v>
      </c>
      <c r="BD18" s="550">
        <v>45787</v>
      </c>
      <c r="BE18" s="327">
        <v>4814.8230000000003</v>
      </c>
      <c r="BF18" s="327">
        <f t="shared" si="12"/>
        <v>914.81637000000012</v>
      </c>
      <c r="BG18" s="327">
        <f t="shared" si="14"/>
        <v>5731.6393700000008</v>
      </c>
      <c r="BK18" s="669" t="s">
        <v>1026</v>
      </c>
      <c r="BL18" s="670"/>
      <c r="BM18" s="671"/>
      <c r="BN18" s="161">
        <f>SUM(BN16:BN17)</f>
        <v>104166.667</v>
      </c>
      <c r="BO18" s="162">
        <f>SUM(BO16:BO17)</f>
        <v>15990.856814814819</v>
      </c>
      <c r="BP18" s="354">
        <f>SUM(BP16:BP17)</f>
        <v>120157.52381481482</v>
      </c>
      <c r="BQ18" s="163"/>
      <c r="BR18" s="164"/>
    </row>
    <row r="19" spans="1:70" ht="16.5" thickBot="1" x14ac:dyDescent="0.3">
      <c r="A19" s="142">
        <f t="shared" si="4"/>
        <v>16</v>
      </c>
      <c r="B19" s="143">
        <v>45179</v>
      </c>
      <c r="C19" s="144">
        <v>1496.809</v>
      </c>
      <c r="D19" s="144">
        <v>390.82600000000002</v>
      </c>
      <c r="E19" s="144">
        <f t="shared" si="0"/>
        <v>358.65064999999998</v>
      </c>
      <c r="F19" s="144">
        <v>2.2149999999999999</v>
      </c>
      <c r="G19" s="144">
        <f t="shared" si="1"/>
        <v>2248.50065</v>
      </c>
      <c r="J19" s="334">
        <v>16</v>
      </c>
      <c r="K19" s="335">
        <v>45316</v>
      </c>
      <c r="L19" s="328">
        <v>1209.567</v>
      </c>
      <c r="M19" s="328">
        <v>309.55599999999998</v>
      </c>
      <c r="N19" s="328">
        <v>288.63337000000001</v>
      </c>
      <c r="O19" s="328">
        <v>3.2149999999999999</v>
      </c>
      <c r="P19" s="328">
        <v>1810.97137</v>
      </c>
      <c r="S19" s="334">
        <v>16</v>
      </c>
      <c r="T19" s="335">
        <v>45347</v>
      </c>
      <c r="U19" s="328">
        <v>1314.875</v>
      </c>
      <c r="V19" s="328">
        <v>354.28500000000003</v>
      </c>
      <c r="W19" s="328">
        <v>317.1404</v>
      </c>
      <c r="X19" s="328">
        <v>3.2149999999999999</v>
      </c>
      <c r="Y19" s="328">
        <v>1989.5154</v>
      </c>
      <c r="AC19" s="334">
        <f t="shared" si="5"/>
        <v>16</v>
      </c>
      <c r="AD19" s="335">
        <v>45407</v>
      </c>
      <c r="AE19" s="328">
        <v>1956.943</v>
      </c>
      <c r="AF19" s="328">
        <v>521.15</v>
      </c>
      <c r="AG19" s="328">
        <f t="shared" si="2"/>
        <v>470.83767</v>
      </c>
      <c r="AH19" s="328">
        <v>3.2149999999999999</v>
      </c>
      <c r="AI19" s="328">
        <f t="shared" si="3"/>
        <v>2952.1456699999999</v>
      </c>
      <c r="AM19" s="332">
        <f t="shared" si="6"/>
        <v>16</v>
      </c>
      <c r="AN19" s="146">
        <v>45736</v>
      </c>
      <c r="AO19" s="327">
        <v>6961.1450000000004</v>
      </c>
      <c r="AP19" s="327">
        <f t="shared" si="7"/>
        <v>1322.6175500000002</v>
      </c>
      <c r="AQ19" s="327">
        <f t="shared" si="8"/>
        <v>8283.7625500000013</v>
      </c>
      <c r="AU19" s="332">
        <f t="shared" si="9"/>
        <v>16</v>
      </c>
      <c r="AV19" s="146">
        <v>45752</v>
      </c>
      <c r="AW19" s="327">
        <v>2191.7739999999999</v>
      </c>
      <c r="AX19" s="327">
        <f t="shared" si="10"/>
        <v>416.43705999999997</v>
      </c>
      <c r="AY19" s="327">
        <f t="shared" si="13"/>
        <v>2610.2110599999996</v>
      </c>
      <c r="BC19" s="332">
        <f t="shared" si="11"/>
        <v>16</v>
      </c>
      <c r="BD19" s="550">
        <v>45818</v>
      </c>
      <c r="BE19" s="327">
        <v>4814.8230000000003</v>
      </c>
      <c r="BF19" s="327">
        <f t="shared" si="12"/>
        <v>914.81637000000012</v>
      </c>
      <c r="BG19" s="327">
        <f t="shared" si="14"/>
        <v>5731.6393700000008</v>
      </c>
      <c r="BK19" s="438" t="s">
        <v>430</v>
      </c>
      <c r="BL19" s="439">
        <v>1000000</v>
      </c>
      <c r="BM19" s="440">
        <v>45535</v>
      </c>
      <c r="BN19" s="442"/>
      <c r="BO19" s="443">
        <v>26194.444</v>
      </c>
      <c r="BP19" s="351">
        <f>SUM(BN19:BO19)</f>
        <v>26194.444</v>
      </c>
      <c r="BQ19" s="431"/>
      <c r="BR19" s="437"/>
    </row>
    <row r="20" spans="1:70" ht="16.5" thickBot="1" x14ac:dyDescent="0.3">
      <c r="A20" s="142">
        <f t="shared" si="4"/>
        <v>17</v>
      </c>
      <c r="B20" s="143">
        <v>45209</v>
      </c>
      <c r="C20" s="144">
        <v>1514.2719999999999</v>
      </c>
      <c r="D20" s="144">
        <v>373.363</v>
      </c>
      <c r="E20" s="144">
        <f t="shared" si="0"/>
        <v>358.65064999999998</v>
      </c>
      <c r="F20" s="144">
        <v>2.2149999999999999</v>
      </c>
      <c r="G20" s="144">
        <f t="shared" si="1"/>
        <v>2248.50065</v>
      </c>
      <c r="J20" s="334">
        <v>17</v>
      </c>
      <c r="K20" s="335">
        <v>45347</v>
      </c>
      <c r="L20" s="328">
        <v>1223.4259999999999</v>
      </c>
      <c r="M20" s="328">
        <v>295.697</v>
      </c>
      <c r="N20" s="328">
        <v>288.63337000000001</v>
      </c>
      <c r="O20" s="328">
        <v>3.2149999999999999</v>
      </c>
      <c r="P20" s="328">
        <v>1810.97137</v>
      </c>
      <c r="S20" s="334">
        <v>17</v>
      </c>
      <c r="T20" s="335">
        <v>45376</v>
      </c>
      <c r="U20" s="328">
        <v>1330.654</v>
      </c>
      <c r="V20" s="328">
        <v>338.50599999999997</v>
      </c>
      <c r="W20" s="328">
        <v>317.1404</v>
      </c>
      <c r="X20" s="328">
        <v>3.2149999999999999</v>
      </c>
      <c r="Y20" s="328">
        <v>1989.5153999999998</v>
      </c>
      <c r="AC20" s="332">
        <f t="shared" si="5"/>
        <v>17</v>
      </c>
      <c r="AD20" s="333">
        <v>45437</v>
      </c>
      <c r="AE20" s="327">
        <v>1980.182</v>
      </c>
      <c r="AF20" s="327">
        <v>497.911</v>
      </c>
      <c r="AG20" s="327">
        <f t="shared" si="2"/>
        <v>470.83767</v>
      </c>
      <c r="AH20" s="327">
        <v>3.2149999999999999</v>
      </c>
      <c r="AI20" s="327">
        <f t="shared" si="3"/>
        <v>2952.1456699999999</v>
      </c>
      <c r="AM20" s="332">
        <f t="shared" si="6"/>
        <v>17</v>
      </c>
      <c r="AN20" s="146">
        <v>45767</v>
      </c>
      <c r="AO20" s="327">
        <v>6961.1450000000004</v>
      </c>
      <c r="AP20" s="327">
        <f t="shared" si="7"/>
        <v>1322.6175500000002</v>
      </c>
      <c r="AQ20" s="327">
        <f t="shared" si="8"/>
        <v>8283.7625500000013</v>
      </c>
      <c r="AU20" s="332">
        <f t="shared" si="9"/>
        <v>17</v>
      </c>
      <c r="AV20" s="146">
        <v>45782</v>
      </c>
      <c r="AW20" s="327">
        <v>2191.7739999999999</v>
      </c>
      <c r="AX20" s="327">
        <f t="shared" si="10"/>
        <v>416.43705999999997</v>
      </c>
      <c r="AY20" s="327">
        <f t="shared" si="13"/>
        <v>2610.2110599999996</v>
      </c>
      <c r="BC20" s="332">
        <f t="shared" si="11"/>
        <v>17</v>
      </c>
      <c r="BD20" s="550">
        <v>45848</v>
      </c>
      <c r="BE20" s="327">
        <v>4814.8230000000003</v>
      </c>
      <c r="BF20" s="327">
        <f t="shared" si="12"/>
        <v>914.81637000000012</v>
      </c>
      <c r="BG20" s="327">
        <f t="shared" si="14"/>
        <v>5731.6393700000008</v>
      </c>
      <c r="BK20" s="669" t="s">
        <v>1027</v>
      </c>
      <c r="BL20" s="670"/>
      <c r="BM20" s="671"/>
      <c r="BN20" s="161">
        <f>SUM(BN19:BN19)</f>
        <v>0</v>
      </c>
      <c r="BO20" s="162">
        <f>SUM(BO19:BO19)</f>
        <v>26194.444</v>
      </c>
      <c r="BP20" s="354">
        <f>SUM(BP19)</f>
        <v>26194.444</v>
      </c>
      <c r="BQ20" s="163"/>
      <c r="BR20" s="164"/>
    </row>
    <row r="21" spans="1:70" x14ac:dyDescent="0.25">
      <c r="A21" s="142">
        <f t="shared" si="4"/>
        <v>18</v>
      </c>
      <c r="B21" s="143">
        <v>45240</v>
      </c>
      <c r="C21" s="144">
        <v>1531.9390000000001</v>
      </c>
      <c r="D21" s="144">
        <v>355.69600000000003</v>
      </c>
      <c r="E21" s="144">
        <f t="shared" si="0"/>
        <v>358.65065000000004</v>
      </c>
      <c r="F21" s="144">
        <v>2.2149999999999999</v>
      </c>
      <c r="G21" s="144">
        <f t="shared" si="1"/>
        <v>2248.5006500000004</v>
      </c>
      <c r="J21" s="334">
        <v>18</v>
      </c>
      <c r="K21" s="335">
        <v>45376</v>
      </c>
      <c r="L21" s="328">
        <v>1237.4449999999999</v>
      </c>
      <c r="M21" s="328">
        <v>281.678</v>
      </c>
      <c r="N21" s="328">
        <v>288.63337000000001</v>
      </c>
      <c r="O21" s="328">
        <v>3.2149999999999999</v>
      </c>
      <c r="P21" s="328">
        <v>1810.97137</v>
      </c>
      <c r="S21" s="334">
        <v>18</v>
      </c>
      <c r="T21" s="335">
        <v>45407</v>
      </c>
      <c r="U21" s="328">
        <v>1346.6220000000001</v>
      </c>
      <c r="V21" s="328">
        <v>322.53800000000001</v>
      </c>
      <c r="W21" s="328">
        <v>317.1404</v>
      </c>
      <c r="X21" s="328">
        <v>3.2149999999999999</v>
      </c>
      <c r="Y21" s="328">
        <v>1989.5154</v>
      </c>
      <c r="AC21" s="332">
        <f t="shared" si="5"/>
        <v>18</v>
      </c>
      <c r="AD21" s="333">
        <v>45468</v>
      </c>
      <c r="AE21" s="327">
        <v>2003.6969999999999</v>
      </c>
      <c r="AF21" s="327">
        <v>474.39600000000002</v>
      </c>
      <c r="AG21" s="327">
        <f t="shared" si="2"/>
        <v>470.83767</v>
      </c>
      <c r="AH21" s="327">
        <v>3.2149999999999999</v>
      </c>
      <c r="AI21" s="327">
        <f t="shared" si="3"/>
        <v>2952.1456699999999</v>
      </c>
      <c r="AM21" s="332">
        <f t="shared" si="6"/>
        <v>18</v>
      </c>
      <c r="AN21" s="146">
        <v>45797</v>
      </c>
      <c r="AO21" s="327">
        <v>6961.1450000000004</v>
      </c>
      <c r="AP21" s="327">
        <f t="shared" si="7"/>
        <v>1322.6175500000002</v>
      </c>
      <c r="AQ21" s="327">
        <f t="shared" si="8"/>
        <v>8283.7625500000013</v>
      </c>
      <c r="AU21" s="332">
        <f t="shared" si="9"/>
        <v>18</v>
      </c>
      <c r="AV21" s="146">
        <v>45813</v>
      </c>
      <c r="AW21" s="327">
        <v>2191.7739999999999</v>
      </c>
      <c r="AX21" s="327">
        <f t="shared" si="10"/>
        <v>416.43705999999997</v>
      </c>
      <c r="AY21" s="327">
        <f t="shared" si="13"/>
        <v>2610.2110599999996</v>
      </c>
      <c r="BC21" s="332">
        <f t="shared" si="11"/>
        <v>18</v>
      </c>
      <c r="BD21" s="550">
        <v>45879</v>
      </c>
      <c r="BE21" s="327">
        <v>4814.8230000000003</v>
      </c>
      <c r="BF21" s="327">
        <f t="shared" si="12"/>
        <v>914.81637000000012</v>
      </c>
      <c r="BG21" s="327">
        <f t="shared" si="14"/>
        <v>5731.6393700000008</v>
      </c>
      <c r="BK21" s="166" t="s">
        <v>430</v>
      </c>
      <c r="BL21" s="167">
        <v>2500000</v>
      </c>
      <c r="BM21" s="428">
        <v>45596</v>
      </c>
      <c r="BN21" s="429">
        <v>208333.33333333334</v>
      </c>
      <c r="BO21" s="430">
        <v>8827.3148148148175</v>
      </c>
      <c r="BP21" s="351">
        <f>SUM(BN21:BO21)</f>
        <v>217160.64814814815</v>
      </c>
      <c r="BQ21" s="166"/>
      <c r="BR21" s="441"/>
    </row>
    <row r="22" spans="1:70" ht="16.5" thickBot="1" x14ac:dyDescent="0.3">
      <c r="A22" s="142">
        <f t="shared" si="4"/>
        <v>19</v>
      </c>
      <c r="B22" s="143">
        <v>45270</v>
      </c>
      <c r="C22" s="144">
        <v>1549.8109999999999</v>
      </c>
      <c r="D22" s="144">
        <v>337.82400000000001</v>
      </c>
      <c r="E22" s="144">
        <f t="shared" si="0"/>
        <v>358.65064999999998</v>
      </c>
      <c r="F22" s="144">
        <v>2.2149999999999999</v>
      </c>
      <c r="G22" s="144">
        <f t="shared" si="1"/>
        <v>2248.50065</v>
      </c>
      <c r="J22" s="334">
        <v>19</v>
      </c>
      <c r="K22" s="335">
        <v>45407</v>
      </c>
      <c r="L22" s="328">
        <v>1251.624</v>
      </c>
      <c r="M22" s="328">
        <v>267.49900000000002</v>
      </c>
      <c r="N22" s="328">
        <v>288.63337000000001</v>
      </c>
      <c r="O22" s="328">
        <v>3.2149999999999999</v>
      </c>
      <c r="P22" s="328">
        <v>1810.97137</v>
      </c>
      <c r="S22" s="332">
        <v>19</v>
      </c>
      <c r="T22" s="333">
        <v>45437</v>
      </c>
      <c r="U22" s="327">
        <v>1362.7809999999999</v>
      </c>
      <c r="V22" s="327">
        <v>306.37900000000002</v>
      </c>
      <c r="W22" s="327">
        <v>317.1404</v>
      </c>
      <c r="X22" s="327">
        <v>3.2149999999999999</v>
      </c>
      <c r="Y22" s="327">
        <v>1989.5153999999998</v>
      </c>
      <c r="AC22" s="332">
        <f t="shared" si="5"/>
        <v>19</v>
      </c>
      <c r="AD22" s="333">
        <v>45498</v>
      </c>
      <c r="AE22" s="327">
        <v>2027.49</v>
      </c>
      <c r="AF22" s="327">
        <v>450.60300000000001</v>
      </c>
      <c r="AG22" s="327">
        <f t="shared" si="2"/>
        <v>470.83767</v>
      </c>
      <c r="AH22" s="327">
        <v>3.2149999999999999</v>
      </c>
      <c r="AI22" s="327">
        <f t="shared" si="3"/>
        <v>2952.1456699999999</v>
      </c>
      <c r="AM22" s="332">
        <f t="shared" si="6"/>
        <v>19</v>
      </c>
      <c r="AN22" s="146">
        <v>45828</v>
      </c>
      <c r="AO22" s="327">
        <v>6961.1450000000004</v>
      </c>
      <c r="AP22" s="327">
        <f t="shared" si="7"/>
        <v>1322.6175500000002</v>
      </c>
      <c r="AQ22" s="327">
        <f t="shared" si="8"/>
        <v>8283.7625500000013</v>
      </c>
      <c r="AU22" s="332">
        <f t="shared" si="9"/>
        <v>19</v>
      </c>
      <c r="AV22" s="146">
        <v>45843</v>
      </c>
      <c r="AW22" s="327">
        <v>2191.7739999999999</v>
      </c>
      <c r="AX22" s="327">
        <f t="shared" si="10"/>
        <v>416.43705999999997</v>
      </c>
      <c r="AY22" s="327">
        <f t="shared" si="13"/>
        <v>2610.2110599999996</v>
      </c>
      <c r="BC22" s="332">
        <f t="shared" si="11"/>
        <v>19</v>
      </c>
      <c r="BD22" s="550">
        <v>45910</v>
      </c>
      <c r="BE22" s="327">
        <v>4814.8230000000003</v>
      </c>
      <c r="BF22" s="327">
        <f t="shared" si="12"/>
        <v>914.81637000000012</v>
      </c>
      <c r="BG22" s="327">
        <f t="shared" si="14"/>
        <v>5731.6393700000008</v>
      </c>
      <c r="BK22" s="431" t="s">
        <v>430</v>
      </c>
      <c r="BL22" s="432">
        <v>1250000</v>
      </c>
      <c r="BM22" s="433">
        <v>45596</v>
      </c>
      <c r="BN22" s="434"/>
      <c r="BO22" s="435">
        <v>4775.6940000000004</v>
      </c>
      <c r="BP22" s="436">
        <f>SUM(BN22:BO22)</f>
        <v>4775.6940000000004</v>
      </c>
      <c r="BQ22" s="431"/>
      <c r="BR22" s="437"/>
    </row>
    <row r="23" spans="1:70" ht="16.5" thickBot="1" x14ac:dyDescent="0.3">
      <c r="A23" s="142">
        <f t="shared" si="4"/>
        <v>20</v>
      </c>
      <c r="B23" s="143">
        <v>45301</v>
      </c>
      <c r="C23" s="144">
        <v>1567.8920000000001</v>
      </c>
      <c r="D23" s="144">
        <v>319.74299999999999</v>
      </c>
      <c r="E23" s="144">
        <f t="shared" si="0"/>
        <v>358.65064999999998</v>
      </c>
      <c r="F23" s="144">
        <v>2.2149999999999999</v>
      </c>
      <c r="G23" s="144">
        <f t="shared" si="1"/>
        <v>2248.50065</v>
      </c>
      <c r="J23" s="332">
        <v>20</v>
      </c>
      <c r="K23" s="333">
        <v>45437</v>
      </c>
      <c r="L23" s="327">
        <v>1265.9649999999999</v>
      </c>
      <c r="M23" s="327">
        <v>253.15799999999999</v>
      </c>
      <c r="N23" s="327">
        <v>288.63336999999996</v>
      </c>
      <c r="O23" s="327">
        <v>3.2149999999999999</v>
      </c>
      <c r="P23" s="327">
        <v>1810.9713699999998</v>
      </c>
      <c r="S23" s="332">
        <v>20</v>
      </c>
      <c r="T23" s="333">
        <v>45468</v>
      </c>
      <c r="U23" s="327">
        <v>1379.135</v>
      </c>
      <c r="V23" s="327">
        <v>290.02499999999998</v>
      </c>
      <c r="W23" s="327">
        <v>317.1404</v>
      </c>
      <c r="X23" s="327">
        <v>3.2149999999999999</v>
      </c>
      <c r="Y23" s="327">
        <v>1989.5153999999998</v>
      </c>
      <c r="AC23" s="332">
        <f t="shared" si="5"/>
        <v>20</v>
      </c>
      <c r="AD23" s="333">
        <v>45529</v>
      </c>
      <c r="AE23" s="327">
        <v>2051.567</v>
      </c>
      <c r="AF23" s="327">
        <v>426.52600000000001</v>
      </c>
      <c r="AG23" s="327">
        <f t="shared" si="2"/>
        <v>470.83767</v>
      </c>
      <c r="AH23" s="327">
        <v>3.2149999999999999</v>
      </c>
      <c r="AI23" s="327">
        <f t="shared" si="3"/>
        <v>2952.1456699999999</v>
      </c>
      <c r="AM23" s="332">
        <f t="shared" si="6"/>
        <v>20</v>
      </c>
      <c r="AN23" s="146">
        <v>45858</v>
      </c>
      <c r="AO23" s="327">
        <v>6961.1450000000004</v>
      </c>
      <c r="AP23" s="327">
        <f t="shared" si="7"/>
        <v>1322.6175500000002</v>
      </c>
      <c r="AQ23" s="327">
        <f t="shared" si="8"/>
        <v>8283.7625500000013</v>
      </c>
      <c r="AU23" s="332">
        <f t="shared" si="9"/>
        <v>20</v>
      </c>
      <c r="AV23" s="146">
        <v>45874</v>
      </c>
      <c r="AW23" s="327">
        <v>2191.7739999999999</v>
      </c>
      <c r="AX23" s="327">
        <f t="shared" si="10"/>
        <v>416.43705999999997</v>
      </c>
      <c r="AY23" s="327">
        <f t="shared" si="13"/>
        <v>2610.2110599999996</v>
      </c>
      <c r="BC23" s="332">
        <f t="shared" si="11"/>
        <v>20</v>
      </c>
      <c r="BD23" s="550">
        <v>45940</v>
      </c>
      <c r="BE23" s="327">
        <v>4814.8230000000003</v>
      </c>
      <c r="BF23" s="327">
        <f t="shared" si="12"/>
        <v>914.81637000000012</v>
      </c>
      <c r="BG23" s="327">
        <f t="shared" si="14"/>
        <v>5731.6393700000008</v>
      </c>
      <c r="BK23" s="696" t="s">
        <v>1028</v>
      </c>
      <c r="BL23" s="697"/>
      <c r="BM23" s="698"/>
      <c r="BN23" s="161">
        <f>SUM(BN21:BN22)</f>
        <v>208333.33333333334</v>
      </c>
      <c r="BO23" s="162">
        <f>SUM(BO21:BO22)</f>
        <v>13603.008814814817</v>
      </c>
      <c r="BP23" s="353">
        <f>SUM(BN23:BO23)</f>
        <v>221936.34214814816</v>
      </c>
      <c r="BQ23" s="163"/>
      <c r="BR23" s="164"/>
    </row>
    <row r="24" spans="1:70" ht="16.5" thickBot="1" x14ac:dyDescent="0.3">
      <c r="A24" s="142">
        <f t="shared" si="4"/>
        <v>21</v>
      </c>
      <c r="B24" s="143">
        <v>45332</v>
      </c>
      <c r="C24" s="144">
        <v>1586.1849999999999</v>
      </c>
      <c r="D24" s="144">
        <v>301.45</v>
      </c>
      <c r="E24" s="144">
        <f t="shared" si="0"/>
        <v>358.65064999999998</v>
      </c>
      <c r="F24" s="144">
        <v>2.2149999999999999</v>
      </c>
      <c r="G24" s="144">
        <f t="shared" si="1"/>
        <v>2248.50065</v>
      </c>
      <c r="J24" s="332">
        <v>21</v>
      </c>
      <c r="K24" s="333">
        <v>45468</v>
      </c>
      <c r="L24" s="327">
        <v>1280.471</v>
      </c>
      <c r="M24" s="327">
        <v>238.65199999999999</v>
      </c>
      <c r="N24" s="327">
        <v>288.63337000000001</v>
      </c>
      <c r="O24" s="327">
        <v>3.2149999999999999</v>
      </c>
      <c r="P24" s="327">
        <v>1810.97137</v>
      </c>
      <c r="S24" s="332">
        <v>21</v>
      </c>
      <c r="T24" s="333">
        <v>45498</v>
      </c>
      <c r="U24" s="327">
        <v>1395.684</v>
      </c>
      <c r="V24" s="327">
        <v>273.476</v>
      </c>
      <c r="W24" s="327">
        <v>317.1404</v>
      </c>
      <c r="X24" s="327">
        <v>3.2149999999999999</v>
      </c>
      <c r="Y24" s="327">
        <v>1989.5153999999998</v>
      </c>
      <c r="AC24" s="332">
        <f t="shared" si="5"/>
        <v>21</v>
      </c>
      <c r="AD24" s="333">
        <v>45560</v>
      </c>
      <c r="AE24" s="327">
        <v>2075.9290000000001</v>
      </c>
      <c r="AF24" s="327">
        <v>402.16399999999999</v>
      </c>
      <c r="AG24" s="327">
        <f t="shared" si="2"/>
        <v>470.83767</v>
      </c>
      <c r="AH24" s="327">
        <v>3.2149999999999999</v>
      </c>
      <c r="AI24" s="327">
        <f t="shared" si="3"/>
        <v>2952.1456699999999</v>
      </c>
      <c r="AM24" s="332">
        <f t="shared" si="6"/>
        <v>21</v>
      </c>
      <c r="AN24" s="146">
        <v>45889</v>
      </c>
      <c r="AO24" s="327">
        <v>6961.1450000000004</v>
      </c>
      <c r="AP24" s="327">
        <f t="shared" si="7"/>
        <v>1322.6175500000002</v>
      </c>
      <c r="AQ24" s="327">
        <f t="shared" si="8"/>
        <v>8283.7625500000013</v>
      </c>
      <c r="AU24" s="332">
        <f t="shared" si="9"/>
        <v>21</v>
      </c>
      <c r="AV24" s="146">
        <v>45905</v>
      </c>
      <c r="AW24" s="327">
        <v>2191.7739999999999</v>
      </c>
      <c r="AX24" s="327">
        <f t="shared" si="10"/>
        <v>416.43705999999997</v>
      </c>
      <c r="AY24" s="327">
        <f t="shared" si="13"/>
        <v>2610.2110599999996</v>
      </c>
      <c r="BC24" s="332">
        <f t="shared" si="11"/>
        <v>21</v>
      </c>
      <c r="BD24" s="550">
        <v>45971</v>
      </c>
      <c r="BE24" s="327">
        <v>4814.8230000000003</v>
      </c>
      <c r="BF24" s="327">
        <f t="shared" si="12"/>
        <v>914.81637000000012</v>
      </c>
      <c r="BG24" s="327">
        <f t="shared" si="14"/>
        <v>5731.6393700000008</v>
      </c>
      <c r="BK24" s="438" t="s">
        <v>430</v>
      </c>
      <c r="BL24" s="439">
        <v>1000000</v>
      </c>
      <c r="BM24" s="440">
        <v>45626</v>
      </c>
      <c r="BN24" s="442"/>
      <c r="BO24" s="443">
        <v>25909.722000000002</v>
      </c>
      <c r="BP24" s="351">
        <f>SUM(BN24:BO24)</f>
        <v>25909.722000000002</v>
      </c>
      <c r="BQ24" s="431"/>
      <c r="BR24" s="437"/>
    </row>
    <row r="25" spans="1:70" ht="16.5" thickBot="1" x14ac:dyDescent="0.3">
      <c r="A25" s="142">
        <f t="shared" si="4"/>
        <v>22</v>
      </c>
      <c r="B25" s="143">
        <v>45361</v>
      </c>
      <c r="C25" s="144">
        <v>1604.69</v>
      </c>
      <c r="D25" s="144">
        <v>282.94499999999999</v>
      </c>
      <c r="E25" s="144">
        <f t="shared" si="0"/>
        <v>358.65064999999998</v>
      </c>
      <c r="F25" s="144">
        <v>2.2149999999999999</v>
      </c>
      <c r="G25" s="144">
        <f t="shared" si="1"/>
        <v>2248.50065</v>
      </c>
      <c r="J25" s="332">
        <v>22</v>
      </c>
      <c r="K25" s="333">
        <v>45498</v>
      </c>
      <c r="L25" s="327">
        <v>1295.143</v>
      </c>
      <c r="M25" s="327">
        <v>223.98</v>
      </c>
      <c r="N25" s="327">
        <v>288.63337000000001</v>
      </c>
      <c r="O25" s="327">
        <v>3.2149999999999999</v>
      </c>
      <c r="P25" s="327">
        <v>1810.97137</v>
      </c>
      <c r="S25" s="332">
        <v>22</v>
      </c>
      <c r="T25" s="333">
        <v>45529</v>
      </c>
      <c r="U25" s="327">
        <v>1412.432</v>
      </c>
      <c r="V25" s="327">
        <v>256.72800000000001</v>
      </c>
      <c r="W25" s="327">
        <v>317.1404</v>
      </c>
      <c r="X25" s="327">
        <v>3.2149999999999999</v>
      </c>
      <c r="Y25" s="327">
        <v>1989.5154</v>
      </c>
      <c r="AC25" s="332">
        <f t="shared" si="5"/>
        <v>22</v>
      </c>
      <c r="AD25" s="333">
        <v>45590</v>
      </c>
      <c r="AE25" s="327">
        <v>2100.5810000000001</v>
      </c>
      <c r="AF25" s="327">
        <v>377.512</v>
      </c>
      <c r="AG25" s="327">
        <f t="shared" si="2"/>
        <v>470.83767000000006</v>
      </c>
      <c r="AH25" s="327">
        <v>3.2149999999999999</v>
      </c>
      <c r="AI25" s="327">
        <f t="shared" si="3"/>
        <v>2952.1456700000003</v>
      </c>
      <c r="AM25" s="332">
        <f t="shared" si="6"/>
        <v>22</v>
      </c>
      <c r="AN25" s="146">
        <v>45920</v>
      </c>
      <c r="AO25" s="327">
        <v>6961.1450000000004</v>
      </c>
      <c r="AP25" s="327">
        <f t="shared" si="7"/>
        <v>1322.6175500000002</v>
      </c>
      <c r="AQ25" s="327">
        <f t="shared" si="8"/>
        <v>8283.7625500000013</v>
      </c>
      <c r="AU25" s="332">
        <f t="shared" si="9"/>
        <v>22</v>
      </c>
      <c r="AV25" s="146">
        <v>45935</v>
      </c>
      <c r="AW25" s="327">
        <v>2191.7739999999999</v>
      </c>
      <c r="AX25" s="327">
        <f t="shared" si="10"/>
        <v>416.43705999999997</v>
      </c>
      <c r="AY25" s="327">
        <f t="shared" si="13"/>
        <v>2610.2110599999996</v>
      </c>
      <c r="BC25" s="332">
        <f t="shared" si="11"/>
        <v>22</v>
      </c>
      <c r="BD25" s="550">
        <v>46001</v>
      </c>
      <c r="BE25" s="327">
        <v>4814.8230000000003</v>
      </c>
      <c r="BF25" s="327">
        <f t="shared" si="12"/>
        <v>914.81637000000012</v>
      </c>
      <c r="BG25" s="327">
        <f t="shared" si="14"/>
        <v>5731.6393700000008</v>
      </c>
      <c r="BK25" s="669" t="s">
        <v>1029</v>
      </c>
      <c r="BL25" s="670"/>
      <c r="BM25" s="671"/>
      <c r="BN25" s="161">
        <f>SUM(BN24:BN24)</f>
        <v>0</v>
      </c>
      <c r="BO25" s="162">
        <f>SUM(BO24:BO24)</f>
        <v>25909.722000000002</v>
      </c>
      <c r="BP25" s="354">
        <f>SUM(BP24)</f>
        <v>25909.722000000002</v>
      </c>
      <c r="BQ25" s="163"/>
      <c r="BR25" s="164"/>
    </row>
    <row r="26" spans="1:70" ht="16.5" thickBot="1" x14ac:dyDescent="0.3">
      <c r="A26" s="142">
        <f t="shared" si="4"/>
        <v>23</v>
      </c>
      <c r="B26" s="143">
        <v>45392</v>
      </c>
      <c r="C26" s="144">
        <v>1623.4110000000001</v>
      </c>
      <c r="D26" s="144">
        <v>264.22399999999999</v>
      </c>
      <c r="E26" s="144">
        <f t="shared" si="0"/>
        <v>358.65064999999998</v>
      </c>
      <c r="F26" s="144">
        <v>2.2149999999999999</v>
      </c>
      <c r="G26" s="144">
        <f t="shared" si="1"/>
        <v>2248.50065</v>
      </c>
      <c r="J26" s="332">
        <v>23</v>
      </c>
      <c r="K26" s="333">
        <v>45529</v>
      </c>
      <c r="L26" s="327">
        <v>1309.9829999999999</v>
      </c>
      <c r="M26" s="327">
        <v>209.14</v>
      </c>
      <c r="N26" s="327">
        <v>288.63337000000001</v>
      </c>
      <c r="O26" s="327">
        <v>3.2149999999999999</v>
      </c>
      <c r="P26" s="327">
        <v>1810.97137</v>
      </c>
      <c r="S26" s="332">
        <v>23</v>
      </c>
      <c r="T26" s="333">
        <v>45560</v>
      </c>
      <c r="U26" s="327">
        <v>1429.3820000000001</v>
      </c>
      <c r="V26" s="327">
        <v>239.77799999999999</v>
      </c>
      <c r="W26" s="327">
        <v>317.1404</v>
      </c>
      <c r="X26" s="327">
        <v>3.2149999999999999</v>
      </c>
      <c r="Y26" s="327">
        <v>1989.5154</v>
      </c>
      <c r="AC26" s="332">
        <f t="shared" si="5"/>
        <v>23</v>
      </c>
      <c r="AD26" s="333">
        <v>45621</v>
      </c>
      <c r="AE26" s="327">
        <v>2125.5250000000001</v>
      </c>
      <c r="AF26" s="327">
        <v>352.56799999999998</v>
      </c>
      <c r="AG26" s="327">
        <f t="shared" si="2"/>
        <v>470.83767</v>
      </c>
      <c r="AH26" s="327">
        <v>3.2149999999999999</v>
      </c>
      <c r="AI26" s="327">
        <f t="shared" si="3"/>
        <v>2952.1456699999999</v>
      </c>
      <c r="AM26" s="332">
        <f t="shared" si="6"/>
        <v>23</v>
      </c>
      <c r="AN26" s="146">
        <v>45950</v>
      </c>
      <c r="AO26" s="327">
        <v>6961.1450000000004</v>
      </c>
      <c r="AP26" s="327">
        <f t="shared" si="7"/>
        <v>1322.6175500000002</v>
      </c>
      <c r="AQ26" s="327">
        <f t="shared" si="8"/>
        <v>8283.7625500000013</v>
      </c>
      <c r="AU26" s="332">
        <f t="shared" si="9"/>
        <v>23</v>
      </c>
      <c r="AV26" s="146">
        <v>45966</v>
      </c>
      <c r="AW26" s="327">
        <v>2191.7739999999999</v>
      </c>
      <c r="AX26" s="327">
        <f t="shared" si="10"/>
        <v>416.43705999999997</v>
      </c>
      <c r="AY26" s="327">
        <f t="shared" si="13"/>
        <v>2610.2110599999996</v>
      </c>
      <c r="BC26" s="332">
        <f t="shared" si="11"/>
        <v>23</v>
      </c>
      <c r="BD26" s="550">
        <v>46032</v>
      </c>
      <c r="BE26" s="327">
        <v>4814.8230000000003</v>
      </c>
      <c r="BF26" s="327">
        <f t="shared" si="12"/>
        <v>914.81637000000012</v>
      </c>
      <c r="BG26" s="327">
        <f t="shared" si="14"/>
        <v>5731.6393700000008</v>
      </c>
      <c r="BK26"/>
      <c r="BL26"/>
      <c r="BM26"/>
      <c r="BN26"/>
      <c r="BO26"/>
      <c r="BP26"/>
      <c r="BQ26"/>
      <c r="BR26"/>
    </row>
    <row r="27" spans="1:70" ht="16.5" thickBot="1" x14ac:dyDescent="0.3">
      <c r="A27" s="145">
        <f t="shared" si="4"/>
        <v>24</v>
      </c>
      <c r="B27" s="146">
        <v>45422</v>
      </c>
      <c r="C27" s="147">
        <v>1642.3510000000001</v>
      </c>
      <c r="D27" s="147">
        <v>245.28399999999999</v>
      </c>
      <c r="E27" s="147">
        <f t="shared" si="0"/>
        <v>358.65065000000004</v>
      </c>
      <c r="F27" s="147">
        <v>2.2149999999999999</v>
      </c>
      <c r="G27" s="147">
        <f t="shared" si="1"/>
        <v>2248.5006500000004</v>
      </c>
      <c r="J27" s="332">
        <v>24</v>
      </c>
      <c r="K27" s="333">
        <v>45560</v>
      </c>
      <c r="L27" s="327">
        <v>1324.9939999999999</v>
      </c>
      <c r="M27" s="327">
        <v>194.12899999999999</v>
      </c>
      <c r="N27" s="327">
        <v>288.63336999999996</v>
      </c>
      <c r="O27" s="327">
        <v>3.2149999999999999</v>
      </c>
      <c r="P27" s="327">
        <v>1810.9713699999998</v>
      </c>
      <c r="S27" s="332">
        <v>24</v>
      </c>
      <c r="T27" s="333">
        <v>45590</v>
      </c>
      <c r="U27" s="327">
        <v>1446.5340000000001</v>
      </c>
      <c r="V27" s="327">
        <v>222.626</v>
      </c>
      <c r="W27" s="327">
        <v>317.1404</v>
      </c>
      <c r="X27" s="327">
        <v>3.2149999999999999</v>
      </c>
      <c r="Y27" s="327">
        <v>1989.5154</v>
      </c>
      <c r="AC27" s="332">
        <f t="shared" si="5"/>
        <v>24</v>
      </c>
      <c r="AD27" s="333">
        <v>45651</v>
      </c>
      <c r="AE27" s="327">
        <v>2150.7660000000001</v>
      </c>
      <c r="AF27" s="327">
        <v>327.327</v>
      </c>
      <c r="AG27" s="327">
        <f t="shared" si="2"/>
        <v>470.83767</v>
      </c>
      <c r="AH27" s="327">
        <v>3.2149999999999999</v>
      </c>
      <c r="AI27" s="327">
        <f t="shared" si="3"/>
        <v>2952.1456699999999</v>
      </c>
      <c r="AM27" s="332">
        <f t="shared" si="6"/>
        <v>24</v>
      </c>
      <c r="AN27" s="146">
        <v>45981</v>
      </c>
      <c r="AO27" s="327">
        <v>6961.1450000000004</v>
      </c>
      <c r="AP27" s="327">
        <f t="shared" si="7"/>
        <v>1322.6175500000002</v>
      </c>
      <c r="AQ27" s="327">
        <f t="shared" si="8"/>
        <v>8283.7625500000013</v>
      </c>
      <c r="AU27" s="332">
        <f t="shared" si="9"/>
        <v>24</v>
      </c>
      <c r="AV27" s="146">
        <v>45996</v>
      </c>
      <c r="AW27" s="327">
        <v>2191.7739999999999</v>
      </c>
      <c r="AX27" s="327">
        <f t="shared" si="10"/>
        <v>416.43705999999997</v>
      </c>
      <c r="AY27" s="327">
        <f t="shared" si="13"/>
        <v>2610.2110599999996</v>
      </c>
      <c r="BC27" s="332">
        <f t="shared" si="11"/>
        <v>24</v>
      </c>
      <c r="BD27" s="550">
        <v>46063</v>
      </c>
      <c r="BE27" s="327">
        <v>4814.8230000000003</v>
      </c>
      <c r="BF27" s="327">
        <f t="shared" si="12"/>
        <v>914.81637000000012</v>
      </c>
      <c r="BG27" s="327">
        <f t="shared" si="14"/>
        <v>5731.6393700000008</v>
      </c>
      <c r="BK27" s="699" t="s">
        <v>1030</v>
      </c>
      <c r="BL27" s="700"/>
      <c r="BM27" s="701"/>
      <c r="BN27" s="170">
        <f>BN6+BN12+BN15+BN18+BN23+BN20+BN25</f>
        <v>312500.00033333333</v>
      </c>
      <c r="BO27" s="170">
        <f>BO6+BO12+BO15+BO18+BO23+BO20+BO25</f>
        <v>128141.25985185188</v>
      </c>
      <c r="BP27" s="170">
        <f>BP6+BP12+BP15+BP18+BP23</f>
        <v>388537.09418518521</v>
      </c>
      <c r="BQ27"/>
      <c r="BR27"/>
    </row>
    <row r="28" spans="1:70" x14ac:dyDescent="0.25">
      <c r="A28" s="145">
        <f t="shared" si="4"/>
        <v>25</v>
      </c>
      <c r="B28" s="146">
        <v>45453</v>
      </c>
      <c r="C28" s="147">
        <v>1661.5119999999999</v>
      </c>
      <c r="D28" s="147">
        <v>226.12299999999999</v>
      </c>
      <c r="E28" s="147">
        <f t="shared" si="0"/>
        <v>358.65064999999998</v>
      </c>
      <c r="F28" s="147">
        <v>2.2149999999999999</v>
      </c>
      <c r="G28" s="147">
        <f t="shared" si="1"/>
        <v>2248.50065</v>
      </c>
      <c r="J28" s="332">
        <v>25</v>
      </c>
      <c r="K28" s="333">
        <v>45590</v>
      </c>
      <c r="L28" s="327">
        <v>1340.1759999999999</v>
      </c>
      <c r="M28" s="327">
        <v>178.947</v>
      </c>
      <c r="N28" s="327">
        <v>288.63337000000001</v>
      </c>
      <c r="O28" s="327">
        <v>3.2149999999999999</v>
      </c>
      <c r="P28" s="327">
        <v>1810.97137</v>
      </c>
      <c r="S28" s="332">
        <v>25</v>
      </c>
      <c r="T28" s="333">
        <v>45621</v>
      </c>
      <c r="U28" s="327">
        <v>1463.893</v>
      </c>
      <c r="V28" s="327">
        <v>205.267</v>
      </c>
      <c r="W28" s="327">
        <v>317.1404</v>
      </c>
      <c r="X28" s="327">
        <v>3.2149999999999999</v>
      </c>
      <c r="Y28" s="327">
        <v>1989.5154</v>
      </c>
      <c r="AC28" s="332">
        <f t="shared" si="5"/>
        <v>25</v>
      </c>
      <c r="AD28" s="333">
        <v>45682</v>
      </c>
      <c r="AE28" s="327">
        <v>2176.306</v>
      </c>
      <c r="AF28" s="327">
        <v>301.78699999999998</v>
      </c>
      <c r="AG28" s="327">
        <f t="shared" si="2"/>
        <v>470.83767</v>
      </c>
      <c r="AH28" s="327">
        <v>3.2149999999999999</v>
      </c>
      <c r="AI28" s="327">
        <f t="shared" si="3"/>
        <v>2952.1456699999999</v>
      </c>
      <c r="AM28" s="332">
        <f t="shared" si="6"/>
        <v>25</v>
      </c>
      <c r="AN28" s="146">
        <v>46011</v>
      </c>
      <c r="AO28" s="327">
        <v>6961.1450000000004</v>
      </c>
      <c r="AP28" s="327">
        <f t="shared" si="7"/>
        <v>1322.6175500000002</v>
      </c>
      <c r="AQ28" s="327">
        <f t="shared" si="8"/>
        <v>8283.7625500000013</v>
      </c>
      <c r="AU28" s="332">
        <f t="shared" si="9"/>
        <v>25</v>
      </c>
      <c r="AV28" s="146">
        <v>46027</v>
      </c>
      <c r="AW28" s="327">
        <v>2191.7739999999999</v>
      </c>
      <c r="AX28" s="327">
        <f t="shared" si="10"/>
        <v>416.43705999999997</v>
      </c>
      <c r="AY28" s="327">
        <f t="shared" si="13"/>
        <v>2610.2110599999996</v>
      </c>
      <c r="BC28" s="332">
        <f t="shared" si="11"/>
        <v>25</v>
      </c>
      <c r="BD28" s="550">
        <v>46091</v>
      </c>
      <c r="BE28" s="327">
        <v>4814.8230000000003</v>
      </c>
      <c r="BF28" s="327">
        <f t="shared" si="12"/>
        <v>914.81637000000012</v>
      </c>
      <c r="BG28" s="327">
        <f t="shared" si="14"/>
        <v>5731.6393700000008</v>
      </c>
      <c r="BK28" s="168"/>
      <c r="BL28" s="169"/>
      <c r="BM28" s="154"/>
      <c r="BN28" s="154"/>
      <c r="BO28" s="154"/>
      <c r="BP28" s="168"/>
      <c r="BQ28" s="168"/>
      <c r="BR28" s="168"/>
    </row>
    <row r="29" spans="1:70" x14ac:dyDescent="0.25">
      <c r="A29" s="145">
        <f t="shared" si="4"/>
        <v>26</v>
      </c>
      <c r="B29" s="146">
        <v>45483</v>
      </c>
      <c r="C29" s="147">
        <v>1680.896</v>
      </c>
      <c r="D29" s="147">
        <v>206.739</v>
      </c>
      <c r="E29" s="147">
        <f t="shared" si="0"/>
        <v>358.65064999999998</v>
      </c>
      <c r="F29" s="147">
        <v>2.2149999999999999</v>
      </c>
      <c r="G29" s="147">
        <f t="shared" si="1"/>
        <v>2248.50065</v>
      </c>
      <c r="J29" s="332">
        <v>26</v>
      </c>
      <c r="K29" s="333">
        <v>45621</v>
      </c>
      <c r="L29" s="327">
        <v>1355.5319999999999</v>
      </c>
      <c r="M29" s="327">
        <v>163.59100000000001</v>
      </c>
      <c r="N29" s="327">
        <v>288.63337000000001</v>
      </c>
      <c r="O29" s="327">
        <v>3.2149999999999999</v>
      </c>
      <c r="P29" s="327">
        <v>1810.97137</v>
      </c>
      <c r="S29" s="332">
        <v>26</v>
      </c>
      <c r="T29" s="333">
        <v>45651</v>
      </c>
      <c r="U29" s="327">
        <v>1481.4590000000001</v>
      </c>
      <c r="V29" s="327">
        <v>187.70099999999999</v>
      </c>
      <c r="W29" s="327">
        <v>317.1404</v>
      </c>
      <c r="X29" s="327">
        <v>3.2149999999999999</v>
      </c>
      <c r="Y29" s="327">
        <v>1989.5154</v>
      </c>
      <c r="AC29" s="332">
        <f t="shared" si="5"/>
        <v>26</v>
      </c>
      <c r="AD29" s="333">
        <v>45713</v>
      </c>
      <c r="AE29" s="327">
        <v>2202.15</v>
      </c>
      <c r="AF29" s="327">
        <v>275.94299999999998</v>
      </c>
      <c r="AG29" s="327">
        <f t="shared" si="2"/>
        <v>470.83767</v>
      </c>
      <c r="AH29" s="327">
        <v>3.2149999999999999</v>
      </c>
      <c r="AI29" s="327">
        <f t="shared" si="3"/>
        <v>2952.1456699999999</v>
      </c>
      <c r="AM29" s="332">
        <f t="shared" si="6"/>
        <v>26</v>
      </c>
      <c r="AN29" s="333">
        <v>46042</v>
      </c>
      <c r="AO29" s="327">
        <v>6961.1450000000004</v>
      </c>
      <c r="AP29" s="327">
        <f t="shared" si="7"/>
        <v>1322.6175500000002</v>
      </c>
      <c r="AQ29" s="327">
        <f t="shared" si="8"/>
        <v>8283.7625500000013</v>
      </c>
      <c r="AU29" s="332">
        <f t="shared" si="9"/>
        <v>26</v>
      </c>
      <c r="AV29" s="333">
        <v>46058</v>
      </c>
      <c r="AW29" s="327">
        <v>2191.7739999999999</v>
      </c>
      <c r="AX29" s="327">
        <f t="shared" si="10"/>
        <v>416.43705999999997</v>
      </c>
      <c r="AY29" s="327">
        <f t="shared" si="13"/>
        <v>2610.2110599999996</v>
      </c>
      <c r="BC29" s="332">
        <f t="shared" si="11"/>
        <v>26</v>
      </c>
      <c r="BD29" s="333">
        <v>46122</v>
      </c>
      <c r="BE29" s="327">
        <v>4814.8230000000003</v>
      </c>
      <c r="BF29" s="327">
        <f t="shared" si="12"/>
        <v>914.81637000000012</v>
      </c>
      <c r="BG29" s="327">
        <f t="shared" si="14"/>
        <v>5731.6393700000008</v>
      </c>
    </row>
    <row r="30" spans="1:70" x14ac:dyDescent="0.25">
      <c r="A30" s="145">
        <f t="shared" si="4"/>
        <v>27</v>
      </c>
      <c r="B30" s="146">
        <v>45514</v>
      </c>
      <c r="C30" s="147">
        <v>1700.5070000000001</v>
      </c>
      <c r="D30" s="147">
        <v>187.12799999999999</v>
      </c>
      <c r="E30" s="147">
        <f t="shared" si="0"/>
        <v>358.65064999999998</v>
      </c>
      <c r="F30" s="147">
        <v>2.2149999999999999</v>
      </c>
      <c r="G30" s="147">
        <f t="shared" si="1"/>
        <v>2248.50065</v>
      </c>
      <c r="J30" s="332">
        <v>27</v>
      </c>
      <c r="K30" s="333">
        <v>45651</v>
      </c>
      <c r="L30" s="327">
        <v>1371.0640000000001</v>
      </c>
      <c r="M30" s="327">
        <v>148.059</v>
      </c>
      <c r="N30" s="327">
        <v>288.63337000000001</v>
      </c>
      <c r="O30" s="327">
        <v>3.2149999999999999</v>
      </c>
      <c r="P30" s="327">
        <v>1810.97137</v>
      </c>
      <c r="S30" s="332">
        <v>27</v>
      </c>
      <c r="T30" s="333">
        <v>45682</v>
      </c>
      <c r="U30" s="327">
        <v>1499.2370000000001</v>
      </c>
      <c r="V30" s="327">
        <v>169.923</v>
      </c>
      <c r="W30" s="327">
        <v>317.1404</v>
      </c>
      <c r="X30" s="327">
        <v>3.2149999999999999</v>
      </c>
      <c r="Y30" s="327">
        <v>1989.5154</v>
      </c>
      <c r="AC30" s="332">
        <f t="shared" si="5"/>
        <v>27</v>
      </c>
      <c r="AD30" s="333">
        <v>45741</v>
      </c>
      <c r="AE30" s="327">
        <v>2228.3000000000002</v>
      </c>
      <c r="AF30" s="327">
        <v>249.79300000000001</v>
      </c>
      <c r="AG30" s="327">
        <f t="shared" si="2"/>
        <v>470.83767000000006</v>
      </c>
      <c r="AH30" s="327">
        <v>3.2149999999999999</v>
      </c>
      <c r="AI30" s="327">
        <f t="shared" si="3"/>
        <v>2952.1456700000003</v>
      </c>
      <c r="AM30" s="332">
        <f t="shared" si="6"/>
        <v>27</v>
      </c>
      <c r="AN30" s="333">
        <v>46073</v>
      </c>
      <c r="AO30" s="327">
        <v>6961.1450000000004</v>
      </c>
      <c r="AP30" s="327">
        <f t="shared" si="7"/>
        <v>1322.6175500000002</v>
      </c>
      <c r="AQ30" s="327">
        <f t="shared" si="8"/>
        <v>8283.7625500000013</v>
      </c>
      <c r="AU30" s="332">
        <f t="shared" si="9"/>
        <v>27</v>
      </c>
      <c r="AV30" s="333">
        <v>46086</v>
      </c>
      <c r="AW30" s="327">
        <v>2191.7739999999999</v>
      </c>
      <c r="AX30" s="327">
        <f t="shared" si="10"/>
        <v>416.43705999999997</v>
      </c>
      <c r="AY30" s="327">
        <f t="shared" si="13"/>
        <v>2610.2110599999996</v>
      </c>
      <c r="BC30" s="332">
        <f t="shared" si="11"/>
        <v>27</v>
      </c>
      <c r="BD30" s="333">
        <v>46152</v>
      </c>
      <c r="BE30" s="327">
        <v>4814.8230000000003</v>
      </c>
      <c r="BF30" s="327">
        <f t="shared" si="12"/>
        <v>914.81637000000012</v>
      </c>
      <c r="BG30" s="327">
        <f t="shared" si="14"/>
        <v>5731.6393700000008</v>
      </c>
    </row>
    <row r="31" spans="1:70" x14ac:dyDescent="0.25">
      <c r="A31" s="145">
        <f t="shared" si="4"/>
        <v>28</v>
      </c>
      <c r="B31" s="146">
        <v>45545</v>
      </c>
      <c r="C31" s="147">
        <v>1720.346</v>
      </c>
      <c r="D31" s="147">
        <v>167.28899999999999</v>
      </c>
      <c r="E31" s="147">
        <f t="shared" si="0"/>
        <v>358.65064999999998</v>
      </c>
      <c r="F31" s="147">
        <v>2.2149999999999999</v>
      </c>
      <c r="G31" s="147">
        <f t="shared" si="1"/>
        <v>2248.50065</v>
      </c>
      <c r="J31" s="332">
        <v>28</v>
      </c>
      <c r="K31" s="333">
        <v>45682</v>
      </c>
      <c r="L31" s="327">
        <v>1386.7739999999999</v>
      </c>
      <c r="M31" s="327">
        <v>132.34899999999999</v>
      </c>
      <c r="N31" s="327">
        <v>288.63336999999996</v>
      </c>
      <c r="O31" s="327">
        <v>3.2149999999999999</v>
      </c>
      <c r="P31" s="327">
        <v>1810.9713699999998</v>
      </c>
      <c r="S31" s="332">
        <v>28</v>
      </c>
      <c r="T31" s="333">
        <v>45713</v>
      </c>
      <c r="U31" s="327">
        <v>1517.2280000000001</v>
      </c>
      <c r="V31" s="327">
        <v>151.93199999999999</v>
      </c>
      <c r="W31" s="327">
        <v>317.1404</v>
      </c>
      <c r="X31" s="327">
        <v>3.2149999999999999</v>
      </c>
      <c r="Y31" s="327">
        <v>1989.5154</v>
      </c>
      <c r="AC31" s="332">
        <f t="shared" si="5"/>
        <v>28</v>
      </c>
      <c r="AD31" s="333">
        <v>45772</v>
      </c>
      <c r="AE31" s="327">
        <v>2254.761</v>
      </c>
      <c r="AF31" s="327">
        <v>223.33199999999999</v>
      </c>
      <c r="AG31" s="327">
        <f t="shared" si="2"/>
        <v>470.83767</v>
      </c>
      <c r="AH31" s="327">
        <v>3.2149999999999999</v>
      </c>
      <c r="AI31" s="327">
        <f t="shared" si="3"/>
        <v>2952.1456699999999</v>
      </c>
      <c r="AM31" s="332">
        <f t="shared" si="6"/>
        <v>28</v>
      </c>
      <c r="AN31" s="333">
        <v>46101</v>
      </c>
      <c r="AO31" s="327">
        <v>6961.1450000000004</v>
      </c>
      <c r="AP31" s="327">
        <f t="shared" si="7"/>
        <v>1322.6175500000002</v>
      </c>
      <c r="AQ31" s="327">
        <f t="shared" si="8"/>
        <v>8283.7625500000013</v>
      </c>
      <c r="AU31" s="332">
        <f t="shared" si="9"/>
        <v>28</v>
      </c>
      <c r="AV31" s="333">
        <v>46117</v>
      </c>
      <c r="AW31" s="327">
        <v>2191.7739999999999</v>
      </c>
      <c r="AX31" s="327">
        <f t="shared" si="10"/>
        <v>416.43705999999997</v>
      </c>
      <c r="AY31" s="327">
        <f t="shared" si="13"/>
        <v>2610.2110599999996</v>
      </c>
      <c r="BC31" s="332">
        <f t="shared" si="11"/>
        <v>28</v>
      </c>
      <c r="BD31" s="333">
        <v>46183</v>
      </c>
      <c r="BE31" s="327">
        <v>4814.8230000000003</v>
      </c>
      <c r="BF31" s="327">
        <f t="shared" si="12"/>
        <v>914.81637000000012</v>
      </c>
      <c r="BG31" s="327">
        <f t="shared" si="14"/>
        <v>5731.6393700000008</v>
      </c>
    </row>
    <row r="32" spans="1:70" x14ac:dyDescent="0.25">
      <c r="A32" s="145">
        <f t="shared" si="4"/>
        <v>29</v>
      </c>
      <c r="B32" s="146">
        <v>45575</v>
      </c>
      <c r="C32" s="147">
        <v>1740.4169999999999</v>
      </c>
      <c r="D32" s="147">
        <v>147.21799999999999</v>
      </c>
      <c r="E32" s="147">
        <f t="shared" si="0"/>
        <v>358.65064999999998</v>
      </c>
      <c r="F32" s="147">
        <v>2.2149999999999999</v>
      </c>
      <c r="G32" s="147">
        <f t="shared" si="1"/>
        <v>2248.50065</v>
      </c>
      <c r="J32" s="332">
        <v>29</v>
      </c>
      <c r="K32" s="333">
        <v>45713</v>
      </c>
      <c r="L32" s="327">
        <v>1402.664</v>
      </c>
      <c r="M32" s="327">
        <v>116.459</v>
      </c>
      <c r="N32" s="327">
        <v>288.63337000000001</v>
      </c>
      <c r="O32" s="327">
        <v>3.2149999999999999</v>
      </c>
      <c r="P32" s="327">
        <v>1810.97137</v>
      </c>
      <c r="S32" s="332">
        <v>29</v>
      </c>
      <c r="T32" s="333">
        <v>45741</v>
      </c>
      <c r="U32" s="327">
        <v>1535.434</v>
      </c>
      <c r="V32" s="327">
        <v>133.726</v>
      </c>
      <c r="W32" s="327">
        <v>317.1404</v>
      </c>
      <c r="X32" s="327">
        <v>3.2149999999999999</v>
      </c>
      <c r="Y32" s="327">
        <v>1989.5153999999998</v>
      </c>
      <c r="AC32" s="332">
        <f t="shared" si="5"/>
        <v>29</v>
      </c>
      <c r="AD32" s="333">
        <v>45802</v>
      </c>
      <c r="AE32" s="327">
        <v>2281.5369999999998</v>
      </c>
      <c r="AF32" s="327">
        <v>196.55600000000001</v>
      </c>
      <c r="AG32" s="327">
        <f t="shared" si="2"/>
        <v>470.83767</v>
      </c>
      <c r="AH32" s="327">
        <v>3.2149999999999999</v>
      </c>
      <c r="AI32" s="327">
        <f t="shared" si="3"/>
        <v>2952.1456699999999</v>
      </c>
      <c r="AM32" s="332">
        <f t="shared" si="6"/>
        <v>29</v>
      </c>
      <c r="AN32" s="333">
        <v>46132</v>
      </c>
      <c r="AO32" s="327">
        <v>6961.1450000000004</v>
      </c>
      <c r="AP32" s="327">
        <f t="shared" si="7"/>
        <v>1322.6175500000002</v>
      </c>
      <c r="AQ32" s="327">
        <f t="shared" si="8"/>
        <v>8283.7625500000013</v>
      </c>
      <c r="AU32" s="332">
        <f t="shared" si="9"/>
        <v>29</v>
      </c>
      <c r="AV32" s="333">
        <v>46147</v>
      </c>
      <c r="AW32" s="327">
        <v>2191.7739999999999</v>
      </c>
      <c r="AX32" s="327">
        <f t="shared" si="10"/>
        <v>416.43705999999997</v>
      </c>
      <c r="AY32" s="327">
        <f t="shared" si="13"/>
        <v>2610.2110599999996</v>
      </c>
      <c r="BC32" s="332">
        <f t="shared" si="11"/>
        <v>29</v>
      </c>
      <c r="BD32" s="333">
        <v>46213</v>
      </c>
      <c r="BE32" s="327">
        <v>4814.8230000000003</v>
      </c>
      <c r="BF32" s="327">
        <f t="shared" si="12"/>
        <v>914.81637000000012</v>
      </c>
      <c r="BG32" s="327">
        <f t="shared" si="14"/>
        <v>5731.6393700000008</v>
      </c>
    </row>
    <row r="33" spans="1:59" x14ac:dyDescent="0.25">
      <c r="A33" s="145">
        <f t="shared" si="4"/>
        <v>30</v>
      </c>
      <c r="B33" s="146">
        <v>45606</v>
      </c>
      <c r="C33" s="147">
        <v>1760.722</v>
      </c>
      <c r="D33" s="147">
        <v>126.913</v>
      </c>
      <c r="E33" s="147">
        <f t="shared" si="0"/>
        <v>358.65064999999998</v>
      </c>
      <c r="F33" s="147">
        <v>2.2149999999999999</v>
      </c>
      <c r="G33" s="147">
        <f t="shared" si="1"/>
        <v>2248.50065</v>
      </c>
      <c r="J33" s="332">
        <v>30</v>
      </c>
      <c r="K33" s="333">
        <v>45741</v>
      </c>
      <c r="L33" s="327">
        <v>1418.7370000000001</v>
      </c>
      <c r="M33" s="327">
        <v>100.386</v>
      </c>
      <c r="N33" s="327">
        <v>288.63337000000001</v>
      </c>
      <c r="O33" s="327">
        <v>3.2149999999999999</v>
      </c>
      <c r="P33" s="327">
        <v>1810.97137</v>
      </c>
      <c r="S33" s="332">
        <v>30</v>
      </c>
      <c r="T33" s="333">
        <v>45772</v>
      </c>
      <c r="U33" s="327">
        <v>1553.86</v>
      </c>
      <c r="V33" s="327">
        <v>115.3</v>
      </c>
      <c r="W33" s="327">
        <v>317.1404</v>
      </c>
      <c r="X33" s="327">
        <v>3.2149999999999999</v>
      </c>
      <c r="Y33" s="327">
        <v>1989.5153999999998</v>
      </c>
      <c r="AC33" s="332">
        <f t="shared" si="5"/>
        <v>30</v>
      </c>
      <c r="AD33" s="333">
        <v>45833</v>
      </c>
      <c r="AE33" s="327">
        <v>2308.63</v>
      </c>
      <c r="AF33" s="327">
        <v>169.46299999999999</v>
      </c>
      <c r="AG33" s="327">
        <f t="shared" si="2"/>
        <v>470.83767000000006</v>
      </c>
      <c r="AH33" s="327">
        <v>3.2149999999999999</v>
      </c>
      <c r="AI33" s="327">
        <f t="shared" si="3"/>
        <v>2952.1456700000003</v>
      </c>
      <c r="AM33" s="332">
        <f t="shared" si="6"/>
        <v>30</v>
      </c>
      <c r="AN33" s="333">
        <v>46162</v>
      </c>
      <c r="AO33" s="327">
        <v>6961.1450000000004</v>
      </c>
      <c r="AP33" s="327">
        <f t="shared" si="7"/>
        <v>1322.6175500000002</v>
      </c>
      <c r="AQ33" s="327">
        <f t="shared" si="8"/>
        <v>8283.7625500000013</v>
      </c>
      <c r="AU33" s="332">
        <f t="shared" si="9"/>
        <v>30</v>
      </c>
      <c r="AV33" s="333">
        <v>46178</v>
      </c>
      <c r="AW33" s="327">
        <v>2191.7739999999999</v>
      </c>
      <c r="AX33" s="327">
        <f t="shared" si="10"/>
        <v>416.43705999999997</v>
      </c>
      <c r="AY33" s="327">
        <f t="shared" si="13"/>
        <v>2610.2110599999996</v>
      </c>
      <c r="BC33" s="332">
        <f t="shared" si="11"/>
        <v>30</v>
      </c>
      <c r="BD33" s="333">
        <v>46244</v>
      </c>
      <c r="BE33" s="327">
        <v>4814.8230000000003</v>
      </c>
      <c r="BF33" s="327">
        <f t="shared" si="12"/>
        <v>914.81637000000012</v>
      </c>
      <c r="BG33" s="327">
        <f t="shared" si="14"/>
        <v>5731.6393700000008</v>
      </c>
    </row>
    <row r="34" spans="1:59" x14ac:dyDescent="0.25">
      <c r="A34" s="145">
        <f t="shared" si="4"/>
        <v>31</v>
      </c>
      <c r="B34" s="146">
        <v>45636</v>
      </c>
      <c r="C34" s="147">
        <v>1781.2629999999999</v>
      </c>
      <c r="D34" s="147">
        <v>106.372</v>
      </c>
      <c r="E34" s="147">
        <f t="shared" si="0"/>
        <v>358.65064999999998</v>
      </c>
      <c r="F34" s="147">
        <v>2.2149999999999999</v>
      </c>
      <c r="G34" s="147">
        <f t="shared" si="1"/>
        <v>2248.50065</v>
      </c>
      <c r="J34" s="332">
        <v>31</v>
      </c>
      <c r="K34" s="333">
        <v>45772</v>
      </c>
      <c r="L34" s="327">
        <v>1434.9929999999999</v>
      </c>
      <c r="M34" s="327">
        <v>84.13</v>
      </c>
      <c r="N34" s="327">
        <v>288.63337000000001</v>
      </c>
      <c r="O34" s="327">
        <v>3.2149999999999999</v>
      </c>
      <c r="P34" s="327">
        <v>1810.97137</v>
      </c>
      <c r="S34" s="332">
        <v>31</v>
      </c>
      <c r="T34" s="333">
        <v>45802</v>
      </c>
      <c r="U34" s="327">
        <v>1572.5060000000001</v>
      </c>
      <c r="V34" s="327">
        <v>96.653999999999996</v>
      </c>
      <c r="W34" s="327">
        <v>317.1404</v>
      </c>
      <c r="X34" s="327">
        <v>3.2149999999999999</v>
      </c>
      <c r="Y34" s="327">
        <v>1989.5154</v>
      </c>
      <c r="AC34" s="332">
        <f t="shared" si="5"/>
        <v>31</v>
      </c>
      <c r="AD34" s="333">
        <v>45863</v>
      </c>
      <c r="AE34" s="327">
        <v>2336.0450000000001</v>
      </c>
      <c r="AF34" s="327">
        <v>142.048</v>
      </c>
      <c r="AG34" s="327">
        <f t="shared" si="2"/>
        <v>470.83767</v>
      </c>
      <c r="AH34" s="327">
        <v>3.2149999999999999</v>
      </c>
      <c r="AI34" s="327">
        <f t="shared" si="3"/>
        <v>2952.1456699999999</v>
      </c>
      <c r="AM34" s="332">
        <f t="shared" si="6"/>
        <v>31</v>
      </c>
      <c r="AN34" s="333">
        <v>46193</v>
      </c>
      <c r="AO34" s="327">
        <v>6961.1450000000004</v>
      </c>
      <c r="AP34" s="327">
        <f t="shared" si="7"/>
        <v>1322.6175500000002</v>
      </c>
      <c r="AQ34" s="327">
        <f t="shared" si="8"/>
        <v>8283.7625500000013</v>
      </c>
      <c r="AU34" s="332">
        <f t="shared" si="9"/>
        <v>31</v>
      </c>
      <c r="AV34" s="333">
        <v>46208</v>
      </c>
      <c r="AW34" s="327">
        <v>2191.7739999999999</v>
      </c>
      <c r="AX34" s="327">
        <f t="shared" si="10"/>
        <v>416.43705999999997</v>
      </c>
      <c r="AY34" s="327">
        <f t="shared" si="13"/>
        <v>2610.2110599999996</v>
      </c>
      <c r="BC34" s="332">
        <f t="shared" si="11"/>
        <v>31</v>
      </c>
      <c r="BD34" s="333">
        <v>46275</v>
      </c>
      <c r="BE34" s="327">
        <v>4814.8230000000003</v>
      </c>
      <c r="BF34" s="327">
        <f t="shared" si="12"/>
        <v>914.81637000000012</v>
      </c>
      <c r="BG34" s="327">
        <f t="shared" si="14"/>
        <v>5731.6393700000008</v>
      </c>
    </row>
    <row r="35" spans="1:59" x14ac:dyDescent="0.25">
      <c r="A35" s="145">
        <f t="shared" si="4"/>
        <v>32</v>
      </c>
      <c r="B35" s="146">
        <v>45667</v>
      </c>
      <c r="C35" s="147">
        <v>1802.0450000000001</v>
      </c>
      <c r="D35" s="147">
        <v>85.59</v>
      </c>
      <c r="E35" s="147">
        <f t="shared" si="0"/>
        <v>358.65064999999998</v>
      </c>
      <c r="F35" s="147">
        <v>2.2149999999999999</v>
      </c>
      <c r="G35" s="147">
        <f t="shared" si="1"/>
        <v>2248.50065</v>
      </c>
      <c r="J35" s="332">
        <v>32</v>
      </c>
      <c r="K35" s="333">
        <v>45802</v>
      </c>
      <c r="L35" s="327">
        <v>1451.4359999999999</v>
      </c>
      <c r="M35" s="327">
        <v>67.686999999999998</v>
      </c>
      <c r="N35" s="327">
        <v>288.63336999999996</v>
      </c>
      <c r="O35" s="327">
        <v>3.2149999999999999</v>
      </c>
      <c r="P35" s="327">
        <v>1810.9713699999998</v>
      </c>
      <c r="S35" s="332">
        <v>32</v>
      </c>
      <c r="T35" s="333">
        <v>45833</v>
      </c>
      <c r="U35" s="327">
        <v>1591.376</v>
      </c>
      <c r="V35" s="327">
        <v>77.784000000000006</v>
      </c>
      <c r="W35" s="327">
        <v>317.1404</v>
      </c>
      <c r="X35" s="327">
        <v>3.2149999999999999</v>
      </c>
      <c r="Y35" s="327">
        <v>1989.5154</v>
      </c>
      <c r="AC35" s="332">
        <f t="shared" si="5"/>
        <v>32</v>
      </c>
      <c r="AD35" s="333">
        <v>45894</v>
      </c>
      <c r="AE35" s="327">
        <v>2363.7860000000001</v>
      </c>
      <c r="AF35" s="327">
        <v>114.307</v>
      </c>
      <c r="AG35" s="327">
        <f t="shared" si="2"/>
        <v>470.83767</v>
      </c>
      <c r="AH35" s="327">
        <v>3.2149999999999999</v>
      </c>
      <c r="AI35" s="327">
        <f t="shared" si="3"/>
        <v>2952.1456699999999</v>
      </c>
      <c r="AM35" s="332">
        <f t="shared" si="6"/>
        <v>32</v>
      </c>
      <c r="AN35" s="333">
        <v>46223</v>
      </c>
      <c r="AO35" s="327">
        <v>6961.1450000000004</v>
      </c>
      <c r="AP35" s="327">
        <f t="shared" si="7"/>
        <v>1322.6175500000002</v>
      </c>
      <c r="AQ35" s="327">
        <f t="shared" si="8"/>
        <v>8283.7625500000013</v>
      </c>
      <c r="AU35" s="332">
        <f t="shared" si="9"/>
        <v>32</v>
      </c>
      <c r="AV35" s="333">
        <v>46239</v>
      </c>
      <c r="AW35" s="327">
        <v>2191.7739999999999</v>
      </c>
      <c r="AX35" s="327">
        <f t="shared" si="10"/>
        <v>416.43705999999997</v>
      </c>
      <c r="AY35" s="327">
        <f t="shared" si="13"/>
        <v>2610.2110599999996</v>
      </c>
      <c r="BC35" s="332">
        <f t="shared" si="11"/>
        <v>32</v>
      </c>
      <c r="BD35" s="333">
        <v>46305</v>
      </c>
      <c r="BE35" s="327">
        <v>4814.8230000000003</v>
      </c>
      <c r="BF35" s="327">
        <f t="shared" si="12"/>
        <v>914.81637000000012</v>
      </c>
      <c r="BG35" s="327">
        <f t="shared" si="14"/>
        <v>5731.6393700000008</v>
      </c>
    </row>
    <row r="36" spans="1:59" x14ac:dyDescent="0.25">
      <c r="A36" s="145">
        <f t="shared" si="4"/>
        <v>33</v>
      </c>
      <c r="B36" s="146">
        <v>45698</v>
      </c>
      <c r="C36" s="147">
        <v>1823.069</v>
      </c>
      <c r="D36" s="147">
        <v>64.566000000000003</v>
      </c>
      <c r="E36" s="147">
        <f t="shared" si="0"/>
        <v>358.65064999999998</v>
      </c>
      <c r="F36" s="147">
        <v>2.2149999999999999</v>
      </c>
      <c r="G36" s="147">
        <f t="shared" si="1"/>
        <v>2248.50065</v>
      </c>
      <c r="J36" s="332">
        <v>33</v>
      </c>
      <c r="K36" s="333">
        <v>45833</v>
      </c>
      <c r="L36" s="327">
        <v>1468.067</v>
      </c>
      <c r="M36" s="327">
        <v>51.055999999999997</v>
      </c>
      <c r="N36" s="327">
        <v>288.63337000000001</v>
      </c>
      <c r="O36" s="327">
        <v>3.2149999999999999</v>
      </c>
      <c r="P36" s="327">
        <v>1810.97137</v>
      </c>
      <c r="S36" s="332">
        <v>33</v>
      </c>
      <c r="T36" s="333">
        <v>45863</v>
      </c>
      <c r="U36" s="327">
        <v>1610.473</v>
      </c>
      <c r="V36" s="327">
        <v>58.686999999999998</v>
      </c>
      <c r="W36" s="327">
        <v>317.1404</v>
      </c>
      <c r="X36" s="327">
        <v>3.2149999999999999</v>
      </c>
      <c r="Y36" s="327">
        <v>1989.5153999999998</v>
      </c>
      <c r="AC36" s="332">
        <f t="shared" si="5"/>
        <v>33</v>
      </c>
      <c r="AD36" s="333">
        <v>45925</v>
      </c>
      <c r="AE36" s="327">
        <v>2391.855</v>
      </c>
      <c r="AF36" s="327">
        <v>86.238</v>
      </c>
      <c r="AG36" s="327">
        <f t="shared" si="2"/>
        <v>470.83767</v>
      </c>
      <c r="AH36" s="327">
        <v>3.2149999999999999</v>
      </c>
      <c r="AI36" s="327">
        <f t="shared" si="3"/>
        <v>2952.1456699999999</v>
      </c>
      <c r="AM36" s="332">
        <f t="shared" si="6"/>
        <v>33</v>
      </c>
      <c r="AN36" s="333">
        <v>46254</v>
      </c>
      <c r="AO36" s="327">
        <v>6961.1450000000004</v>
      </c>
      <c r="AP36" s="327">
        <f t="shared" si="7"/>
        <v>1322.6175500000002</v>
      </c>
      <c r="AQ36" s="327">
        <f t="shared" si="8"/>
        <v>8283.7625500000013</v>
      </c>
      <c r="AU36" s="332">
        <f t="shared" si="9"/>
        <v>33</v>
      </c>
      <c r="AV36" s="333">
        <v>46270</v>
      </c>
      <c r="AW36" s="327">
        <v>2191.7739999999999</v>
      </c>
      <c r="AX36" s="327">
        <f t="shared" si="10"/>
        <v>416.43705999999997</v>
      </c>
      <c r="AY36" s="327">
        <f t="shared" si="13"/>
        <v>2610.2110599999996</v>
      </c>
      <c r="BC36" s="332">
        <f t="shared" si="11"/>
        <v>33</v>
      </c>
      <c r="BD36" s="333">
        <v>46336</v>
      </c>
      <c r="BE36" s="327">
        <v>4814.8230000000003</v>
      </c>
      <c r="BF36" s="327">
        <f t="shared" si="12"/>
        <v>914.81637000000012</v>
      </c>
      <c r="BG36" s="327">
        <f t="shared" si="14"/>
        <v>5731.6393700000008</v>
      </c>
    </row>
    <row r="37" spans="1:59" x14ac:dyDescent="0.25">
      <c r="A37" s="145">
        <f t="shared" si="4"/>
        <v>34</v>
      </c>
      <c r="B37" s="146">
        <v>45726</v>
      </c>
      <c r="C37" s="147">
        <v>1844.338</v>
      </c>
      <c r="D37" s="147">
        <v>43.296999999999997</v>
      </c>
      <c r="E37" s="147">
        <f t="shared" si="0"/>
        <v>358.65064999999998</v>
      </c>
      <c r="F37" s="147">
        <v>2.2149999999999999</v>
      </c>
      <c r="G37" s="147">
        <f t="shared" si="1"/>
        <v>2248.50065</v>
      </c>
      <c r="J37" s="332">
        <v>34</v>
      </c>
      <c r="K37" s="333">
        <v>45863</v>
      </c>
      <c r="L37" s="327">
        <v>1484.8879999999999</v>
      </c>
      <c r="M37" s="327">
        <v>34.234999999999999</v>
      </c>
      <c r="N37" s="327">
        <v>288.63336999999996</v>
      </c>
      <c r="O37" s="327">
        <v>3.2149999999999999</v>
      </c>
      <c r="P37" s="327">
        <v>1810.9713699999998</v>
      </c>
      <c r="S37" s="332">
        <v>34</v>
      </c>
      <c r="T37" s="333">
        <v>45894</v>
      </c>
      <c r="U37" s="327">
        <v>1629.798</v>
      </c>
      <c r="V37" s="327">
        <v>39.362000000000002</v>
      </c>
      <c r="W37" s="327">
        <v>317.1404</v>
      </c>
      <c r="X37" s="327">
        <v>3.2149999999999999</v>
      </c>
      <c r="Y37" s="327">
        <v>1989.5154</v>
      </c>
      <c r="AC37" s="332">
        <f t="shared" si="5"/>
        <v>34</v>
      </c>
      <c r="AD37" s="333">
        <v>45955</v>
      </c>
      <c r="AE37" s="327">
        <v>2420.259</v>
      </c>
      <c r="AF37" s="327">
        <v>57.834000000000003</v>
      </c>
      <c r="AG37" s="327">
        <f t="shared" si="2"/>
        <v>470.83767</v>
      </c>
      <c r="AH37" s="327">
        <v>3.2149999999999999</v>
      </c>
      <c r="AI37" s="327">
        <f t="shared" si="3"/>
        <v>2952.1456699999999</v>
      </c>
      <c r="AM37" s="332">
        <f t="shared" si="6"/>
        <v>34</v>
      </c>
      <c r="AN37" s="333">
        <v>46285</v>
      </c>
      <c r="AO37" s="327">
        <v>6961.1450000000004</v>
      </c>
      <c r="AP37" s="327">
        <f t="shared" si="7"/>
        <v>1322.6175500000002</v>
      </c>
      <c r="AQ37" s="327">
        <f t="shared" si="8"/>
        <v>8283.7625500000013</v>
      </c>
      <c r="AU37" s="332">
        <f t="shared" si="9"/>
        <v>34</v>
      </c>
      <c r="AV37" s="333">
        <v>46300</v>
      </c>
      <c r="AW37" s="327">
        <v>2191.7739999999999</v>
      </c>
      <c r="AX37" s="327">
        <f t="shared" si="10"/>
        <v>416.43705999999997</v>
      </c>
      <c r="AY37" s="327">
        <f t="shared" si="13"/>
        <v>2610.2110599999996</v>
      </c>
      <c r="BC37" s="332">
        <f t="shared" si="11"/>
        <v>34</v>
      </c>
      <c r="BD37" s="333">
        <v>46366</v>
      </c>
      <c r="BE37" s="327">
        <v>4814.8230000000003</v>
      </c>
      <c r="BF37" s="327">
        <f t="shared" si="12"/>
        <v>914.81637000000012</v>
      </c>
      <c r="BG37" s="327">
        <f t="shared" si="14"/>
        <v>5731.6393700000008</v>
      </c>
    </row>
    <row r="38" spans="1:59" x14ac:dyDescent="0.25">
      <c r="A38" s="145">
        <f t="shared" si="4"/>
        <v>35</v>
      </c>
      <c r="B38" s="146">
        <v>45757</v>
      </c>
      <c r="C38" s="147">
        <v>1865.855</v>
      </c>
      <c r="D38" s="147">
        <v>21.78</v>
      </c>
      <c r="E38" s="147">
        <f t="shared" si="0"/>
        <v>358.65064999999998</v>
      </c>
      <c r="F38" s="147">
        <v>2.2149999999999999</v>
      </c>
      <c r="G38" s="147">
        <f t="shared" si="1"/>
        <v>2248.50065</v>
      </c>
      <c r="J38" s="332">
        <v>35</v>
      </c>
      <c r="K38" s="333">
        <v>45894</v>
      </c>
      <c r="L38" s="327">
        <v>1501.902</v>
      </c>
      <c r="M38" s="327">
        <v>17.221</v>
      </c>
      <c r="N38" s="327">
        <v>288.63337000000001</v>
      </c>
      <c r="O38" s="327">
        <v>3.2149999999999999</v>
      </c>
      <c r="P38" s="327">
        <v>1810.97137</v>
      </c>
      <c r="S38" s="332">
        <v>35</v>
      </c>
      <c r="T38" s="333">
        <v>45925</v>
      </c>
      <c r="U38" s="327">
        <v>1649.356</v>
      </c>
      <c r="V38" s="327">
        <v>19.803999999999998</v>
      </c>
      <c r="W38" s="327">
        <v>317.1404</v>
      </c>
      <c r="X38" s="327">
        <v>3.2149999999999999</v>
      </c>
      <c r="Y38" s="327">
        <v>1989.5154</v>
      </c>
      <c r="AC38" s="332">
        <f t="shared" si="5"/>
        <v>35</v>
      </c>
      <c r="AD38" s="333">
        <v>45986</v>
      </c>
      <c r="AE38" s="327">
        <v>2448.9989999999998</v>
      </c>
      <c r="AF38" s="327">
        <v>29.094000000000001</v>
      </c>
      <c r="AG38" s="327">
        <f t="shared" si="2"/>
        <v>470.83767</v>
      </c>
      <c r="AH38" s="327">
        <v>3.2149999999999999</v>
      </c>
      <c r="AI38" s="327">
        <f t="shared" si="3"/>
        <v>2952.1456699999999</v>
      </c>
      <c r="AM38" s="332">
        <f t="shared" si="6"/>
        <v>35</v>
      </c>
      <c r="AN38" s="333">
        <v>46315</v>
      </c>
      <c r="AO38" s="327">
        <v>6961.1450000000004</v>
      </c>
      <c r="AP38" s="327">
        <f t="shared" si="7"/>
        <v>1322.6175500000002</v>
      </c>
      <c r="AQ38" s="327">
        <f t="shared" si="8"/>
        <v>8283.7625500000013</v>
      </c>
      <c r="AU38" s="332">
        <f t="shared" si="9"/>
        <v>35</v>
      </c>
      <c r="AV38" s="333">
        <v>46331</v>
      </c>
      <c r="AW38" s="327">
        <v>2191.7739999999999</v>
      </c>
      <c r="AX38" s="327">
        <f t="shared" si="10"/>
        <v>416.43705999999997</v>
      </c>
      <c r="AY38" s="327">
        <f t="shared" si="13"/>
        <v>2610.2110599999996</v>
      </c>
      <c r="BC38" s="332">
        <f t="shared" si="11"/>
        <v>35</v>
      </c>
      <c r="BD38" s="333">
        <v>46397</v>
      </c>
      <c r="BE38" s="327">
        <v>4814.8230000000003</v>
      </c>
      <c r="BF38" s="327">
        <f t="shared" si="12"/>
        <v>914.81637000000012</v>
      </c>
      <c r="BG38" s="327">
        <f t="shared" si="14"/>
        <v>5731.6393700000008</v>
      </c>
    </row>
    <row r="39" spans="1:59" x14ac:dyDescent="0.25">
      <c r="A39" s="145">
        <f t="shared" si="4"/>
        <v>36</v>
      </c>
      <c r="B39" s="146">
        <v>45787</v>
      </c>
      <c r="C39" s="147">
        <v>1887.623</v>
      </c>
      <c r="D39" s="147">
        <v>1.2E-2</v>
      </c>
      <c r="E39" s="147">
        <f t="shared" si="0"/>
        <v>358.65064999999998</v>
      </c>
      <c r="F39" s="147">
        <v>2.2149999999999999</v>
      </c>
      <c r="G39" s="147">
        <f t="shared" si="1"/>
        <v>2248.50065</v>
      </c>
      <c r="J39" s="332">
        <v>36</v>
      </c>
      <c r="K39" s="333">
        <v>45925</v>
      </c>
      <c r="L39" s="327">
        <v>1519.1120000000001</v>
      </c>
      <c r="M39" s="327">
        <v>1.0999999999999999E-2</v>
      </c>
      <c r="N39" s="327">
        <v>288.63337000000001</v>
      </c>
      <c r="O39" s="327">
        <v>3.2149999999999999</v>
      </c>
      <c r="P39" s="327">
        <v>1810.97137</v>
      </c>
      <c r="S39" s="332">
        <v>36</v>
      </c>
      <c r="T39" s="333">
        <v>45955</v>
      </c>
      <c r="U39" s="327">
        <v>1669.1479999999999</v>
      </c>
      <c r="V39" s="327">
        <v>1.2E-2</v>
      </c>
      <c r="W39" s="327">
        <v>317.1404</v>
      </c>
      <c r="X39" s="327">
        <v>3.2149999999999999</v>
      </c>
      <c r="Y39" s="327">
        <v>1989.5153999999998</v>
      </c>
      <c r="AC39" s="332">
        <f t="shared" si="5"/>
        <v>36</v>
      </c>
      <c r="AD39" s="333">
        <v>46016</v>
      </c>
      <c r="AE39" s="327">
        <v>2478.0810000000001</v>
      </c>
      <c r="AF39" s="327">
        <v>1.2E-2</v>
      </c>
      <c r="AG39" s="327">
        <f t="shared" si="2"/>
        <v>470.83767000000006</v>
      </c>
      <c r="AH39" s="327">
        <v>3.2149999999999999</v>
      </c>
      <c r="AI39" s="327">
        <f t="shared" si="3"/>
        <v>2952.1456700000003</v>
      </c>
      <c r="AM39" s="332">
        <f t="shared" si="6"/>
        <v>36</v>
      </c>
      <c r="AN39" s="333">
        <v>46346</v>
      </c>
      <c r="AO39" s="327">
        <v>6961.1450000000004</v>
      </c>
      <c r="AP39" s="327">
        <f t="shared" si="7"/>
        <v>1322.6175500000002</v>
      </c>
      <c r="AQ39" s="327">
        <f t="shared" si="8"/>
        <v>8283.7625500000013</v>
      </c>
      <c r="AU39" s="332">
        <f t="shared" si="9"/>
        <v>36</v>
      </c>
      <c r="AV39" s="333">
        <v>46361</v>
      </c>
      <c r="AW39" s="327">
        <v>2191.7739999999999</v>
      </c>
      <c r="AX39" s="327">
        <f t="shared" si="10"/>
        <v>416.43705999999997</v>
      </c>
      <c r="AY39" s="327">
        <f t="shared" si="13"/>
        <v>2610.2110599999996</v>
      </c>
      <c r="BC39" s="332">
        <f t="shared" si="11"/>
        <v>36</v>
      </c>
      <c r="BD39" s="333">
        <v>46428</v>
      </c>
      <c r="BE39" s="327">
        <v>4814.8230000000003</v>
      </c>
      <c r="BF39" s="327">
        <f t="shared" si="12"/>
        <v>914.81637000000012</v>
      </c>
      <c r="BG39" s="327">
        <f t="shared" si="14"/>
        <v>5731.6393700000008</v>
      </c>
    </row>
    <row r="40" spans="1:59" x14ac:dyDescent="0.25">
      <c r="A40" s="692" t="s">
        <v>420</v>
      </c>
      <c r="B40" s="692"/>
      <c r="C40" s="148">
        <f>SUM(C4:C39)</f>
        <v>56400.552000000011</v>
      </c>
      <c r="D40" s="148">
        <f>SUM(D4:D39)</f>
        <v>11554.308000000005</v>
      </c>
      <c r="E40" s="148">
        <f>SUM(E4:E39)</f>
        <v>12911.423399999991</v>
      </c>
      <c r="F40" s="148">
        <f>SUM(F4:F39)</f>
        <v>78.125000000000057</v>
      </c>
      <c r="G40" s="148">
        <f>SUM(G4:G39)</f>
        <v>80944.408400000044</v>
      </c>
      <c r="J40" s="689" t="s">
        <v>420</v>
      </c>
      <c r="K40" s="689"/>
      <c r="L40" s="325">
        <f>SUM(L4:L39)</f>
        <v>45116.963000000003</v>
      </c>
      <c r="M40" s="325">
        <f t="shared" ref="M40:P40" si="17">SUM(M4:M39)</f>
        <v>9571.4650000000001</v>
      </c>
      <c r="N40" s="325">
        <f t="shared" si="17"/>
        <v>10390.801319999991</v>
      </c>
      <c r="O40" s="325">
        <f t="shared" si="17"/>
        <v>113.12500000000009</v>
      </c>
      <c r="P40" s="325">
        <f t="shared" si="17"/>
        <v>65192.354319999984</v>
      </c>
      <c r="S40" s="689" t="s">
        <v>420</v>
      </c>
      <c r="T40" s="689"/>
      <c r="U40" s="325">
        <f>SUM(U4:U39)</f>
        <v>49572.633000000002</v>
      </c>
      <c r="V40" s="325">
        <f t="shared" ref="V40:Y40" si="18">SUM(V4:V39)</f>
        <v>10517.127000000002</v>
      </c>
      <c r="W40" s="325">
        <f t="shared" si="18"/>
        <v>11417.054400000006</v>
      </c>
      <c r="X40" s="325">
        <f t="shared" si="18"/>
        <v>113.12500000000009</v>
      </c>
      <c r="Y40" s="325">
        <f t="shared" si="18"/>
        <v>71619.939399999959</v>
      </c>
      <c r="AC40" s="689" t="s">
        <v>420</v>
      </c>
      <c r="AD40" s="689"/>
      <c r="AE40" s="325">
        <f>SUM(AE4:AE39)</f>
        <v>73106.952000000005</v>
      </c>
      <c r="AF40" s="325">
        <f t="shared" ref="AF40:AI40" si="19">SUM(AF4:AF39)</f>
        <v>16104.396000000001</v>
      </c>
      <c r="AG40" s="325">
        <f t="shared" si="19"/>
        <v>16950.156120000014</v>
      </c>
      <c r="AH40" s="325">
        <f t="shared" si="19"/>
        <v>113.52500000000008</v>
      </c>
      <c r="AI40" s="325">
        <f t="shared" si="19"/>
        <v>106275.02911999995</v>
      </c>
      <c r="AM40" s="689" t="s">
        <v>420</v>
      </c>
      <c r="AN40" s="689"/>
      <c r="AO40" s="325">
        <f>SUM(AO4:AO39)</f>
        <v>250601.21999999988</v>
      </c>
      <c r="AP40" s="325">
        <f t="shared" ref="AP40:AQ40" si="20">SUM(AP4:AP39)</f>
        <v>47614.231800000023</v>
      </c>
      <c r="AQ40" s="325">
        <f t="shared" si="20"/>
        <v>298215.45180000016</v>
      </c>
      <c r="AU40" s="689" t="s">
        <v>420</v>
      </c>
      <c r="AV40" s="689"/>
      <c r="AW40" s="325">
        <f>SUM(AW4:AW39)</f>
        <v>78903.864000000001</v>
      </c>
      <c r="AX40" s="325">
        <f t="shared" ref="AX40:AY40" si="21">SUM(AX4:AX39)</f>
        <v>14991.734160000005</v>
      </c>
      <c r="AY40" s="325">
        <f t="shared" si="21"/>
        <v>93967.598160000038</v>
      </c>
      <c r="BC40" s="689" t="s">
        <v>420</v>
      </c>
      <c r="BD40" s="689"/>
      <c r="BE40" s="325">
        <f>SUM(BE4:BE39)</f>
        <v>173333.62800000011</v>
      </c>
      <c r="BF40" s="325">
        <f t="shared" ref="BF40:BG40" si="22">SUM(BF4:BF39)</f>
        <v>32933.389320000009</v>
      </c>
      <c r="BG40" s="325">
        <f t="shared" si="22"/>
        <v>206339.01731999993</v>
      </c>
    </row>
    <row r="41" spans="1:59" x14ac:dyDescent="0.25">
      <c r="A41" s="690" t="s">
        <v>421</v>
      </c>
      <c r="B41" s="690"/>
      <c r="C41" s="149">
        <f>SUM(C4:C22)</f>
        <v>27107.43</v>
      </c>
      <c r="D41" s="149">
        <f t="shared" ref="D41:G41" si="23">SUM(D4:D22)</f>
        <v>8757.6350000000002</v>
      </c>
      <c r="E41" s="149">
        <f t="shared" si="23"/>
        <v>6814.3623499999976</v>
      </c>
      <c r="F41" s="149">
        <f t="shared" si="23"/>
        <v>40.47</v>
      </c>
      <c r="G41" s="149">
        <f t="shared" si="23"/>
        <v>42719.897350000021</v>
      </c>
      <c r="J41" s="691" t="s">
        <v>421</v>
      </c>
      <c r="K41" s="691"/>
      <c r="L41" s="326">
        <f>SUM(L4:L18)</f>
        <v>16583</v>
      </c>
      <c r="M41" s="326">
        <f t="shared" ref="M41:P41" si="24">SUM(M4:M18)</f>
        <v>6203.8449999999984</v>
      </c>
      <c r="N41" s="326">
        <f t="shared" si="24"/>
        <v>4329.5005500000007</v>
      </c>
      <c r="O41" s="326">
        <f t="shared" si="24"/>
        <v>45.610000000000014</v>
      </c>
      <c r="P41" s="326">
        <f t="shared" si="24"/>
        <v>27161.955549999995</v>
      </c>
      <c r="S41" s="691" t="s">
        <v>421</v>
      </c>
      <c r="T41" s="691"/>
      <c r="U41" s="326">
        <f>SUM(U4:U17)</f>
        <v>17081.482</v>
      </c>
      <c r="V41" s="326">
        <f t="shared" ref="V41:Y41" si="25">SUM(V4:V17)</f>
        <v>6286.7580000000007</v>
      </c>
      <c r="W41" s="326">
        <f t="shared" si="25"/>
        <v>4439.9656000000014</v>
      </c>
      <c r="X41" s="326">
        <f t="shared" si="25"/>
        <v>42.39500000000001</v>
      </c>
      <c r="Y41" s="326">
        <f t="shared" si="25"/>
        <v>27850.600600000002</v>
      </c>
      <c r="AC41" s="691" t="s">
        <v>421</v>
      </c>
      <c r="AD41" s="691"/>
      <c r="AE41" s="326">
        <f>SUM(AE4:AE15)</f>
        <v>21009.453999999998</v>
      </c>
      <c r="AF41" s="326">
        <f t="shared" ref="AF41:AI41" si="26">SUM(AF4:AF15)</f>
        <v>8727.6620000000003</v>
      </c>
      <c r="AG41" s="326">
        <f t="shared" si="26"/>
        <v>5650.0520399999996</v>
      </c>
      <c r="AH41" s="326">
        <f t="shared" si="26"/>
        <v>36.364999999999995</v>
      </c>
      <c r="AI41" s="326">
        <f t="shared" si="26"/>
        <v>35423.533039999988</v>
      </c>
      <c r="AM41" s="691" t="s">
        <v>421</v>
      </c>
      <c r="AN41" s="691"/>
      <c r="AO41" s="326">
        <f>AO4</f>
        <v>6961.1450000000004</v>
      </c>
      <c r="AP41" s="326">
        <f t="shared" ref="AP41:AQ41" si="27">AP4</f>
        <v>1322.6175500000002</v>
      </c>
      <c r="AQ41" s="326">
        <f t="shared" si="27"/>
        <v>8283.7625500000013</v>
      </c>
      <c r="AU41" s="691" t="s">
        <v>421</v>
      </c>
      <c r="AV41" s="691"/>
      <c r="AW41" s="326">
        <f>AW4</f>
        <v>2191.7739999999999</v>
      </c>
      <c r="AX41" s="326">
        <f t="shared" ref="AX41:AY41" si="28">AX4</f>
        <v>416.43705999999997</v>
      </c>
      <c r="AY41" s="326">
        <f t="shared" si="28"/>
        <v>2610.2110599999996</v>
      </c>
      <c r="BC41" s="691" t="s">
        <v>421</v>
      </c>
      <c r="BD41" s="691"/>
      <c r="BE41" s="326">
        <f>SUM(BE4)</f>
        <v>4814.8230000000003</v>
      </c>
      <c r="BF41" s="326">
        <f t="shared" ref="BF41:BG41" si="29">SUM(BF4)</f>
        <v>914.81637000000012</v>
      </c>
      <c r="BG41" s="326">
        <f t="shared" si="29"/>
        <v>5731.6393700000008</v>
      </c>
    </row>
    <row r="42" spans="1:59" x14ac:dyDescent="0.25">
      <c r="A42" s="693" t="s">
        <v>422</v>
      </c>
      <c r="B42" s="693"/>
      <c r="C42" s="150">
        <f>+C40-C41</f>
        <v>29293.12200000001</v>
      </c>
      <c r="D42" s="150">
        <f>+D40-D41</f>
        <v>2796.6730000000043</v>
      </c>
      <c r="E42" s="150">
        <f>+E40-E41</f>
        <v>6097.061049999993</v>
      </c>
      <c r="F42" s="150">
        <f>+F40-F41</f>
        <v>37.655000000000058</v>
      </c>
      <c r="G42" s="150">
        <f>+G40-G41</f>
        <v>38224.511050000023</v>
      </c>
      <c r="J42" s="694" t="s">
        <v>422</v>
      </c>
      <c r="K42" s="694"/>
      <c r="L42" s="150">
        <f>+L40-L41</f>
        <v>28533.963000000003</v>
      </c>
      <c r="M42" s="150">
        <f>+M40-M41</f>
        <v>3367.6200000000017</v>
      </c>
      <c r="N42" s="150">
        <f>+N40-N41</f>
        <v>6061.3007699999907</v>
      </c>
      <c r="O42" s="150">
        <f>+O40-O41</f>
        <v>67.515000000000072</v>
      </c>
      <c r="P42" s="150">
        <f>+P40-P41</f>
        <v>38030.398769999985</v>
      </c>
      <c r="S42" s="694" t="s">
        <v>422</v>
      </c>
      <c r="T42" s="694"/>
      <c r="U42" s="150">
        <f>+U40-U41</f>
        <v>32491.151000000002</v>
      </c>
      <c r="V42" s="150">
        <f>+V40-V41</f>
        <v>4230.3690000000015</v>
      </c>
      <c r="W42" s="150">
        <f>+W40-W41</f>
        <v>6977.088800000005</v>
      </c>
      <c r="X42" s="150">
        <f>+X40-X41</f>
        <v>70.730000000000075</v>
      </c>
      <c r="Y42" s="150">
        <f>+Y40-Y41</f>
        <v>43769.338799999954</v>
      </c>
      <c r="AC42" s="694" t="s">
        <v>422</v>
      </c>
      <c r="AD42" s="694"/>
      <c r="AE42" s="330">
        <f>+AE40-AE41</f>
        <v>52097.498000000007</v>
      </c>
      <c r="AF42" s="330">
        <f>+AF40-AF41</f>
        <v>7376.7340000000004</v>
      </c>
      <c r="AG42" s="330">
        <f>+AG40-AG41</f>
        <v>11300.104080000016</v>
      </c>
      <c r="AH42" s="330">
        <f>+AH40-AH41</f>
        <v>77.160000000000082</v>
      </c>
      <c r="AI42" s="330">
        <f>+AI40-AI41</f>
        <v>70851.496079999954</v>
      </c>
      <c r="AM42" s="694" t="s">
        <v>422</v>
      </c>
      <c r="AN42" s="694"/>
      <c r="AO42" s="330">
        <f>AO40-AO41</f>
        <v>243640.0749999999</v>
      </c>
      <c r="AP42" s="330">
        <f t="shared" ref="AP42:AQ42" si="30">AP40-AP41</f>
        <v>46291.614250000021</v>
      </c>
      <c r="AQ42" s="330">
        <f t="shared" si="30"/>
        <v>289931.68925000017</v>
      </c>
      <c r="AU42" s="694" t="s">
        <v>422</v>
      </c>
      <c r="AV42" s="694"/>
      <c r="AW42" s="330">
        <f>AW40-AW41</f>
        <v>76712.09</v>
      </c>
      <c r="AX42" s="330">
        <f t="shared" ref="AX42:AY42" si="31">AX40-AX41</f>
        <v>14575.297100000005</v>
      </c>
      <c r="AY42" s="330">
        <f t="shared" si="31"/>
        <v>91357.387100000036</v>
      </c>
      <c r="BC42" s="694" t="s">
        <v>422</v>
      </c>
      <c r="BD42" s="694"/>
      <c r="BE42" s="330">
        <f>BE40-BE41</f>
        <v>168518.80500000011</v>
      </c>
      <c r="BF42" s="330">
        <f t="shared" ref="BF42:BG42" si="32">BF40-BF41</f>
        <v>32018.572950000009</v>
      </c>
      <c r="BG42" s="330">
        <f t="shared" si="32"/>
        <v>200607.37794999994</v>
      </c>
    </row>
    <row r="47" spans="1:59" x14ac:dyDescent="0.25">
      <c r="AG47" s="448">
        <f>AF40/(AE40+AF40)</f>
        <v>0.18051959040009127</v>
      </c>
    </row>
  </sheetData>
  <mergeCells count="66">
    <mergeCell ref="BC1:BE1"/>
    <mergeCell ref="BF1:BG1"/>
    <mergeCell ref="BC2:BG2"/>
    <mergeCell ref="BC40:BD40"/>
    <mergeCell ref="BC41:BD41"/>
    <mergeCell ref="AU42:AV42"/>
    <mergeCell ref="BK10:BM10"/>
    <mergeCell ref="BK13:BM13"/>
    <mergeCell ref="BK15:BM15"/>
    <mergeCell ref="BK18:BM18"/>
    <mergeCell ref="BK23:BM23"/>
    <mergeCell ref="BK20:BM20"/>
    <mergeCell ref="BK25:BM25"/>
    <mergeCell ref="BK27:BM27"/>
    <mergeCell ref="BC42:BD42"/>
    <mergeCell ref="A42:B42"/>
    <mergeCell ref="J42:K42"/>
    <mergeCell ref="S42:T42"/>
    <mergeCell ref="AC42:AD42"/>
    <mergeCell ref="AM42:AN42"/>
    <mergeCell ref="AM40:AN40"/>
    <mergeCell ref="AU40:AV40"/>
    <mergeCell ref="A41:B41"/>
    <mergeCell ref="J41:K41"/>
    <mergeCell ref="S41:T41"/>
    <mergeCell ref="AC41:AD41"/>
    <mergeCell ref="AM41:AN41"/>
    <mergeCell ref="A40:B40"/>
    <mergeCell ref="J40:K40"/>
    <mergeCell ref="S40:T40"/>
    <mergeCell ref="AC40:AD40"/>
    <mergeCell ref="AU41:AV41"/>
    <mergeCell ref="CC3:CD3"/>
    <mergeCell ref="BK5:BL5"/>
    <mergeCell ref="BT5:BT6"/>
    <mergeCell ref="BU5:BU6"/>
    <mergeCell ref="BV5:BV6"/>
    <mergeCell ref="CA3:CA4"/>
    <mergeCell ref="CB3:CB4"/>
    <mergeCell ref="BK8:BM8"/>
    <mergeCell ref="BW3:BW4"/>
    <mergeCell ref="BX3:BX4"/>
    <mergeCell ref="BY3:BY4"/>
    <mergeCell ref="BZ3:BZ4"/>
    <mergeCell ref="BU3:BV3"/>
    <mergeCell ref="AM2:AQ2"/>
    <mergeCell ref="AU2:AY2"/>
    <mergeCell ref="BK2:BR2"/>
    <mergeCell ref="BK3:BR3"/>
    <mergeCell ref="BT3:BT4"/>
    <mergeCell ref="AM1:AO1"/>
    <mergeCell ref="AP1:AQ1"/>
    <mergeCell ref="AU1:AW1"/>
    <mergeCell ref="AX1:AY1"/>
    <mergeCell ref="A2:G2"/>
    <mergeCell ref="J2:P2"/>
    <mergeCell ref="S2:Y2"/>
    <mergeCell ref="AC2:AI2"/>
    <mergeCell ref="J1:L1"/>
    <mergeCell ref="M1:P1"/>
    <mergeCell ref="S1:U1"/>
    <mergeCell ref="V1:Y1"/>
    <mergeCell ref="AC1:AE1"/>
    <mergeCell ref="AF1:AI1"/>
    <mergeCell ref="A1:C1"/>
    <mergeCell ref="D1:G1"/>
  </mergeCells>
  <pageMargins left="0.7" right="0.7" top="0.75" bottom="0.75" header="0.3" footer="0.3"/>
  <pageSetup paperSize="9" orientation="portrait" horizontalDpi="180" verticalDpi="180" r:id="rId1"/>
  <ignoredErrors>
    <ignoredError sqref="C41:G41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1F2C1-8C62-47B5-B337-7D1D0830F81B}">
  <sheetPr>
    <tabColor rgb="FFFFFF00"/>
  </sheetPr>
  <dimension ref="B1:T42"/>
  <sheetViews>
    <sheetView zoomScale="80" zoomScaleNormal="80" workbookViewId="0">
      <selection activeCell="L15" sqref="L15:R15"/>
    </sheetView>
  </sheetViews>
  <sheetFormatPr baseColWidth="10" defaultColWidth="10.7109375" defaultRowHeight="15.75" x14ac:dyDescent="0.25"/>
  <cols>
    <col min="1" max="1" width="1.28515625" customWidth="1"/>
    <col min="2" max="2" width="3.7109375" style="358" bestFit="1" customWidth="1"/>
    <col min="3" max="3" width="11.28515625" style="358" bestFit="1" customWidth="1"/>
    <col min="4" max="4" width="13.42578125" style="327" bestFit="1" customWidth="1"/>
    <col min="5" max="5" width="11" style="327" bestFit="1" customWidth="1"/>
    <col min="6" max="6" width="8" style="327" bestFit="1" customWidth="1"/>
    <col min="7" max="7" width="7.85546875" style="327" bestFit="1" customWidth="1"/>
    <col min="8" max="8" width="13.85546875" style="327" bestFit="1" customWidth="1"/>
    <col min="9" max="9" width="1.28515625" customWidth="1"/>
    <col min="10" max="10" width="1.42578125" style="153" customWidth="1"/>
    <col min="11" max="11" width="1.28515625" customWidth="1"/>
    <col min="12" max="12" width="3.7109375" style="358" bestFit="1" customWidth="1"/>
    <col min="13" max="13" width="11.28515625" style="358" bestFit="1" customWidth="1"/>
    <col min="14" max="14" width="13.42578125" style="327" bestFit="1" customWidth="1"/>
    <col min="15" max="15" width="11" style="327" bestFit="1" customWidth="1"/>
    <col min="16" max="16" width="8" style="327" bestFit="1" customWidth="1"/>
    <col min="17" max="17" width="7.85546875" style="327" bestFit="1" customWidth="1"/>
    <col min="18" max="18" width="13.85546875" style="327" bestFit="1" customWidth="1"/>
    <col min="19" max="19" width="1.28515625" customWidth="1"/>
    <col min="20" max="20" width="1.42578125" style="153" customWidth="1"/>
  </cols>
  <sheetData>
    <row r="1" spans="2:18" x14ac:dyDescent="0.25">
      <c r="B1" s="659" t="s">
        <v>856</v>
      </c>
      <c r="C1" s="659"/>
      <c r="D1" s="659"/>
      <c r="E1" s="660" t="s">
        <v>56</v>
      </c>
      <c r="F1" s="660"/>
      <c r="G1" s="660"/>
      <c r="H1" s="660"/>
      <c r="L1" s="659" t="s">
        <v>858</v>
      </c>
      <c r="M1" s="659"/>
      <c r="N1" s="659"/>
      <c r="O1" s="660" t="s">
        <v>56</v>
      </c>
      <c r="P1" s="660"/>
      <c r="Q1" s="660"/>
      <c r="R1" s="660"/>
    </row>
    <row r="2" spans="2:18" x14ac:dyDescent="0.25">
      <c r="B2" s="662" t="s">
        <v>857</v>
      </c>
      <c r="C2" s="662"/>
      <c r="D2" s="662"/>
      <c r="E2" s="662"/>
      <c r="F2" s="662"/>
      <c r="G2" s="662"/>
      <c r="H2" s="662"/>
      <c r="L2" s="662" t="s">
        <v>859</v>
      </c>
      <c r="M2" s="662"/>
      <c r="N2" s="662"/>
      <c r="O2" s="662"/>
      <c r="P2" s="662"/>
      <c r="Q2" s="662"/>
      <c r="R2" s="662"/>
    </row>
    <row r="3" spans="2:18" x14ac:dyDescent="0.25">
      <c r="B3" s="331" t="s">
        <v>414</v>
      </c>
      <c r="C3" s="331" t="s">
        <v>8</v>
      </c>
      <c r="D3" s="329" t="s">
        <v>415</v>
      </c>
      <c r="E3" s="329" t="s">
        <v>416</v>
      </c>
      <c r="F3" s="329" t="s">
        <v>417</v>
      </c>
      <c r="G3" s="329" t="s">
        <v>418</v>
      </c>
      <c r="H3" s="329" t="s">
        <v>419</v>
      </c>
      <c r="L3" s="331" t="s">
        <v>414</v>
      </c>
      <c r="M3" s="331" t="s">
        <v>8</v>
      </c>
      <c r="N3" s="329" t="s">
        <v>415</v>
      </c>
      <c r="O3" s="329" t="s">
        <v>416</v>
      </c>
      <c r="P3" s="329" t="s">
        <v>417</v>
      </c>
      <c r="Q3" s="329" t="s">
        <v>418</v>
      </c>
      <c r="R3" s="329" t="s">
        <v>419</v>
      </c>
    </row>
    <row r="4" spans="2:18" x14ac:dyDescent="0.25">
      <c r="B4" s="334">
        <v>1</v>
      </c>
      <c r="C4" s="335">
        <v>45056</v>
      </c>
      <c r="D4" s="328">
        <v>4797.08</v>
      </c>
      <c r="E4" s="328">
        <v>0</v>
      </c>
      <c r="F4" s="328">
        <f t="shared" ref="F4:F39" si="0">(D4+E4)*0.19</f>
        <v>911.4452</v>
      </c>
      <c r="G4" s="328">
        <v>1</v>
      </c>
      <c r="H4" s="328">
        <f t="shared" ref="H4:H39" si="1">SUM(D4:G4)</f>
        <v>5709.5252</v>
      </c>
      <c r="L4" s="334">
        <v>1</v>
      </c>
      <c r="M4" s="335">
        <v>45056</v>
      </c>
      <c r="N4" s="328">
        <v>1104.0940000000001</v>
      </c>
      <c r="O4" s="328">
        <v>564.87900000000002</v>
      </c>
      <c r="P4" s="328">
        <f t="shared" ref="P4:P39" si="2">(N4+O4)*0.19</f>
        <v>317.10487000000001</v>
      </c>
      <c r="Q4" s="328">
        <v>1</v>
      </c>
      <c r="R4" s="328">
        <f t="shared" ref="R4:R39" si="3">SUM(N4:Q4)</f>
        <v>1987.0778700000001</v>
      </c>
    </row>
    <row r="5" spans="2:18" x14ac:dyDescent="0.25">
      <c r="B5" s="334">
        <f t="shared" ref="B5:B39" si="4">+B4+1</f>
        <v>2</v>
      </c>
      <c r="C5" s="335">
        <v>45087</v>
      </c>
      <c r="D5" s="328">
        <v>3254.1849999999999</v>
      </c>
      <c r="E5" s="328">
        <v>1533.365</v>
      </c>
      <c r="F5" s="328">
        <f t="shared" si="0"/>
        <v>909.6345</v>
      </c>
      <c r="G5" s="328">
        <v>2.6150000000000002</v>
      </c>
      <c r="H5" s="328">
        <f t="shared" si="1"/>
        <v>5699.7995000000001</v>
      </c>
      <c r="L5" s="334">
        <f t="shared" ref="L5:L39" si="5">+L4+1</f>
        <v>2</v>
      </c>
      <c r="M5" s="335">
        <v>45087</v>
      </c>
      <c r="N5" s="328">
        <v>1117.2049999999999</v>
      </c>
      <c r="O5" s="328">
        <v>551.76800000000003</v>
      </c>
      <c r="P5" s="328">
        <f t="shared" si="2"/>
        <v>317.10487000000001</v>
      </c>
      <c r="Q5" s="328">
        <v>3.6150000000000002</v>
      </c>
      <c r="R5" s="328">
        <f t="shared" si="3"/>
        <v>1989.6928700000001</v>
      </c>
    </row>
    <row r="6" spans="2:18" x14ac:dyDescent="0.25">
      <c r="B6" s="334">
        <f t="shared" si="4"/>
        <v>3</v>
      </c>
      <c r="C6" s="335">
        <v>45117</v>
      </c>
      <c r="D6" s="328">
        <v>3242.8409999999999</v>
      </c>
      <c r="E6" s="328">
        <v>1544.7090000000001</v>
      </c>
      <c r="F6" s="328">
        <f t="shared" si="0"/>
        <v>909.6345</v>
      </c>
      <c r="G6" s="328">
        <v>2.6150000000000002</v>
      </c>
      <c r="H6" s="328">
        <f t="shared" si="1"/>
        <v>5699.7995000000001</v>
      </c>
      <c r="L6" s="334">
        <f t="shared" si="5"/>
        <v>3</v>
      </c>
      <c r="M6" s="335">
        <v>45117</v>
      </c>
      <c r="N6" s="328">
        <v>1130.472</v>
      </c>
      <c r="O6" s="328">
        <v>538.50099999999998</v>
      </c>
      <c r="P6" s="328">
        <f t="shared" si="2"/>
        <v>317.10487000000001</v>
      </c>
      <c r="Q6" s="328">
        <v>3.6150000000000002</v>
      </c>
      <c r="R6" s="328">
        <f t="shared" si="3"/>
        <v>1989.6928700000001</v>
      </c>
    </row>
    <row r="7" spans="2:18" x14ac:dyDescent="0.25">
      <c r="B7" s="334">
        <f t="shared" si="4"/>
        <v>4</v>
      </c>
      <c r="C7" s="335">
        <v>45148</v>
      </c>
      <c r="D7" s="328">
        <v>3281.35</v>
      </c>
      <c r="E7" s="328">
        <v>1506.2</v>
      </c>
      <c r="F7" s="328">
        <f t="shared" si="0"/>
        <v>909.6345</v>
      </c>
      <c r="G7" s="328">
        <v>2.6150000000000002</v>
      </c>
      <c r="H7" s="328">
        <f t="shared" si="1"/>
        <v>5699.7995000000001</v>
      </c>
      <c r="L7" s="334">
        <f t="shared" si="5"/>
        <v>4</v>
      </c>
      <c r="M7" s="335">
        <v>45148</v>
      </c>
      <c r="N7" s="328">
        <v>1143.896</v>
      </c>
      <c r="O7" s="328">
        <v>525.077</v>
      </c>
      <c r="P7" s="328">
        <f t="shared" si="2"/>
        <v>317.10487000000001</v>
      </c>
      <c r="Q7" s="328">
        <v>3.6150000000000002</v>
      </c>
      <c r="R7" s="328">
        <f t="shared" si="3"/>
        <v>1989.6928700000001</v>
      </c>
    </row>
    <row r="8" spans="2:18" x14ac:dyDescent="0.25">
      <c r="B8" s="334">
        <f t="shared" si="4"/>
        <v>5</v>
      </c>
      <c r="C8" s="143">
        <v>45179</v>
      </c>
      <c r="D8" s="328">
        <v>3320.3159999999998</v>
      </c>
      <c r="E8" s="328">
        <v>1467.2339999999999</v>
      </c>
      <c r="F8" s="328">
        <f t="shared" si="0"/>
        <v>909.63449999999989</v>
      </c>
      <c r="G8" s="328">
        <v>2.6150000000000002</v>
      </c>
      <c r="H8" s="328">
        <f t="shared" si="1"/>
        <v>5699.7994999999992</v>
      </c>
      <c r="L8" s="334">
        <f t="shared" si="5"/>
        <v>5</v>
      </c>
      <c r="M8" s="143">
        <v>45179</v>
      </c>
      <c r="N8" s="328">
        <v>1157.48</v>
      </c>
      <c r="O8" s="328">
        <v>511.49299999999999</v>
      </c>
      <c r="P8" s="328">
        <f t="shared" si="2"/>
        <v>317.10487000000001</v>
      </c>
      <c r="Q8" s="328">
        <v>3.6150000000000002</v>
      </c>
      <c r="R8" s="328">
        <f t="shared" si="3"/>
        <v>1989.6928700000001</v>
      </c>
    </row>
    <row r="9" spans="2:18" x14ac:dyDescent="0.25">
      <c r="B9" s="334">
        <f t="shared" si="4"/>
        <v>6</v>
      </c>
      <c r="C9" s="143">
        <v>45209</v>
      </c>
      <c r="D9" s="328">
        <v>3359.7449999999999</v>
      </c>
      <c r="E9" s="328">
        <v>1427.8050000000001</v>
      </c>
      <c r="F9" s="328">
        <f t="shared" si="0"/>
        <v>909.6345</v>
      </c>
      <c r="G9" s="328">
        <v>2.6150000000000002</v>
      </c>
      <c r="H9" s="328">
        <f t="shared" si="1"/>
        <v>5699.7995000000001</v>
      </c>
      <c r="L9" s="334">
        <f t="shared" si="5"/>
        <v>6</v>
      </c>
      <c r="M9" s="143">
        <v>45209</v>
      </c>
      <c r="N9" s="328">
        <v>1171.2249999999999</v>
      </c>
      <c r="O9" s="328">
        <v>497.74799999999999</v>
      </c>
      <c r="P9" s="328">
        <f t="shared" si="2"/>
        <v>317.10487000000001</v>
      </c>
      <c r="Q9" s="328">
        <v>3.6150000000000002</v>
      </c>
      <c r="R9" s="328">
        <f t="shared" si="3"/>
        <v>1989.6928700000001</v>
      </c>
    </row>
    <row r="10" spans="2:18" x14ac:dyDescent="0.25">
      <c r="B10" s="334">
        <f t="shared" si="4"/>
        <v>7</v>
      </c>
      <c r="C10" s="143">
        <v>45240</v>
      </c>
      <c r="D10" s="328">
        <v>3399.6419999999998</v>
      </c>
      <c r="E10" s="328">
        <v>1387.9079999999999</v>
      </c>
      <c r="F10" s="328">
        <f t="shared" si="0"/>
        <v>909.63449999999989</v>
      </c>
      <c r="G10" s="328">
        <v>2.6150000000000002</v>
      </c>
      <c r="H10" s="328">
        <f t="shared" si="1"/>
        <v>5699.7994999999992</v>
      </c>
      <c r="L10" s="334">
        <f t="shared" si="5"/>
        <v>7</v>
      </c>
      <c r="M10" s="143">
        <v>45240</v>
      </c>
      <c r="N10" s="328">
        <v>1185.133</v>
      </c>
      <c r="O10" s="328">
        <v>483.84</v>
      </c>
      <c r="P10" s="328">
        <f t="shared" si="2"/>
        <v>317.10487000000001</v>
      </c>
      <c r="Q10" s="328">
        <v>3.6150000000000002</v>
      </c>
      <c r="R10" s="328">
        <f t="shared" si="3"/>
        <v>1989.6928700000001</v>
      </c>
    </row>
    <row r="11" spans="2:18" x14ac:dyDescent="0.25">
      <c r="B11" s="334">
        <f t="shared" si="4"/>
        <v>8</v>
      </c>
      <c r="C11" s="143">
        <v>45270</v>
      </c>
      <c r="D11" s="328">
        <v>3440.0120000000002</v>
      </c>
      <c r="E11" s="328">
        <v>1347.538</v>
      </c>
      <c r="F11" s="328">
        <f t="shared" si="0"/>
        <v>909.6345</v>
      </c>
      <c r="G11" s="328">
        <v>2.6150000000000002</v>
      </c>
      <c r="H11" s="328">
        <f t="shared" si="1"/>
        <v>5699.7995000000001</v>
      </c>
      <c r="L11" s="334">
        <f t="shared" si="5"/>
        <v>8</v>
      </c>
      <c r="M11" s="143">
        <v>45270</v>
      </c>
      <c r="N11" s="328">
        <v>1199.2059999999999</v>
      </c>
      <c r="O11" s="328">
        <v>469.767</v>
      </c>
      <c r="P11" s="328">
        <f t="shared" si="2"/>
        <v>317.10487000000001</v>
      </c>
      <c r="Q11" s="328">
        <v>3.6150000000000002</v>
      </c>
      <c r="R11" s="328">
        <f t="shared" si="3"/>
        <v>1989.6928700000001</v>
      </c>
    </row>
    <row r="12" spans="2:18" x14ac:dyDescent="0.25">
      <c r="B12" s="334">
        <f t="shared" si="4"/>
        <v>9</v>
      </c>
      <c r="C12" s="143">
        <v>45301</v>
      </c>
      <c r="D12" s="328">
        <v>3480.8620000000001</v>
      </c>
      <c r="E12" s="328">
        <v>1306.6880000000001</v>
      </c>
      <c r="F12" s="328">
        <f t="shared" si="0"/>
        <v>909.6345</v>
      </c>
      <c r="G12" s="328">
        <v>2.6150000000000002</v>
      </c>
      <c r="H12" s="328">
        <f t="shared" si="1"/>
        <v>5699.7995000000001</v>
      </c>
      <c r="L12" s="334">
        <f t="shared" si="5"/>
        <v>9</v>
      </c>
      <c r="M12" s="143">
        <v>45301</v>
      </c>
      <c r="N12" s="328">
        <v>1213.4469999999999</v>
      </c>
      <c r="O12" s="328">
        <v>455.52600000000001</v>
      </c>
      <c r="P12" s="328">
        <f t="shared" si="2"/>
        <v>317.10487000000001</v>
      </c>
      <c r="Q12" s="328">
        <v>3.6150000000000002</v>
      </c>
      <c r="R12" s="328">
        <f t="shared" si="3"/>
        <v>1989.6928700000001</v>
      </c>
    </row>
    <row r="13" spans="2:18" x14ac:dyDescent="0.25">
      <c r="B13" s="334">
        <f t="shared" si="4"/>
        <v>10</v>
      </c>
      <c r="C13" s="143">
        <v>45332</v>
      </c>
      <c r="D13" s="328">
        <v>3522.1979999999999</v>
      </c>
      <c r="E13" s="328">
        <v>1265.3520000000001</v>
      </c>
      <c r="F13" s="328">
        <f t="shared" si="0"/>
        <v>909.6345</v>
      </c>
      <c r="G13" s="328">
        <v>2.6150000000000002</v>
      </c>
      <c r="H13" s="328">
        <f t="shared" si="1"/>
        <v>5699.7995000000001</v>
      </c>
      <c r="L13" s="334">
        <f t="shared" si="5"/>
        <v>10</v>
      </c>
      <c r="M13" s="143">
        <v>45332</v>
      </c>
      <c r="N13" s="328">
        <v>1227.857</v>
      </c>
      <c r="O13" s="328">
        <v>441.11599999999999</v>
      </c>
      <c r="P13" s="328">
        <f t="shared" si="2"/>
        <v>317.10487000000001</v>
      </c>
      <c r="Q13" s="328">
        <v>3.6150000000000002</v>
      </c>
      <c r="R13" s="328">
        <f t="shared" si="3"/>
        <v>1989.6928700000001</v>
      </c>
    </row>
    <row r="14" spans="2:18" x14ac:dyDescent="0.25">
      <c r="B14" s="334">
        <f t="shared" si="4"/>
        <v>11</v>
      </c>
      <c r="C14" s="143">
        <v>45361</v>
      </c>
      <c r="D14" s="328">
        <v>3564.0239999999999</v>
      </c>
      <c r="E14" s="328">
        <v>1223.5260000000001</v>
      </c>
      <c r="F14" s="328">
        <f t="shared" si="0"/>
        <v>909.6345</v>
      </c>
      <c r="G14" s="328">
        <v>2.6150000000000002</v>
      </c>
      <c r="H14" s="328">
        <f t="shared" si="1"/>
        <v>5699.7995000000001</v>
      </c>
      <c r="L14" s="334">
        <f t="shared" si="5"/>
        <v>11</v>
      </c>
      <c r="M14" s="143">
        <v>45361</v>
      </c>
      <c r="N14" s="328">
        <v>1242.4380000000001</v>
      </c>
      <c r="O14" s="328">
        <v>426.53500000000003</v>
      </c>
      <c r="P14" s="328">
        <f t="shared" si="2"/>
        <v>317.10487000000006</v>
      </c>
      <c r="Q14" s="328">
        <v>3.6150000000000002</v>
      </c>
      <c r="R14" s="328">
        <f t="shared" si="3"/>
        <v>1989.6928700000003</v>
      </c>
    </row>
    <row r="15" spans="2:18" x14ac:dyDescent="0.25">
      <c r="B15" s="334">
        <f t="shared" si="4"/>
        <v>12</v>
      </c>
      <c r="C15" s="143">
        <v>45392</v>
      </c>
      <c r="D15" s="328">
        <v>3606.3470000000002</v>
      </c>
      <c r="E15" s="328">
        <v>1181.203</v>
      </c>
      <c r="F15" s="328">
        <f t="shared" si="0"/>
        <v>909.6345</v>
      </c>
      <c r="G15" s="328">
        <v>2.6150000000000002</v>
      </c>
      <c r="H15" s="328">
        <f t="shared" si="1"/>
        <v>5699.7995000000001</v>
      </c>
      <c r="L15" s="334">
        <f t="shared" si="5"/>
        <v>12</v>
      </c>
      <c r="M15" s="143">
        <v>45392</v>
      </c>
      <c r="N15" s="328">
        <v>1257.191</v>
      </c>
      <c r="O15" s="328">
        <v>411.78199999999998</v>
      </c>
      <c r="P15" s="328">
        <f t="shared" si="2"/>
        <v>317.10487000000001</v>
      </c>
      <c r="Q15" s="328">
        <v>3.6150000000000002</v>
      </c>
      <c r="R15" s="328">
        <f t="shared" si="3"/>
        <v>1989.6928700000001</v>
      </c>
    </row>
    <row r="16" spans="2:18" x14ac:dyDescent="0.25">
      <c r="B16" s="332">
        <f t="shared" si="4"/>
        <v>13</v>
      </c>
      <c r="C16" s="146">
        <v>45422</v>
      </c>
      <c r="D16" s="327">
        <v>3649.172</v>
      </c>
      <c r="E16" s="327">
        <v>1138.3779999999999</v>
      </c>
      <c r="F16" s="327">
        <f t="shared" si="0"/>
        <v>909.6345</v>
      </c>
      <c r="G16" s="327">
        <v>2.6150000000000002</v>
      </c>
      <c r="H16" s="327">
        <f t="shared" si="1"/>
        <v>5699.7995000000001</v>
      </c>
      <c r="L16" s="332">
        <f t="shared" si="5"/>
        <v>13</v>
      </c>
      <c r="M16" s="146">
        <v>45422</v>
      </c>
      <c r="N16" s="327">
        <v>1272.1210000000001</v>
      </c>
      <c r="O16" s="327">
        <v>396.85199999999998</v>
      </c>
      <c r="P16" s="327">
        <f t="shared" si="2"/>
        <v>317.10487000000001</v>
      </c>
      <c r="Q16" s="327">
        <v>3.6150000000000002</v>
      </c>
      <c r="R16" s="327">
        <f t="shared" si="3"/>
        <v>1989.6928700000001</v>
      </c>
    </row>
    <row r="17" spans="2:18" x14ac:dyDescent="0.25">
      <c r="B17" s="332">
        <f t="shared" si="4"/>
        <v>14</v>
      </c>
      <c r="C17" s="146">
        <v>45453</v>
      </c>
      <c r="D17" s="327">
        <v>3692.5059999999999</v>
      </c>
      <c r="E17" s="327">
        <v>1095.0440000000001</v>
      </c>
      <c r="F17" s="327">
        <f t="shared" si="0"/>
        <v>909.6345</v>
      </c>
      <c r="G17" s="327">
        <v>2.6150000000000002</v>
      </c>
      <c r="H17" s="327">
        <f t="shared" si="1"/>
        <v>5699.7995000000001</v>
      </c>
      <c r="L17" s="332">
        <f t="shared" si="5"/>
        <v>14</v>
      </c>
      <c r="M17" s="146">
        <v>45453</v>
      </c>
      <c r="N17" s="327">
        <v>1287.2270000000001</v>
      </c>
      <c r="O17" s="327">
        <v>381.74599999999998</v>
      </c>
      <c r="P17" s="327">
        <f t="shared" si="2"/>
        <v>317.10487000000001</v>
      </c>
      <c r="Q17" s="327">
        <v>3.6150000000000002</v>
      </c>
      <c r="R17" s="327">
        <f t="shared" si="3"/>
        <v>1989.6928700000001</v>
      </c>
    </row>
    <row r="18" spans="2:18" x14ac:dyDescent="0.25">
      <c r="B18" s="332">
        <f t="shared" si="4"/>
        <v>15</v>
      </c>
      <c r="C18" s="146">
        <v>45483</v>
      </c>
      <c r="D18" s="327">
        <v>3736.3539999999998</v>
      </c>
      <c r="E18" s="327">
        <v>1051.1959999999999</v>
      </c>
      <c r="F18" s="327">
        <f t="shared" si="0"/>
        <v>909.63449999999989</v>
      </c>
      <c r="G18" s="327">
        <v>2.6150000000000002</v>
      </c>
      <c r="H18" s="327">
        <f t="shared" si="1"/>
        <v>5699.7994999999992</v>
      </c>
      <c r="L18" s="332">
        <f t="shared" si="5"/>
        <v>15</v>
      </c>
      <c r="M18" s="146">
        <v>45483</v>
      </c>
      <c r="N18" s="327">
        <v>1302.5129999999999</v>
      </c>
      <c r="O18" s="327">
        <v>366.46</v>
      </c>
      <c r="P18" s="327">
        <f t="shared" si="2"/>
        <v>317.10487000000001</v>
      </c>
      <c r="Q18" s="327">
        <v>3.6150000000000002</v>
      </c>
      <c r="R18" s="327">
        <f t="shared" si="3"/>
        <v>1989.6928700000001</v>
      </c>
    </row>
    <row r="19" spans="2:18" x14ac:dyDescent="0.25">
      <c r="B19" s="332">
        <f t="shared" si="4"/>
        <v>16</v>
      </c>
      <c r="C19" s="146">
        <v>45514</v>
      </c>
      <c r="D19" s="327">
        <v>3780.7240000000002</v>
      </c>
      <c r="E19" s="327">
        <v>1006.826</v>
      </c>
      <c r="F19" s="327">
        <f t="shared" si="0"/>
        <v>909.6345</v>
      </c>
      <c r="G19" s="327">
        <v>2.6150000000000002</v>
      </c>
      <c r="H19" s="327">
        <f t="shared" si="1"/>
        <v>5699.7995000000001</v>
      </c>
      <c r="L19" s="332">
        <f t="shared" si="5"/>
        <v>16</v>
      </c>
      <c r="M19" s="146">
        <v>45514</v>
      </c>
      <c r="N19" s="327">
        <v>1317.98</v>
      </c>
      <c r="O19" s="327">
        <v>350.99299999999999</v>
      </c>
      <c r="P19" s="327">
        <f t="shared" si="2"/>
        <v>317.10487000000001</v>
      </c>
      <c r="Q19" s="327">
        <v>3.6150000000000002</v>
      </c>
      <c r="R19" s="327">
        <f t="shared" si="3"/>
        <v>1989.6928700000001</v>
      </c>
    </row>
    <row r="20" spans="2:18" x14ac:dyDescent="0.25">
      <c r="B20" s="332">
        <f t="shared" si="4"/>
        <v>17</v>
      </c>
      <c r="C20" s="146">
        <v>45545</v>
      </c>
      <c r="D20" s="327">
        <v>3825.62</v>
      </c>
      <c r="E20" s="327">
        <v>961.93</v>
      </c>
      <c r="F20" s="327">
        <f t="shared" si="0"/>
        <v>909.6345</v>
      </c>
      <c r="G20" s="327">
        <v>2.6150000000000002</v>
      </c>
      <c r="H20" s="327">
        <f t="shared" si="1"/>
        <v>5699.7995000000001</v>
      </c>
      <c r="L20" s="332">
        <f t="shared" si="5"/>
        <v>17</v>
      </c>
      <c r="M20" s="146">
        <v>45545</v>
      </c>
      <c r="N20" s="327">
        <v>1333.6310000000001</v>
      </c>
      <c r="O20" s="327">
        <v>335.34199999999998</v>
      </c>
      <c r="P20" s="327">
        <f t="shared" si="2"/>
        <v>317.10487000000001</v>
      </c>
      <c r="Q20" s="327">
        <v>3.6150000000000002</v>
      </c>
      <c r="R20" s="327">
        <f t="shared" si="3"/>
        <v>1989.6928700000001</v>
      </c>
    </row>
    <row r="21" spans="2:18" x14ac:dyDescent="0.25">
      <c r="B21" s="332">
        <f t="shared" si="4"/>
        <v>18</v>
      </c>
      <c r="C21" s="146">
        <v>45575</v>
      </c>
      <c r="D21" s="327">
        <v>3871.049</v>
      </c>
      <c r="E21" s="327">
        <v>916.50099999999998</v>
      </c>
      <c r="F21" s="327">
        <f t="shared" si="0"/>
        <v>909.6345</v>
      </c>
      <c r="G21" s="327">
        <v>2.6150000000000002</v>
      </c>
      <c r="H21" s="327">
        <f t="shared" si="1"/>
        <v>5699.7995000000001</v>
      </c>
      <c r="L21" s="332">
        <f t="shared" si="5"/>
        <v>18</v>
      </c>
      <c r="M21" s="146">
        <v>45575</v>
      </c>
      <c r="N21" s="327">
        <v>1349.4680000000001</v>
      </c>
      <c r="O21" s="327">
        <v>319.505</v>
      </c>
      <c r="P21" s="327">
        <f t="shared" si="2"/>
        <v>317.10487000000001</v>
      </c>
      <c r="Q21" s="327">
        <v>3.6150000000000002</v>
      </c>
      <c r="R21" s="327">
        <f t="shared" si="3"/>
        <v>1989.6928700000001</v>
      </c>
    </row>
    <row r="22" spans="2:18" x14ac:dyDescent="0.25">
      <c r="B22" s="332">
        <f t="shared" si="4"/>
        <v>19</v>
      </c>
      <c r="C22" s="146">
        <v>45606</v>
      </c>
      <c r="D22" s="327">
        <v>3917.018</v>
      </c>
      <c r="E22" s="327">
        <v>870.53200000000004</v>
      </c>
      <c r="F22" s="327">
        <f t="shared" si="0"/>
        <v>909.6345</v>
      </c>
      <c r="G22" s="327">
        <v>2.6150000000000002</v>
      </c>
      <c r="H22" s="327">
        <f t="shared" si="1"/>
        <v>5699.7995000000001</v>
      </c>
      <c r="L22" s="332">
        <f t="shared" si="5"/>
        <v>19</v>
      </c>
      <c r="M22" s="146">
        <v>45606</v>
      </c>
      <c r="N22" s="327">
        <v>1365.4929999999999</v>
      </c>
      <c r="O22" s="327">
        <v>303.48</v>
      </c>
      <c r="P22" s="327">
        <f t="shared" si="2"/>
        <v>317.10487000000001</v>
      </c>
      <c r="Q22" s="327">
        <v>3.6150000000000002</v>
      </c>
      <c r="R22" s="327">
        <f t="shared" si="3"/>
        <v>1989.6928700000001</v>
      </c>
    </row>
    <row r="23" spans="2:18" x14ac:dyDescent="0.25">
      <c r="B23" s="332">
        <f t="shared" si="4"/>
        <v>20</v>
      </c>
      <c r="C23" s="146">
        <v>45636</v>
      </c>
      <c r="D23" s="327">
        <v>3963.5320000000002</v>
      </c>
      <c r="E23" s="327">
        <v>824.01800000000003</v>
      </c>
      <c r="F23" s="327">
        <f t="shared" si="0"/>
        <v>909.6345</v>
      </c>
      <c r="G23" s="327">
        <v>2.6150000000000002</v>
      </c>
      <c r="H23" s="327">
        <f t="shared" si="1"/>
        <v>5699.7995000000001</v>
      </c>
      <c r="L23" s="332">
        <f t="shared" si="5"/>
        <v>20</v>
      </c>
      <c r="M23" s="146">
        <v>45636</v>
      </c>
      <c r="N23" s="327">
        <v>1381.7080000000001</v>
      </c>
      <c r="O23" s="327">
        <v>287.26499999999999</v>
      </c>
      <c r="P23" s="327">
        <f t="shared" si="2"/>
        <v>317.10487000000001</v>
      </c>
      <c r="Q23" s="327">
        <v>3.6150000000000002</v>
      </c>
      <c r="R23" s="327">
        <f t="shared" si="3"/>
        <v>1989.6928700000001</v>
      </c>
    </row>
    <row r="24" spans="2:18" x14ac:dyDescent="0.25">
      <c r="B24" s="332">
        <f t="shared" si="4"/>
        <v>21</v>
      </c>
      <c r="C24" s="146">
        <v>45667</v>
      </c>
      <c r="D24" s="327">
        <v>4010.5990000000002</v>
      </c>
      <c r="E24" s="327">
        <v>776.95100000000002</v>
      </c>
      <c r="F24" s="327">
        <f t="shared" si="0"/>
        <v>909.6345</v>
      </c>
      <c r="G24" s="327">
        <v>2.6150000000000002</v>
      </c>
      <c r="H24" s="327">
        <f t="shared" si="1"/>
        <v>5699.7995000000001</v>
      </c>
      <c r="L24" s="332">
        <f t="shared" si="5"/>
        <v>21</v>
      </c>
      <c r="M24" s="146">
        <v>45667</v>
      </c>
      <c r="N24" s="327">
        <v>1398.116</v>
      </c>
      <c r="O24" s="327">
        <v>270.85700000000003</v>
      </c>
      <c r="P24" s="327">
        <f t="shared" si="2"/>
        <v>317.10487000000001</v>
      </c>
      <c r="Q24" s="327">
        <v>3.6150000000000002</v>
      </c>
      <c r="R24" s="327">
        <f t="shared" si="3"/>
        <v>1989.6928700000001</v>
      </c>
    </row>
    <row r="25" spans="2:18" x14ac:dyDescent="0.25">
      <c r="B25" s="332">
        <f t="shared" si="4"/>
        <v>22</v>
      </c>
      <c r="C25" s="146">
        <v>45698</v>
      </c>
      <c r="D25" s="327">
        <v>4058.2249999999999</v>
      </c>
      <c r="E25" s="327">
        <v>729.32500000000005</v>
      </c>
      <c r="F25" s="327">
        <f t="shared" si="0"/>
        <v>909.6345</v>
      </c>
      <c r="G25" s="327">
        <v>2.6150000000000002</v>
      </c>
      <c r="H25" s="327">
        <f t="shared" si="1"/>
        <v>5699.7995000000001</v>
      </c>
      <c r="L25" s="332">
        <f t="shared" si="5"/>
        <v>22</v>
      </c>
      <c r="M25" s="146">
        <v>45698</v>
      </c>
      <c r="N25" s="327">
        <v>1414.7190000000001</v>
      </c>
      <c r="O25" s="327">
        <v>254.25399999999999</v>
      </c>
      <c r="P25" s="327">
        <f t="shared" si="2"/>
        <v>317.10487000000001</v>
      </c>
      <c r="Q25" s="327">
        <v>3.6150000000000002</v>
      </c>
      <c r="R25" s="327">
        <f t="shared" si="3"/>
        <v>1989.6928700000001</v>
      </c>
    </row>
    <row r="26" spans="2:18" x14ac:dyDescent="0.25">
      <c r="B26" s="332">
        <f t="shared" si="4"/>
        <v>23</v>
      </c>
      <c r="C26" s="146">
        <v>45726</v>
      </c>
      <c r="D26" s="327">
        <v>4106.4160000000002</v>
      </c>
      <c r="E26" s="327">
        <v>681.13400000000001</v>
      </c>
      <c r="F26" s="327">
        <f t="shared" si="0"/>
        <v>909.6345</v>
      </c>
      <c r="G26" s="327">
        <v>2.6150000000000002</v>
      </c>
      <c r="H26" s="327">
        <f t="shared" si="1"/>
        <v>5699.7995000000001</v>
      </c>
      <c r="L26" s="332">
        <f t="shared" si="5"/>
        <v>23</v>
      </c>
      <c r="M26" s="146">
        <v>45726</v>
      </c>
      <c r="N26" s="327">
        <v>1431.518</v>
      </c>
      <c r="O26" s="327">
        <v>237.45500000000001</v>
      </c>
      <c r="P26" s="327">
        <f t="shared" si="2"/>
        <v>317.10487000000001</v>
      </c>
      <c r="Q26" s="327">
        <v>3.6150000000000002</v>
      </c>
      <c r="R26" s="327">
        <f t="shared" si="3"/>
        <v>1989.6928700000001</v>
      </c>
    </row>
    <row r="27" spans="2:18" x14ac:dyDescent="0.25">
      <c r="B27" s="332">
        <f t="shared" si="4"/>
        <v>24</v>
      </c>
      <c r="C27" s="146">
        <v>45757</v>
      </c>
      <c r="D27" s="327">
        <v>4155.18</v>
      </c>
      <c r="E27" s="327">
        <v>632.37</v>
      </c>
      <c r="F27" s="327">
        <f t="shared" si="0"/>
        <v>909.6345</v>
      </c>
      <c r="G27" s="327">
        <v>2.6150000000000002</v>
      </c>
      <c r="H27" s="327">
        <f t="shared" si="1"/>
        <v>5699.7995000000001</v>
      </c>
      <c r="L27" s="332">
        <f t="shared" si="5"/>
        <v>24</v>
      </c>
      <c r="M27" s="146">
        <v>45757</v>
      </c>
      <c r="N27" s="327">
        <v>1448.518</v>
      </c>
      <c r="O27" s="327">
        <v>220.45500000000001</v>
      </c>
      <c r="P27" s="327">
        <f t="shared" si="2"/>
        <v>317.10487000000001</v>
      </c>
      <c r="Q27" s="327">
        <v>3.6150000000000002</v>
      </c>
      <c r="R27" s="327">
        <f t="shared" si="3"/>
        <v>1989.6928700000001</v>
      </c>
    </row>
    <row r="28" spans="2:18" x14ac:dyDescent="0.25">
      <c r="B28" s="332">
        <f t="shared" si="4"/>
        <v>25</v>
      </c>
      <c r="C28" s="146">
        <v>45787</v>
      </c>
      <c r="D28" s="327">
        <v>4204.5230000000001</v>
      </c>
      <c r="E28" s="327">
        <v>583.02700000000004</v>
      </c>
      <c r="F28" s="327">
        <f t="shared" si="0"/>
        <v>909.6345</v>
      </c>
      <c r="G28" s="327">
        <v>2.6150000000000002</v>
      </c>
      <c r="H28" s="327">
        <f t="shared" si="1"/>
        <v>5699.7995000000001</v>
      </c>
      <c r="L28" s="332">
        <f t="shared" si="5"/>
        <v>25</v>
      </c>
      <c r="M28" s="146">
        <v>45787</v>
      </c>
      <c r="N28" s="327">
        <v>1465.7190000000001</v>
      </c>
      <c r="O28" s="327">
        <v>203.25399999999999</v>
      </c>
      <c r="P28" s="327">
        <f t="shared" si="2"/>
        <v>317.10487000000001</v>
      </c>
      <c r="Q28" s="327">
        <v>3.6150000000000002</v>
      </c>
      <c r="R28" s="327">
        <f t="shared" si="3"/>
        <v>1989.6928700000001</v>
      </c>
    </row>
    <row r="29" spans="2:18" x14ac:dyDescent="0.25">
      <c r="B29" s="332">
        <f t="shared" si="4"/>
        <v>26</v>
      </c>
      <c r="C29" s="333">
        <v>45818</v>
      </c>
      <c r="D29" s="327">
        <v>4254.4520000000002</v>
      </c>
      <c r="E29" s="327">
        <v>533.09799999999996</v>
      </c>
      <c r="F29" s="327">
        <f t="shared" si="0"/>
        <v>909.6345</v>
      </c>
      <c r="G29" s="327">
        <v>2.6150000000000002</v>
      </c>
      <c r="H29" s="327">
        <f t="shared" si="1"/>
        <v>5699.7995000000001</v>
      </c>
      <c r="L29" s="332">
        <f t="shared" si="5"/>
        <v>26</v>
      </c>
      <c r="M29" s="333">
        <v>45818</v>
      </c>
      <c r="N29" s="327">
        <v>1483.124</v>
      </c>
      <c r="O29" s="327">
        <v>185.84899999999999</v>
      </c>
      <c r="P29" s="327">
        <f t="shared" si="2"/>
        <v>317.10487000000001</v>
      </c>
      <c r="Q29" s="327">
        <v>3.6150000000000002</v>
      </c>
      <c r="R29" s="327">
        <f t="shared" si="3"/>
        <v>1989.6928700000001</v>
      </c>
    </row>
    <row r="30" spans="2:18" x14ac:dyDescent="0.25">
      <c r="B30" s="332">
        <f t="shared" si="4"/>
        <v>27</v>
      </c>
      <c r="C30" s="333">
        <v>45848</v>
      </c>
      <c r="D30" s="327">
        <v>4304.973</v>
      </c>
      <c r="E30" s="327">
        <v>482.577</v>
      </c>
      <c r="F30" s="327">
        <f t="shared" si="0"/>
        <v>909.6345</v>
      </c>
      <c r="G30" s="327">
        <v>2.6150000000000002</v>
      </c>
      <c r="H30" s="327">
        <f t="shared" si="1"/>
        <v>5699.7995000000001</v>
      </c>
      <c r="L30" s="332">
        <f t="shared" si="5"/>
        <v>27</v>
      </c>
      <c r="M30" s="333">
        <v>45848</v>
      </c>
      <c r="N30" s="327">
        <v>1500.7360000000001</v>
      </c>
      <c r="O30" s="327">
        <v>168.23699999999999</v>
      </c>
      <c r="P30" s="327">
        <f t="shared" si="2"/>
        <v>317.10487000000006</v>
      </c>
      <c r="Q30" s="327">
        <v>3.6150000000000002</v>
      </c>
      <c r="R30" s="327">
        <f t="shared" si="3"/>
        <v>1989.6928700000003</v>
      </c>
    </row>
    <row r="31" spans="2:18" x14ac:dyDescent="0.25">
      <c r="B31" s="332">
        <f t="shared" si="4"/>
        <v>28</v>
      </c>
      <c r="C31" s="333">
        <v>45879</v>
      </c>
      <c r="D31" s="327">
        <v>4356.0950000000003</v>
      </c>
      <c r="E31" s="327">
        <v>431.45499999999998</v>
      </c>
      <c r="F31" s="327">
        <f t="shared" si="0"/>
        <v>909.6345</v>
      </c>
      <c r="G31" s="327">
        <v>2.6150000000000002</v>
      </c>
      <c r="H31" s="327">
        <f t="shared" si="1"/>
        <v>5699.7995000000001</v>
      </c>
      <c r="L31" s="332">
        <f t="shared" si="5"/>
        <v>28</v>
      </c>
      <c r="M31" s="333">
        <v>45879</v>
      </c>
      <c r="N31" s="327">
        <v>1518.558</v>
      </c>
      <c r="O31" s="327">
        <v>150.41499999999999</v>
      </c>
      <c r="P31" s="327">
        <f t="shared" si="2"/>
        <v>317.10487000000001</v>
      </c>
      <c r="Q31" s="327">
        <v>3.6150000000000002</v>
      </c>
      <c r="R31" s="327">
        <f t="shared" si="3"/>
        <v>1989.6928700000001</v>
      </c>
    </row>
    <row r="32" spans="2:18" x14ac:dyDescent="0.25">
      <c r="B32" s="332">
        <f t="shared" si="4"/>
        <v>29</v>
      </c>
      <c r="C32" s="333">
        <v>45910</v>
      </c>
      <c r="D32" s="327">
        <v>4407.8230000000003</v>
      </c>
      <c r="E32" s="327">
        <v>379.72699999999998</v>
      </c>
      <c r="F32" s="327">
        <f t="shared" si="0"/>
        <v>909.6345</v>
      </c>
      <c r="G32" s="327">
        <v>2.6150000000000002</v>
      </c>
      <c r="H32" s="327">
        <f t="shared" si="1"/>
        <v>5699.7995000000001</v>
      </c>
      <c r="L32" s="332">
        <f t="shared" si="5"/>
        <v>29</v>
      </c>
      <c r="M32" s="333">
        <v>45910</v>
      </c>
      <c r="N32" s="327">
        <v>1536.5909999999999</v>
      </c>
      <c r="O32" s="327">
        <v>132.38200000000001</v>
      </c>
      <c r="P32" s="327">
        <f t="shared" si="2"/>
        <v>317.10487000000001</v>
      </c>
      <c r="Q32" s="327">
        <v>3.6150000000000002</v>
      </c>
      <c r="R32" s="327">
        <f t="shared" si="3"/>
        <v>1989.6928700000001</v>
      </c>
    </row>
    <row r="33" spans="2:18" x14ac:dyDescent="0.25">
      <c r="B33" s="332">
        <f t="shared" si="4"/>
        <v>30</v>
      </c>
      <c r="C33" s="333">
        <v>45940</v>
      </c>
      <c r="D33" s="327">
        <v>4460.1660000000002</v>
      </c>
      <c r="E33" s="327">
        <v>327.68400000000003</v>
      </c>
      <c r="F33" s="327">
        <f t="shared" si="0"/>
        <v>909.69150000000013</v>
      </c>
      <c r="G33" s="327">
        <v>2.6150000000000002</v>
      </c>
      <c r="H33" s="327">
        <f t="shared" si="1"/>
        <v>5700.1565000000001</v>
      </c>
      <c r="L33" s="332">
        <f t="shared" si="5"/>
        <v>30</v>
      </c>
      <c r="M33" s="333">
        <v>45940</v>
      </c>
      <c r="N33" s="327">
        <v>1554.838</v>
      </c>
      <c r="O33" s="327">
        <v>114.13500000000001</v>
      </c>
      <c r="P33" s="327">
        <f t="shared" si="2"/>
        <v>317.10487000000001</v>
      </c>
      <c r="Q33" s="327">
        <v>3.6150000000000002</v>
      </c>
      <c r="R33" s="327">
        <f t="shared" si="3"/>
        <v>1989.6928700000001</v>
      </c>
    </row>
    <row r="34" spans="2:18" x14ac:dyDescent="0.25">
      <c r="B34" s="332">
        <f t="shared" si="4"/>
        <v>31</v>
      </c>
      <c r="C34" s="333">
        <v>45971</v>
      </c>
      <c r="D34" s="327">
        <v>4513.1310000000003</v>
      </c>
      <c r="E34" s="327">
        <v>274.416</v>
      </c>
      <c r="F34" s="327">
        <f t="shared" si="0"/>
        <v>909.63393000000008</v>
      </c>
      <c r="G34" s="327">
        <v>2.6150000000000002</v>
      </c>
      <c r="H34" s="327">
        <f t="shared" si="1"/>
        <v>5699.7959300000002</v>
      </c>
      <c r="L34" s="332">
        <f t="shared" si="5"/>
        <v>31</v>
      </c>
      <c r="M34" s="333">
        <v>45971</v>
      </c>
      <c r="N34" s="327">
        <v>1573.3009999999999</v>
      </c>
      <c r="O34" s="327">
        <v>95.671999999999997</v>
      </c>
      <c r="P34" s="327">
        <f t="shared" si="2"/>
        <v>317.10487000000001</v>
      </c>
      <c r="Q34" s="327">
        <v>3.6150000000000002</v>
      </c>
      <c r="R34" s="327">
        <f t="shared" si="3"/>
        <v>1989.6928700000001</v>
      </c>
    </row>
    <row r="35" spans="2:18" x14ac:dyDescent="0.25">
      <c r="B35" s="332">
        <f t="shared" si="4"/>
        <v>32</v>
      </c>
      <c r="C35" s="333">
        <v>46001</v>
      </c>
      <c r="D35" s="327">
        <v>4566.7240000000002</v>
      </c>
      <c r="E35" s="327">
        <v>220.82599999999999</v>
      </c>
      <c r="F35" s="327">
        <f t="shared" si="0"/>
        <v>909.6345</v>
      </c>
      <c r="G35" s="327">
        <v>2.6150000000000002</v>
      </c>
      <c r="H35" s="327">
        <f t="shared" si="1"/>
        <v>5699.7995000000001</v>
      </c>
      <c r="L35" s="332">
        <f t="shared" si="5"/>
        <v>32</v>
      </c>
      <c r="M35" s="333">
        <v>46001</v>
      </c>
      <c r="N35" s="327">
        <v>1591.9839999999999</v>
      </c>
      <c r="O35" s="327">
        <v>76.989000000000004</v>
      </c>
      <c r="P35" s="327">
        <f t="shared" si="2"/>
        <v>317.10487000000001</v>
      </c>
      <c r="Q35" s="327">
        <v>3.6150000000000002</v>
      </c>
      <c r="R35" s="327">
        <f t="shared" si="3"/>
        <v>1989.6928700000001</v>
      </c>
    </row>
    <row r="36" spans="2:18" x14ac:dyDescent="0.25">
      <c r="B36" s="332">
        <f t="shared" si="4"/>
        <v>33</v>
      </c>
      <c r="C36" s="333">
        <v>46032</v>
      </c>
      <c r="D36" s="327">
        <v>4620.9539999999997</v>
      </c>
      <c r="E36" s="327">
        <v>166.596</v>
      </c>
      <c r="F36" s="327">
        <f t="shared" si="0"/>
        <v>909.63449999999989</v>
      </c>
      <c r="G36" s="327">
        <v>2.6150000000000002</v>
      </c>
      <c r="H36" s="327">
        <f t="shared" si="1"/>
        <v>5699.7994999999992</v>
      </c>
      <c r="L36" s="332">
        <f t="shared" si="5"/>
        <v>33</v>
      </c>
      <c r="M36" s="333">
        <v>46032</v>
      </c>
      <c r="N36" s="327">
        <v>1610.8889999999999</v>
      </c>
      <c r="O36" s="327">
        <v>58.084000000000003</v>
      </c>
      <c r="P36" s="327">
        <f t="shared" si="2"/>
        <v>317.10487000000001</v>
      </c>
      <c r="Q36" s="327">
        <v>3.6150000000000002</v>
      </c>
      <c r="R36" s="327">
        <f t="shared" si="3"/>
        <v>1989.6928700000001</v>
      </c>
    </row>
    <row r="37" spans="2:18" x14ac:dyDescent="0.25">
      <c r="B37" s="332">
        <f t="shared" si="4"/>
        <v>34</v>
      </c>
      <c r="C37" s="333">
        <v>46063</v>
      </c>
      <c r="D37" s="327">
        <v>4675.8280000000004</v>
      </c>
      <c r="E37" s="327">
        <v>111.72199999999999</v>
      </c>
      <c r="F37" s="327">
        <f t="shared" si="0"/>
        <v>909.6345</v>
      </c>
      <c r="G37" s="327">
        <v>2.6150000000000002</v>
      </c>
      <c r="H37" s="327">
        <f t="shared" si="1"/>
        <v>5699.7995000000001</v>
      </c>
      <c r="L37" s="332">
        <f t="shared" si="5"/>
        <v>34</v>
      </c>
      <c r="M37" s="333">
        <v>46063</v>
      </c>
      <c r="N37" s="327">
        <v>1630.018</v>
      </c>
      <c r="O37" s="327">
        <v>38.954999999999998</v>
      </c>
      <c r="P37" s="327">
        <f t="shared" si="2"/>
        <v>317.10487000000001</v>
      </c>
      <c r="Q37" s="327">
        <v>3.6150000000000002</v>
      </c>
      <c r="R37" s="327">
        <f t="shared" si="3"/>
        <v>1989.6928700000001</v>
      </c>
    </row>
    <row r="38" spans="2:18" x14ac:dyDescent="0.25">
      <c r="B38" s="332">
        <f t="shared" si="4"/>
        <v>35</v>
      </c>
      <c r="C38" s="333">
        <v>46091</v>
      </c>
      <c r="D38" s="327">
        <v>4731.3530000000001</v>
      </c>
      <c r="E38" s="327">
        <v>56.197000000000003</v>
      </c>
      <c r="F38" s="327">
        <f t="shared" si="0"/>
        <v>909.6345</v>
      </c>
      <c r="G38" s="327">
        <v>2.6150000000000002</v>
      </c>
      <c r="H38" s="327">
        <f t="shared" si="1"/>
        <v>5699.7995000000001</v>
      </c>
      <c r="L38" s="332">
        <f t="shared" si="5"/>
        <v>35</v>
      </c>
      <c r="M38" s="333">
        <v>46091</v>
      </c>
      <c r="N38" s="327">
        <v>1649.375</v>
      </c>
      <c r="O38" s="327">
        <v>19.597999999999999</v>
      </c>
      <c r="P38" s="327">
        <f t="shared" si="2"/>
        <v>317.10487000000001</v>
      </c>
      <c r="Q38" s="327">
        <v>3.6150000000000002</v>
      </c>
      <c r="R38" s="327">
        <f t="shared" si="3"/>
        <v>1989.6928700000001</v>
      </c>
    </row>
    <row r="39" spans="2:18" x14ac:dyDescent="0.25">
      <c r="B39" s="332">
        <f t="shared" si="4"/>
        <v>36</v>
      </c>
      <c r="C39" s="333">
        <v>46122</v>
      </c>
      <c r="D39" s="327">
        <v>4787.5379999999996</v>
      </c>
      <c r="E39" s="327">
        <v>1.2E-2</v>
      </c>
      <c r="F39" s="327">
        <f t="shared" si="0"/>
        <v>909.63449999999989</v>
      </c>
      <c r="G39" s="327">
        <v>2.6150000000000002</v>
      </c>
      <c r="H39" s="327">
        <f t="shared" si="1"/>
        <v>5699.7994999999992</v>
      </c>
      <c r="L39" s="332">
        <f t="shared" si="5"/>
        <v>36</v>
      </c>
      <c r="M39" s="333">
        <v>46122</v>
      </c>
      <c r="N39" s="327">
        <v>1668.961</v>
      </c>
      <c r="O39" s="327">
        <v>1.2E-2</v>
      </c>
      <c r="P39" s="327">
        <f t="shared" si="2"/>
        <v>317.10487000000001</v>
      </c>
      <c r="Q39" s="327">
        <v>3.6150000000000002</v>
      </c>
      <c r="R39" s="327">
        <f t="shared" si="3"/>
        <v>1989.6928700000001</v>
      </c>
    </row>
    <row r="40" spans="2:18" x14ac:dyDescent="0.25">
      <c r="B40" s="689" t="s">
        <v>420</v>
      </c>
      <c r="C40" s="689"/>
      <c r="D40" s="325">
        <f>SUM(D4:D39)</f>
        <v>142918.557</v>
      </c>
      <c r="E40" s="325">
        <f t="shared" ref="E40:H40" si="6">SUM(E4:E39)</f>
        <v>29443.070000000007</v>
      </c>
      <c r="F40" s="325">
        <f t="shared" si="6"/>
        <v>32748.709130000003</v>
      </c>
      <c r="G40" s="325">
        <f t="shared" si="6"/>
        <v>92.524999999999977</v>
      </c>
      <c r="H40" s="325">
        <f t="shared" si="6"/>
        <v>205202.86112999989</v>
      </c>
      <c r="L40" s="689" t="s">
        <v>420</v>
      </c>
      <c r="M40" s="689"/>
      <c r="N40" s="325">
        <f>SUM(N4:N39)</f>
        <v>49236.750000000007</v>
      </c>
      <c r="O40" s="325">
        <f t="shared" ref="O40:R40" si="7">SUM(O4:O39)</f>
        <v>10846.278000000002</v>
      </c>
      <c r="P40" s="325">
        <f t="shared" si="7"/>
        <v>11415.775319999993</v>
      </c>
      <c r="Q40" s="325">
        <f t="shared" si="7"/>
        <v>127.52499999999993</v>
      </c>
      <c r="R40" s="325">
        <f t="shared" si="7"/>
        <v>71626.328319999986</v>
      </c>
    </row>
    <row r="41" spans="2:18" x14ac:dyDescent="0.25">
      <c r="B41" s="691" t="s">
        <v>421</v>
      </c>
      <c r="C41" s="691"/>
      <c r="D41" s="326">
        <v>0</v>
      </c>
      <c r="E41" s="326">
        <v>0</v>
      </c>
      <c r="F41" s="326">
        <v>0</v>
      </c>
      <c r="G41" s="326">
        <v>0</v>
      </c>
      <c r="H41" s="326">
        <v>0</v>
      </c>
      <c r="L41" s="691" t="s">
        <v>421</v>
      </c>
      <c r="M41" s="691"/>
      <c r="N41" s="326">
        <v>0</v>
      </c>
      <c r="O41" s="326">
        <v>0</v>
      </c>
      <c r="P41" s="326">
        <v>0</v>
      </c>
      <c r="Q41" s="326">
        <v>0</v>
      </c>
      <c r="R41" s="326">
        <v>0</v>
      </c>
    </row>
    <row r="42" spans="2:18" x14ac:dyDescent="0.25">
      <c r="B42" s="694" t="s">
        <v>422</v>
      </c>
      <c r="C42" s="694"/>
      <c r="D42" s="330">
        <f>+D40-D41</f>
        <v>142918.557</v>
      </c>
      <c r="E42" s="330">
        <f>+E40-E41</f>
        <v>29443.070000000007</v>
      </c>
      <c r="F42" s="330">
        <f>+F40-F41</f>
        <v>32748.709130000003</v>
      </c>
      <c r="G42" s="330">
        <f>+G40-G41</f>
        <v>92.524999999999977</v>
      </c>
      <c r="H42" s="330">
        <f>+H40-H41</f>
        <v>205202.86112999989</v>
      </c>
      <c r="L42" s="694" t="s">
        <v>422</v>
      </c>
      <c r="M42" s="694"/>
      <c r="N42" s="330">
        <f>+N40-N41</f>
        <v>49236.750000000007</v>
      </c>
      <c r="O42" s="330">
        <f>+O40-O41</f>
        <v>10846.278000000002</v>
      </c>
      <c r="P42" s="330">
        <f>+P40-P41</f>
        <v>11415.775319999993</v>
      </c>
      <c r="Q42" s="330">
        <f>+Q40-Q41</f>
        <v>127.52499999999993</v>
      </c>
      <c r="R42" s="330">
        <f>+R40-R41</f>
        <v>71626.328319999986</v>
      </c>
    </row>
  </sheetData>
  <mergeCells count="12">
    <mergeCell ref="L41:M41"/>
    <mergeCell ref="B42:C42"/>
    <mergeCell ref="L42:M42"/>
    <mergeCell ref="B40:C40"/>
    <mergeCell ref="L40:M40"/>
    <mergeCell ref="B41:C41"/>
    <mergeCell ref="B2:H2"/>
    <mergeCell ref="L2:R2"/>
    <mergeCell ref="B1:D1"/>
    <mergeCell ref="E1:H1"/>
    <mergeCell ref="L1:N1"/>
    <mergeCell ref="O1:R1"/>
  </mergeCells>
  <pageMargins left="0.7" right="0.7" top="0.75" bottom="0.75" header="0.3" footer="0.3"/>
  <pageSetup paperSize="9" orientation="portrait" horizontalDpi="180" verticalDpi="18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63E6A-8194-46A9-A512-93A6CB430769}">
  <dimension ref="A1:M34"/>
  <sheetViews>
    <sheetView topLeftCell="A3" zoomScaleNormal="100" workbookViewId="0">
      <selection activeCell="I29" sqref="I29"/>
    </sheetView>
  </sheetViews>
  <sheetFormatPr baseColWidth="10" defaultRowHeight="12.75" x14ac:dyDescent="0.2"/>
  <cols>
    <col min="1" max="1" width="13.28515625" bestFit="1" customWidth="1"/>
    <col min="2" max="2" width="10.140625" bestFit="1" customWidth="1"/>
    <col min="4" max="4" width="10.140625" bestFit="1" customWidth="1"/>
    <col min="5" max="5" width="14.85546875" bestFit="1" customWidth="1"/>
    <col min="6" max="6" width="10.140625" bestFit="1" customWidth="1"/>
    <col min="8" max="8" width="6" bestFit="1" customWidth="1"/>
    <col min="9" max="9" width="13" bestFit="1" customWidth="1"/>
    <col min="10" max="10" width="11.42578125" bestFit="1" customWidth="1"/>
    <col min="11" max="11" width="13" bestFit="1" customWidth="1"/>
    <col min="12" max="12" width="15" bestFit="1" customWidth="1"/>
    <col min="13" max="13" width="13" bestFit="1" customWidth="1"/>
  </cols>
  <sheetData>
    <row r="1" spans="1:13" ht="13.5" thickBot="1" x14ac:dyDescent="0.25"/>
    <row r="2" spans="1:13" ht="13.5" thickBot="1" x14ac:dyDescent="0.25">
      <c r="A2" s="453" t="s">
        <v>257</v>
      </c>
      <c r="B2" s="454" t="s">
        <v>103</v>
      </c>
      <c r="C2" s="455" t="s">
        <v>27</v>
      </c>
      <c r="D2" s="455" t="s">
        <v>94</v>
      </c>
      <c r="E2" s="454" t="s">
        <v>236</v>
      </c>
      <c r="F2" s="456" t="s">
        <v>95</v>
      </c>
      <c r="H2" s="453" t="s">
        <v>110</v>
      </c>
      <c r="I2" s="454" t="s">
        <v>103</v>
      </c>
      <c r="J2" s="455" t="s">
        <v>27</v>
      </c>
      <c r="K2" s="455" t="s">
        <v>94</v>
      </c>
      <c r="L2" s="454" t="s">
        <v>236</v>
      </c>
      <c r="M2" s="456" t="s">
        <v>95</v>
      </c>
    </row>
    <row r="3" spans="1:13" x14ac:dyDescent="0.2">
      <c r="A3" s="460" t="s">
        <v>57</v>
      </c>
      <c r="B3" s="478">
        <v>51708.18</v>
      </c>
      <c r="C3" s="462" t="s">
        <v>251</v>
      </c>
      <c r="D3" s="479">
        <v>44845</v>
      </c>
      <c r="E3" s="480">
        <v>60</v>
      </c>
      <c r="F3" s="464">
        <f>D3+E3</f>
        <v>44905</v>
      </c>
      <c r="H3" s="460" t="s">
        <v>58</v>
      </c>
      <c r="I3" s="461">
        <v>76133.759999999995</v>
      </c>
      <c r="J3" s="462" t="s">
        <v>251</v>
      </c>
      <c r="K3" s="463">
        <v>45184</v>
      </c>
      <c r="L3" s="462">
        <v>60</v>
      </c>
      <c r="M3" s="464">
        <f>K3+L3</f>
        <v>45244</v>
      </c>
    </row>
    <row r="4" spans="1:13" x14ac:dyDescent="0.2">
      <c r="A4" s="465" t="s">
        <v>57</v>
      </c>
      <c r="B4" s="481">
        <v>48146.879999999997</v>
      </c>
      <c r="C4" s="467" t="s">
        <v>251</v>
      </c>
      <c r="D4" s="482">
        <v>44854</v>
      </c>
      <c r="E4" s="483">
        <v>60</v>
      </c>
      <c r="F4" s="469">
        <f t="shared" ref="F4:F24" si="0">D4+E4</f>
        <v>44914</v>
      </c>
      <c r="H4" s="465" t="s">
        <v>58</v>
      </c>
      <c r="I4" s="466">
        <v>73612.800000000003</v>
      </c>
      <c r="J4" s="467" t="s">
        <v>251</v>
      </c>
      <c r="K4" s="468">
        <v>45184</v>
      </c>
      <c r="L4" s="467">
        <v>60</v>
      </c>
      <c r="M4" s="469">
        <f t="shared" ref="M4:M14" si="1">K4+L4</f>
        <v>45244</v>
      </c>
    </row>
    <row r="5" spans="1:13" x14ac:dyDescent="0.2">
      <c r="A5" s="465" t="s">
        <v>57</v>
      </c>
      <c r="B5" s="481">
        <v>14702.16</v>
      </c>
      <c r="C5" s="467" t="s">
        <v>251</v>
      </c>
      <c r="D5" s="482">
        <v>44865</v>
      </c>
      <c r="E5" s="483">
        <v>60</v>
      </c>
      <c r="F5" s="469">
        <f t="shared" si="0"/>
        <v>44925</v>
      </c>
      <c r="H5" s="465" t="s">
        <v>58</v>
      </c>
      <c r="I5" s="466">
        <v>80408.160000000003</v>
      </c>
      <c r="J5" s="467" t="s">
        <v>251</v>
      </c>
      <c r="K5" s="468">
        <v>45194</v>
      </c>
      <c r="L5" s="467">
        <v>60</v>
      </c>
      <c r="M5" s="469">
        <f t="shared" si="1"/>
        <v>45254</v>
      </c>
    </row>
    <row r="6" spans="1:13" x14ac:dyDescent="0.2">
      <c r="A6" s="465" t="s">
        <v>57</v>
      </c>
      <c r="B6" s="481">
        <v>2710</v>
      </c>
      <c r="C6" s="467" t="s">
        <v>251</v>
      </c>
      <c r="D6" s="482">
        <v>44932</v>
      </c>
      <c r="E6" s="483">
        <v>60</v>
      </c>
      <c r="F6" s="469">
        <f t="shared" si="0"/>
        <v>44992</v>
      </c>
      <c r="H6" s="465" t="s">
        <v>58</v>
      </c>
      <c r="I6" s="466">
        <v>76267.520000000004</v>
      </c>
      <c r="J6" s="467" t="s">
        <v>251</v>
      </c>
      <c r="K6" s="468">
        <v>45215</v>
      </c>
      <c r="L6" s="467">
        <v>60</v>
      </c>
      <c r="M6" s="469">
        <f t="shared" si="1"/>
        <v>45275</v>
      </c>
    </row>
    <row r="7" spans="1:13" x14ac:dyDescent="0.2">
      <c r="A7" s="465" t="s">
        <v>57</v>
      </c>
      <c r="B7" s="481">
        <v>8495.32</v>
      </c>
      <c r="C7" s="467" t="s">
        <v>251</v>
      </c>
      <c r="D7" s="482">
        <v>44949</v>
      </c>
      <c r="E7" s="483">
        <v>60</v>
      </c>
      <c r="F7" s="469">
        <f t="shared" si="0"/>
        <v>45009</v>
      </c>
      <c r="H7" s="465" t="s">
        <v>58</v>
      </c>
      <c r="I7" s="466">
        <v>75217.2</v>
      </c>
      <c r="J7" s="467" t="s">
        <v>251</v>
      </c>
      <c r="K7" s="468">
        <v>45215</v>
      </c>
      <c r="L7" s="467">
        <v>60</v>
      </c>
      <c r="M7" s="469">
        <f t="shared" si="1"/>
        <v>45275</v>
      </c>
    </row>
    <row r="8" spans="1:13" x14ac:dyDescent="0.2">
      <c r="A8" s="465" t="s">
        <v>57</v>
      </c>
      <c r="B8" s="481">
        <f>34825.84</f>
        <v>34825.839999999997</v>
      </c>
      <c r="C8" s="467" t="s">
        <v>251</v>
      </c>
      <c r="D8" s="482">
        <v>44949</v>
      </c>
      <c r="E8" s="483">
        <v>60</v>
      </c>
      <c r="F8" s="469">
        <f t="shared" si="0"/>
        <v>45009</v>
      </c>
      <c r="H8" s="465" t="s">
        <v>58</v>
      </c>
      <c r="I8" s="466">
        <v>74563.199999999997</v>
      </c>
      <c r="J8" s="467" t="s">
        <v>251</v>
      </c>
      <c r="K8" s="468">
        <v>45230</v>
      </c>
      <c r="L8" s="467">
        <v>60</v>
      </c>
      <c r="M8" s="469">
        <f t="shared" si="1"/>
        <v>45290</v>
      </c>
    </row>
    <row r="9" spans="1:13" x14ac:dyDescent="0.2">
      <c r="A9" s="465" t="s">
        <v>57</v>
      </c>
      <c r="B9" s="481">
        <f>26409.52+1854.2</f>
        <v>28263.72</v>
      </c>
      <c r="C9" s="467" t="s">
        <v>251</v>
      </c>
      <c r="D9" s="482">
        <v>44967</v>
      </c>
      <c r="E9" s="483">
        <v>60</v>
      </c>
      <c r="F9" s="469">
        <f t="shared" si="0"/>
        <v>45027</v>
      </c>
      <c r="H9" s="465" t="s">
        <v>58</v>
      </c>
      <c r="I9" s="466">
        <v>73666.8</v>
      </c>
      <c r="J9" s="467" t="s">
        <v>251</v>
      </c>
      <c r="K9" s="468">
        <v>45237</v>
      </c>
      <c r="L9" s="467">
        <v>60</v>
      </c>
      <c r="M9" s="469">
        <f t="shared" si="1"/>
        <v>45297</v>
      </c>
    </row>
    <row r="10" spans="1:13" x14ac:dyDescent="0.2">
      <c r="A10" s="465" t="s">
        <v>57</v>
      </c>
      <c r="B10" s="481">
        <v>1525.91</v>
      </c>
      <c r="C10" s="467" t="s">
        <v>251</v>
      </c>
      <c r="D10" s="482">
        <v>45041</v>
      </c>
      <c r="E10" s="483">
        <v>60</v>
      </c>
      <c r="F10" s="469">
        <f t="shared" si="0"/>
        <v>45101</v>
      </c>
      <c r="H10" s="606" t="s">
        <v>58</v>
      </c>
      <c r="I10" s="607">
        <v>78624</v>
      </c>
      <c r="J10" s="608" t="s">
        <v>251</v>
      </c>
      <c r="K10" s="468">
        <v>45245</v>
      </c>
      <c r="L10" s="483">
        <v>60</v>
      </c>
      <c r="M10" s="469">
        <f t="shared" si="1"/>
        <v>45305</v>
      </c>
    </row>
    <row r="11" spans="1:13" x14ac:dyDescent="0.2">
      <c r="A11" s="465" t="s">
        <v>57</v>
      </c>
      <c r="B11" s="481">
        <v>7690</v>
      </c>
      <c r="C11" s="467" t="s">
        <v>251</v>
      </c>
      <c r="D11" s="482">
        <v>45041</v>
      </c>
      <c r="E11" s="483">
        <v>60</v>
      </c>
      <c r="F11" s="469">
        <f t="shared" si="0"/>
        <v>45101</v>
      </c>
      <c r="H11" s="606" t="s">
        <v>58</v>
      </c>
      <c r="I11" s="607">
        <v>74277.440000000002</v>
      </c>
      <c r="J11" s="608" t="s">
        <v>251</v>
      </c>
      <c r="K11" s="468">
        <v>45278</v>
      </c>
      <c r="L11" s="483">
        <v>60</v>
      </c>
      <c r="M11" s="469">
        <f t="shared" si="1"/>
        <v>45338</v>
      </c>
    </row>
    <row r="12" spans="1:13" x14ac:dyDescent="0.2">
      <c r="A12" s="465" t="s">
        <v>57</v>
      </c>
      <c r="B12" s="481">
        <v>1760</v>
      </c>
      <c r="C12" s="467" t="s">
        <v>251</v>
      </c>
      <c r="D12" s="482">
        <v>45107</v>
      </c>
      <c r="E12" s="483">
        <v>60</v>
      </c>
      <c r="F12" s="469">
        <f t="shared" si="0"/>
        <v>45167</v>
      </c>
      <c r="H12" s="606" t="s">
        <v>58</v>
      </c>
      <c r="I12" s="607">
        <v>73644</v>
      </c>
      <c r="J12" s="608" t="s">
        <v>251</v>
      </c>
      <c r="K12" s="468">
        <v>45278</v>
      </c>
      <c r="L12" s="483">
        <v>60</v>
      </c>
      <c r="M12" s="469">
        <f t="shared" si="1"/>
        <v>45338</v>
      </c>
    </row>
    <row r="13" spans="1:13" x14ac:dyDescent="0.2">
      <c r="A13" s="465" t="s">
        <v>57</v>
      </c>
      <c r="B13" s="481">
        <v>2795.72</v>
      </c>
      <c r="C13" s="467" t="s">
        <v>251</v>
      </c>
      <c r="D13" s="482">
        <v>45141</v>
      </c>
      <c r="E13" s="483">
        <v>60</v>
      </c>
      <c r="F13" s="469">
        <f t="shared" si="0"/>
        <v>45201</v>
      </c>
      <c r="H13" s="606" t="s">
        <v>58</v>
      </c>
      <c r="I13" s="607">
        <v>74227.44</v>
      </c>
      <c r="J13" s="608" t="s">
        <v>251</v>
      </c>
      <c r="K13" s="468">
        <v>45278</v>
      </c>
      <c r="L13" s="483">
        <v>60</v>
      </c>
      <c r="M13" s="469">
        <f t="shared" si="1"/>
        <v>45338</v>
      </c>
    </row>
    <row r="14" spans="1:13" x14ac:dyDescent="0.2">
      <c r="A14" s="465" t="s">
        <v>57</v>
      </c>
      <c r="B14" s="481">
        <v>2840</v>
      </c>
      <c r="C14" s="467" t="s">
        <v>251</v>
      </c>
      <c r="D14" s="482">
        <v>45197</v>
      </c>
      <c r="E14" s="483">
        <v>60</v>
      </c>
      <c r="F14" s="469">
        <f t="shared" si="0"/>
        <v>45257</v>
      </c>
      <c r="H14" s="606" t="s">
        <v>58</v>
      </c>
      <c r="I14" s="607">
        <v>77100.479999999996</v>
      </c>
      <c r="J14" s="608" t="s">
        <v>251</v>
      </c>
      <c r="K14" s="468">
        <v>45278</v>
      </c>
      <c r="L14" s="483">
        <v>60</v>
      </c>
      <c r="M14" s="469">
        <f t="shared" si="1"/>
        <v>45338</v>
      </c>
    </row>
    <row r="15" spans="1:13" ht="13.5" thickBot="1" x14ac:dyDescent="0.25">
      <c r="A15" s="465" t="s">
        <v>57</v>
      </c>
      <c r="B15" s="481">
        <v>2857.5</v>
      </c>
      <c r="C15" s="467" t="s">
        <v>251</v>
      </c>
      <c r="D15" s="482">
        <v>45247</v>
      </c>
      <c r="E15" s="483">
        <v>60</v>
      </c>
      <c r="F15" s="469">
        <f t="shared" si="0"/>
        <v>45307</v>
      </c>
      <c r="G15" s="586"/>
      <c r="H15" s="609" t="s">
        <v>58</v>
      </c>
      <c r="I15" s="610">
        <v>71400</v>
      </c>
      <c r="J15" s="611" t="s">
        <v>251</v>
      </c>
      <c r="K15" s="612">
        <v>45300</v>
      </c>
      <c r="L15" s="491">
        <v>60</v>
      </c>
      <c r="M15" s="484">
        <v>45428</v>
      </c>
    </row>
    <row r="16" spans="1:13" ht="13.5" thickBot="1" x14ac:dyDescent="0.25">
      <c r="A16" s="487" t="s">
        <v>57</v>
      </c>
      <c r="B16" s="605">
        <v>249796.92</v>
      </c>
      <c r="C16" s="489" t="s">
        <v>251</v>
      </c>
      <c r="D16" s="490">
        <v>45282</v>
      </c>
      <c r="E16" s="491">
        <v>60</v>
      </c>
      <c r="F16" s="484">
        <f t="shared" si="0"/>
        <v>45342</v>
      </c>
      <c r="G16" s="586"/>
      <c r="H16" s="577" t="s">
        <v>58</v>
      </c>
      <c r="I16" s="578">
        <v>70839.600000000006</v>
      </c>
      <c r="J16" s="579" t="s">
        <v>251</v>
      </c>
      <c r="K16" s="580">
        <v>45300</v>
      </c>
      <c r="L16" s="581">
        <v>60</v>
      </c>
      <c r="M16" s="582">
        <v>45435</v>
      </c>
    </row>
    <row r="17" spans="1:13" ht="13.5" thickBot="1" x14ac:dyDescent="0.25">
      <c r="A17" s="425"/>
      <c r="B17" s="458">
        <f>SUM(B15:B16)</f>
        <v>252654.42</v>
      </c>
      <c r="C17" s="33"/>
      <c r="D17" s="423"/>
      <c r="E17" s="255"/>
      <c r="F17" s="408"/>
      <c r="G17" s="586"/>
      <c r="H17" s="569" t="s">
        <v>58</v>
      </c>
      <c r="I17" s="575">
        <v>72615.48</v>
      </c>
      <c r="J17" s="570" t="s">
        <v>251</v>
      </c>
      <c r="K17" s="451">
        <v>45321</v>
      </c>
      <c r="L17" s="573">
        <v>60</v>
      </c>
      <c r="M17" s="449">
        <v>45442</v>
      </c>
    </row>
    <row r="18" spans="1:13" ht="13.5" thickBot="1" x14ac:dyDescent="0.25">
      <c r="A18" s="425"/>
      <c r="B18" s="426"/>
      <c r="C18" s="33"/>
      <c r="D18" s="423"/>
      <c r="E18" s="255"/>
      <c r="F18" s="408"/>
      <c r="G18" s="586"/>
      <c r="H18" s="569" t="s">
        <v>58</v>
      </c>
      <c r="I18" s="575">
        <v>72906</v>
      </c>
      <c r="J18" s="570" t="s">
        <v>251</v>
      </c>
      <c r="K18" s="451">
        <v>45321</v>
      </c>
      <c r="L18" s="573">
        <v>60</v>
      </c>
      <c r="M18" s="449">
        <f>M17+7</f>
        <v>45449</v>
      </c>
    </row>
    <row r="19" spans="1:13" x14ac:dyDescent="0.2">
      <c r="A19" s="460" t="s">
        <v>57</v>
      </c>
      <c r="B19" s="485">
        <v>54297.9</v>
      </c>
      <c r="C19" s="462" t="s">
        <v>251</v>
      </c>
      <c r="D19" s="479">
        <v>44957</v>
      </c>
      <c r="E19" s="480">
        <v>60</v>
      </c>
      <c r="F19" s="464">
        <f t="shared" si="0"/>
        <v>45017</v>
      </c>
      <c r="G19" s="586"/>
      <c r="H19" s="569" t="s">
        <v>58</v>
      </c>
      <c r="I19" s="575">
        <v>73062.600000000006</v>
      </c>
      <c r="J19" s="570" t="s">
        <v>251</v>
      </c>
      <c r="K19" s="451">
        <v>45336</v>
      </c>
      <c r="L19" s="573">
        <v>60</v>
      </c>
      <c r="M19" s="449">
        <f t="shared" ref="M19:M26" si="2">M18+7</f>
        <v>45456</v>
      </c>
    </row>
    <row r="20" spans="1:13" x14ac:dyDescent="0.2">
      <c r="A20" s="465" t="s">
        <v>57</v>
      </c>
      <c r="B20" s="486">
        <v>49019.519999999997</v>
      </c>
      <c r="C20" s="467" t="s">
        <v>251</v>
      </c>
      <c r="D20" s="482">
        <v>44957</v>
      </c>
      <c r="E20" s="483">
        <v>60</v>
      </c>
      <c r="F20" s="469">
        <f t="shared" si="0"/>
        <v>45017</v>
      </c>
      <c r="G20" s="586"/>
      <c r="H20" s="569" t="s">
        <v>58</v>
      </c>
      <c r="I20" s="575">
        <v>70856.100000000006</v>
      </c>
      <c r="J20" s="570" t="s">
        <v>251</v>
      </c>
      <c r="K20" s="451">
        <v>45336</v>
      </c>
      <c r="L20" s="573">
        <v>60</v>
      </c>
      <c r="M20" s="449">
        <f t="shared" si="2"/>
        <v>45463</v>
      </c>
    </row>
    <row r="21" spans="1:13" x14ac:dyDescent="0.2">
      <c r="A21" s="465" t="s">
        <v>57</v>
      </c>
      <c r="B21" s="486">
        <v>49064.4</v>
      </c>
      <c r="C21" s="467" t="s">
        <v>251</v>
      </c>
      <c r="D21" s="482">
        <v>44957</v>
      </c>
      <c r="E21" s="483">
        <v>60</v>
      </c>
      <c r="F21" s="469">
        <f t="shared" si="0"/>
        <v>45017</v>
      </c>
      <c r="G21" s="586"/>
      <c r="H21" s="569" t="s">
        <v>58</v>
      </c>
      <c r="I21" s="575">
        <v>73260.39</v>
      </c>
      <c r="J21" s="570" t="s">
        <v>251</v>
      </c>
      <c r="K21" s="451">
        <v>45345</v>
      </c>
      <c r="L21" s="573">
        <v>60</v>
      </c>
      <c r="M21" s="449">
        <f t="shared" si="2"/>
        <v>45470</v>
      </c>
    </row>
    <row r="22" spans="1:13" x14ac:dyDescent="0.2">
      <c r="A22" s="465" t="s">
        <v>57</v>
      </c>
      <c r="B22" s="486">
        <v>57952.28</v>
      </c>
      <c r="C22" s="467" t="s">
        <v>251</v>
      </c>
      <c r="D22" s="482">
        <v>44957</v>
      </c>
      <c r="E22" s="483">
        <v>60</v>
      </c>
      <c r="F22" s="469">
        <f t="shared" si="0"/>
        <v>45017</v>
      </c>
      <c r="H22" s="569" t="s">
        <v>58</v>
      </c>
      <c r="I22" s="575">
        <v>73260.39</v>
      </c>
      <c r="J22" s="570" t="s">
        <v>251</v>
      </c>
      <c r="K22" s="451">
        <v>45345</v>
      </c>
      <c r="L22" s="573">
        <v>60</v>
      </c>
      <c r="M22" s="449">
        <f t="shared" si="2"/>
        <v>45477</v>
      </c>
    </row>
    <row r="23" spans="1:13" x14ac:dyDescent="0.2">
      <c r="A23" s="465" t="s">
        <v>57</v>
      </c>
      <c r="B23" s="486">
        <v>65440.7</v>
      </c>
      <c r="C23" s="467" t="s">
        <v>251</v>
      </c>
      <c r="D23" s="482">
        <v>44893</v>
      </c>
      <c r="E23" s="483">
        <v>60</v>
      </c>
      <c r="F23" s="469">
        <f t="shared" si="0"/>
        <v>44953</v>
      </c>
      <c r="H23" s="569" t="s">
        <v>58</v>
      </c>
      <c r="I23" s="575">
        <v>71190</v>
      </c>
      <c r="J23" s="570" t="s">
        <v>251</v>
      </c>
      <c r="K23" s="451">
        <v>45363</v>
      </c>
      <c r="L23" s="573">
        <v>60</v>
      </c>
      <c r="M23" s="449">
        <f t="shared" si="2"/>
        <v>45484</v>
      </c>
    </row>
    <row r="24" spans="1:13" ht="13.5" thickBot="1" x14ac:dyDescent="0.25">
      <c r="A24" s="487" t="s">
        <v>57</v>
      </c>
      <c r="B24" s="488">
        <v>61931.5</v>
      </c>
      <c r="C24" s="489" t="s">
        <v>251</v>
      </c>
      <c r="D24" s="490">
        <v>44893</v>
      </c>
      <c r="E24" s="491">
        <v>60</v>
      </c>
      <c r="F24" s="484">
        <f t="shared" si="0"/>
        <v>44953</v>
      </c>
      <c r="H24" s="569" t="s">
        <v>58</v>
      </c>
      <c r="I24" s="575">
        <v>71145.899999999994</v>
      </c>
      <c r="J24" s="570" t="s">
        <v>251</v>
      </c>
      <c r="K24" s="451">
        <v>45363</v>
      </c>
      <c r="L24" s="573">
        <v>60</v>
      </c>
      <c r="M24" s="449">
        <f t="shared" si="2"/>
        <v>45491</v>
      </c>
    </row>
    <row r="25" spans="1:13" ht="13.5" thickBot="1" x14ac:dyDescent="0.25">
      <c r="B25" s="457">
        <v>0</v>
      </c>
      <c r="H25" s="569" t="s">
        <v>58</v>
      </c>
      <c r="I25" s="575">
        <v>75845.16</v>
      </c>
      <c r="J25" s="570" t="s">
        <v>251</v>
      </c>
      <c r="K25" s="451">
        <v>45363</v>
      </c>
      <c r="L25" s="573">
        <v>60</v>
      </c>
      <c r="M25" s="449">
        <f t="shared" si="2"/>
        <v>45498</v>
      </c>
    </row>
    <row r="26" spans="1:13" x14ac:dyDescent="0.2">
      <c r="H26" s="569" t="s">
        <v>58</v>
      </c>
      <c r="I26" s="575">
        <v>73069.2</v>
      </c>
      <c r="J26" s="570" t="s">
        <v>251</v>
      </c>
      <c r="K26" s="451">
        <v>45363</v>
      </c>
      <c r="L26" s="573">
        <v>60</v>
      </c>
      <c r="M26" s="449">
        <f t="shared" si="2"/>
        <v>45505</v>
      </c>
    </row>
    <row r="27" spans="1:13" ht="13.5" thickBot="1" x14ac:dyDescent="0.25">
      <c r="H27" s="571" t="s">
        <v>58</v>
      </c>
      <c r="I27" s="576">
        <v>72117.16</v>
      </c>
      <c r="J27" s="572" t="s">
        <v>251</v>
      </c>
      <c r="K27" s="452">
        <v>45399</v>
      </c>
      <c r="L27" s="574">
        <v>60</v>
      </c>
      <c r="M27" s="450">
        <f>M26+7</f>
        <v>45512</v>
      </c>
    </row>
    <row r="28" spans="1:13" ht="13.5" thickBot="1" x14ac:dyDescent="0.25">
      <c r="H28" s="423"/>
      <c r="I28" s="492">
        <f>SUM(I16:I27)</f>
        <v>870167.9800000001</v>
      </c>
    </row>
    <row r="29" spans="1:13" ht="13.5" thickBot="1" x14ac:dyDescent="0.25">
      <c r="H29" s="423"/>
    </row>
    <row r="30" spans="1:13" ht="13.5" thickBot="1" x14ac:dyDescent="0.25">
      <c r="H30" s="702" t="s">
        <v>1464</v>
      </c>
      <c r="I30" s="703"/>
      <c r="J30" s="703"/>
      <c r="K30" s="703"/>
      <c r="L30" s="703"/>
      <c r="M30" s="704"/>
    </row>
    <row r="31" spans="1:13" x14ac:dyDescent="0.2">
      <c r="H31" s="577" t="s">
        <v>58</v>
      </c>
      <c r="I31" s="578">
        <v>13154.97</v>
      </c>
      <c r="J31" s="579" t="s">
        <v>251</v>
      </c>
      <c r="K31" s="580">
        <v>45331</v>
      </c>
      <c r="L31" s="581">
        <v>60</v>
      </c>
      <c r="M31" s="582">
        <f t="shared" ref="M31:M33" si="3">K31+L31</f>
        <v>45391</v>
      </c>
    </row>
    <row r="32" spans="1:13" x14ac:dyDescent="0.2">
      <c r="H32" s="569" t="s">
        <v>58</v>
      </c>
      <c r="I32" s="575">
        <v>11841.28</v>
      </c>
      <c r="J32" s="570" t="s">
        <v>251</v>
      </c>
      <c r="K32" s="451">
        <v>45373</v>
      </c>
      <c r="L32" s="573">
        <v>60</v>
      </c>
      <c r="M32" s="449">
        <f t="shared" si="3"/>
        <v>45433</v>
      </c>
    </row>
    <row r="33" spans="8:13" ht="13.5" thickBot="1" x14ac:dyDescent="0.25">
      <c r="H33" s="571" t="s">
        <v>58</v>
      </c>
      <c r="I33" s="576">
        <v>900.98</v>
      </c>
      <c r="J33" s="572" t="s">
        <v>251</v>
      </c>
      <c r="K33" s="452">
        <v>45373</v>
      </c>
      <c r="L33" s="574">
        <v>60</v>
      </c>
      <c r="M33" s="450">
        <f t="shared" si="3"/>
        <v>45433</v>
      </c>
    </row>
    <row r="34" spans="8:13" ht="13.5" thickBot="1" x14ac:dyDescent="0.25">
      <c r="H34" s="423"/>
      <c r="I34" s="492">
        <f>SUM(I31:I33)</f>
        <v>25897.23</v>
      </c>
    </row>
  </sheetData>
  <mergeCells count="1">
    <mergeCell ref="H30:M30"/>
  </mergeCells>
  <pageMargins left="0.7" right="0.7" top="0.75" bottom="0.75" header="0.3" footer="0.3"/>
  <pageSetup paperSize="9" orientation="portrait" horizontalDpi="0" verticalDpi="0" r:id="rId1"/>
  <ignoredErrors>
    <ignoredError sqref="B17" formulaRange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928DCCD-E0A4-4F8F-9D2C-8B621B908F5B}">
          <x14:formula1>
            <xm:f>Mapping!$I$3:$I$4</xm:f>
          </x14:formula1>
          <xm:sqref>C3:C24</xm:sqref>
        </x14:dataValidation>
        <x14:dataValidation type="list" allowBlank="1" showInputMessage="1" showErrorMessage="1" xr:uid="{C4776EE2-11CA-48CB-958F-24811FB7AE47}">
          <x14:formula1>
            <xm:f>Mapping!$E$30:$E$40</xm:f>
          </x14:formula1>
          <xm:sqref>A4 A6:A7 A9 A11 A13:A16 A19:A24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184D6-4170-4437-A491-5F9CB3ADC328}">
  <sheetPr>
    <pageSetUpPr fitToPage="1"/>
  </sheetPr>
  <dimension ref="A1:P5"/>
  <sheetViews>
    <sheetView workbookViewId="0">
      <selection activeCell="O14" sqref="O14"/>
    </sheetView>
  </sheetViews>
  <sheetFormatPr baseColWidth="10" defaultRowHeight="15" x14ac:dyDescent="0.25"/>
  <cols>
    <col min="1" max="1" width="14" style="444" bestFit="1" customWidth="1"/>
    <col min="2" max="2" width="10.5703125" style="444" bestFit="1" customWidth="1"/>
    <col min="3" max="3" width="14.7109375" style="444" bestFit="1" customWidth="1"/>
    <col min="4" max="4" width="15.85546875" style="444" bestFit="1" customWidth="1"/>
    <col min="5" max="5" width="16.28515625" style="444" bestFit="1" customWidth="1"/>
    <col min="6" max="6" width="9.85546875" style="445" bestFit="1" customWidth="1"/>
    <col min="7" max="7" width="5.7109375" style="444" bestFit="1" customWidth="1"/>
    <col min="8" max="8" width="5.140625" style="444" bestFit="1" customWidth="1"/>
    <col min="9" max="9" width="15.5703125" style="444" bestFit="1" customWidth="1"/>
    <col min="10" max="10" width="19" style="446" bestFit="1" customWidth="1"/>
    <col min="11" max="11" width="7.5703125" style="444" bestFit="1" customWidth="1"/>
    <col min="12" max="12" width="14.5703125" style="447" bestFit="1" customWidth="1"/>
    <col min="13" max="13" width="11" style="447" bestFit="1" customWidth="1"/>
    <col min="14" max="14" width="9" style="447" bestFit="1" customWidth="1"/>
    <col min="15" max="15" width="14.28515625" style="447" bestFit="1" customWidth="1"/>
    <col min="16" max="16" width="9.42578125" style="444" bestFit="1" customWidth="1"/>
    <col min="17" max="16384" width="11.42578125" style="444"/>
  </cols>
  <sheetData>
    <row r="1" spans="1:16" ht="15.75" thickBot="1" x14ac:dyDescent="0.3">
      <c r="A1" s="407" t="s">
        <v>930</v>
      </c>
      <c r="B1" s="494" t="s">
        <v>944</v>
      </c>
      <c r="C1" s="494" t="s">
        <v>1240</v>
      </c>
      <c r="D1" s="494" t="s">
        <v>931</v>
      </c>
      <c r="E1" s="495" t="s">
        <v>1241</v>
      </c>
      <c r="F1" s="496" t="s">
        <v>938</v>
      </c>
      <c r="G1" s="497" t="s">
        <v>673</v>
      </c>
      <c r="H1" s="498" t="s">
        <v>674</v>
      </c>
      <c r="I1" s="407" t="s">
        <v>932</v>
      </c>
      <c r="J1" s="499" t="s">
        <v>933</v>
      </c>
      <c r="K1" s="494" t="s">
        <v>934</v>
      </c>
      <c r="L1" s="500" t="s">
        <v>935</v>
      </c>
      <c r="M1" s="505" t="s">
        <v>746</v>
      </c>
      <c r="N1" s="506" t="s">
        <v>936</v>
      </c>
      <c r="O1" s="501" t="s">
        <v>937</v>
      </c>
    </row>
    <row r="2" spans="1:16" x14ac:dyDescent="0.25">
      <c r="A2" s="517"/>
      <c r="B2" s="518"/>
      <c r="C2" s="519"/>
      <c r="D2" s="519"/>
      <c r="E2" s="520"/>
      <c r="F2" s="521">
        <f>E2-D2</f>
        <v>0</v>
      </c>
      <c r="G2" s="522">
        <v>7.98</v>
      </c>
      <c r="H2" s="523"/>
      <c r="I2" s="524"/>
      <c r="J2" s="561"/>
      <c r="K2" s="562"/>
      <c r="L2" s="563"/>
      <c r="M2" s="525"/>
      <c r="N2" s="526"/>
      <c r="O2" s="527"/>
      <c r="P2" s="528"/>
    </row>
    <row r="3" spans="1:16" x14ac:dyDescent="0.25">
      <c r="A3" s="529"/>
      <c r="B3" s="530"/>
      <c r="C3" s="531"/>
      <c r="D3" s="531"/>
      <c r="E3" s="532"/>
      <c r="F3" s="557">
        <f t="shared" ref="F3:F4" si="0">E3-D3</f>
        <v>0</v>
      </c>
      <c r="G3" s="558">
        <v>7.98</v>
      </c>
      <c r="H3" s="533"/>
      <c r="I3" s="534"/>
      <c r="J3" s="535"/>
      <c r="K3" s="536"/>
      <c r="L3" s="537"/>
      <c r="M3" s="567"/>
      <c r="N3" s="538"/>
      <c r="O3" s="539"/>
      <c r="P3" s="540"/>
    </row>
    <row r="4" spans="1:16" ht="15.75" thickBot="1" x14ac:dyDescent="0.3">
      <c r="A4" s="541"/>
      <c r="B4" s="542"/>
      <c r="C4" s="543"/>
      <c r="D4" s="543"/>
      <c r="E4" s="544"/>
      <c r="F4" s="559">
        <f t="shared" si="0"/>
        <v>0</v>
      </c>
      <c r="G4" s="560">
        <v>7.98</v>
      </c>
      <c r="H4" s="545"/>
      <c r="I4" s="546"/>
      <c r="J4" s="564"/>
      <c r="K4" s="565"/>
      <c r="L4" s="566"/>
      <c r="M4" s="568"/>
      <c r="N4" s="547"/>
      <c r="O4" s="548"/>
      <c r="P4" s="549"/>
    </row>
    <row r="5" spans="1:16" ht="15.75" thickBot="1" x14ac:dyDescent="0.3">
      <c r="B5" s="493"/>
      <c r="M5" s="502">
        <f>SUM(M2:M4)</f>
        <v>0</v>
      </c>
      <c r="N5" s="503">
        <f>SUM(N2:N4)</f>
        <v>0</v>
      </c>
      <c r="O5" s="504">
        <f>SUM(O2:O4)</f>
        <v>0</v>
      </c>
    </row>
  </sheetData>
  <pageMargins left="0.7" right="0.7" top="0.75" bottom="0.75" header="0.3" footer="0.3"/>
  <pageSetup paperSize="9" scale="96" orientation="landscape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C6593-B5B2-4A39-BBD0-98A52BB25D35}">
  <sheetPr>
    <tabColor rgb="FFFF0000"/>
    <pageSetUpPr fitToPage="1"/>
  </sheetPr>
  <dimension ref="B1:P38"/>
  <sheetViews>
    <sheetView topLeftCell="A5" zoomScale="85" zoomScaleNormal="85" workbookViewId="0">
      <selection activeCell="H18" sqref="H18"/>
    </sheetView>
  </sheetViews>
  <sheetFormatPr baseColWidth="10" defaultColWidth="9.7109375" defaultRowHeight="15.75" x14ac:dyDescent="0.25"/>
  <cols>
    <col min="1" max="1" width="1.7109375" style="276" customWidth="1"/>
    <col min="2" max="2" width="13.28515625" style="275" bestFit="1" customWidth="1"/>
    <col min="3" max="3" width="10.42578125" style="276" bestFit="1" customWidth="1"/>
    <col min="4" max="4" width="15" style="276" bestFit="1" customWidth="1"/>
    <col min="5" max="5" width="10.85546875" style="276" bestFit="1" customWidth="1"/>
    <col min="6" max="6" width="19" style="276" bestFit="1" customWidth="1"/>
    <col min="7" max="7" width="28.42578125" style="276" customWidth="1"/>
    <col min="8" max="8" width="27" style="277" bestFit="1" customWidth="1"/>
    <col min="9" max="9" width="24.7109375" style="277" customWidth="1"/>
    <col min="10" max="10" width="17.140625" style="276" customWidth="1"/>
    <col min="11" max="11" width="36.7109375" style="276" bestFit="1" customWidth="1"/>
    <col min="12" max="12" width="22" style="276" bestFit="1" customWidth="1"/>
    <col min="13" max="13" width="14.28515625" style="276" bestFit="1" customWidth="1"/>
    <col min="14" max="14" width="10.42578125" style="276" bestFit="1" customWidth="1"/>
    <col min="15" max="15" width="12.7109375" style="276" bestFit="1" customWidth="1"/>
    <col min="16" max="16" width="16.140625" style="276" bestFit="1" customWidth="1"/>
    <col min="17" max="16384" width="9.7109375" style="276"/>
  </cols>
  <sheetData>
    <row r="1" spans="2:16" ht="16.5" thickBot="1" x14ac:dyDescent="0.3"/>
    <row r="2" spans="2:16" ht="32.25" thickBot="1" x14ac:dyDescent="0.3">
      <c r="B2" s="278" t="s">
        <v>27</v>
      </c>
      <c r="C2" s="279" t="s">
        <v>435</v>
      </c>
      <c r="D2" s="280" t="s">
        <v>436</v>
      </c>
      <c r="E2" s="280" t="s">
        <v>106</v>
      </c>
      <c r="F2" s="280" t="s">
        <v>437</v>
      </c>
      <c r="G2" s="280" t="s">
        <v>438</v>
      </c>
      <c r="H2" s="281" t="s">
        <v>2</v>
      </c>
      <c r="I2" s="281" t="s">
        <v>455</v>
      </c>
      <c r="J2" s="280" t="s">
        <v>28</v>
      </c>
      <c r="K2" s="280" t="s">
        <v>439</v>
      </c>
      <c r="L2" s="282" t="s">
        <v>440</v>
      </c>
    </row>
    <row r="3" spans="2:16" s="290" customFormat="1" ht="16.5" thickBot="1" x14ac:dyDescent="0.3">
      <c r="B3" s="283" t="s">
        <v>441</v>
      </c>
      <c r="C3" s="705">
        <v>1</v>
      </c>
      <c r="D3" s="284" t="s">
        <v>88</v>
      </c>
      <c r="E3" s="284" t="s">
        <v>442</v>
      </c>
      <c r="F3" s="285">
        <v>42439</v>
      </c>
      <c r="G3" s="285" t="s">
        <v>443</v>
      </c>
      <c r="H3" s="286">
        <v>1000000</v>
      </c>
      <c r="I3" s="287">
        <v>166667</v>
      </c>
      <c r="J3" s="288" t="s">
        <v>35</v>
      </c>
      <c r="K3" s="284" t="s">
        <v>444</v>
      </c>
      <c r="L3" s="289">
        <v>45016</v>
      </c>
      <c r="M3" s="276"/>
      <c r="P3" s="291"/>
    </row>
    <row r="4" spans="2:16" s="290" customFormat="1" ht="16.5" thickBot="1" x14ac:dyDescent="0.3">
      <c r="B4" s="283" t="s">
        <v>441</v>
      </c>
      <c r="C4" s="706"/>
      <c r="D4" s="284" t="s">
        <v>88</v>
      </c>
      <c r="E4" s="284" t="s">
        <v>442</v>
      </c>
      <c r="F4" s="285">
        <v>42506</v>
      </c>
      <c r="G4" s="285" t="s">
        <v>443</v>
      </c>
      <c r="H4" s="286">
        <v>1150000</v>
      </c>
      <c r="I4" s="287">
        <v>191667</v>
      </c>
      <c r="J4" s="288" t="s">
        <v>35</v>
      </c>
      <c r="K4" s="284" t="s">
        <v>444</v>
      </c>
      <c r="L4" s="289">
        <v>45017</v>
      </c>
      <c r="M4" s="276"/>
      <c r="P4" s="291"/>
    </row>
    <row r="5" spans="2:16" s="290" customFormat="1" ht="16.5" thickBot="1" x14ac:dyDescent="0.3">
      <c r="B5" s="283" t="s">
        <v>441</v>
      </c>
      <c r="C5" s="706"/>
      <c r="D5" s="284" t="s">
        <v>88</v>
      </c>
      <c r="E5" s="284" t="s">
        <v>442</v>
      </c>
      <c r="F5" s="285">
        <v>42729</v>
      </c>
      <c r="G5" s="285" t="s">
        <v>443</v>
      </c>
      <c r="H5" s="286">
        <v>500000</v>
      </c>
      <c r="I5" s="287">
        <v>83333</v>
      </c>
      <c r="J5" s="288" t="s">
        <v>35</v>
      </c>
      <c r="K5" s="284" t="s">
        <v>444</v>
      </c>
      <c r="L5" s="289">
        <v>45018</v>
      </c>
      <c r="M5" s="276"/>
      <c r="P5" s="291"/>
    </row>
    <row r="6" spans="2:16" s="290" customFormat="1" ht="16.5" thickBot="1" x14ac:dyDescent="0.3">
      <c r="B6" s="283" t="s">
        <v>441</v>
      </c>
      <c r="C6" s="706"/>
      <c r="D6" s="284" t="s">
        <v>88</v>
      </c>
      <c r="E6" s="284" t="s">
        <v>442</v>
      </c>
      <c r="F6" s="285">
        <v>42796</v>
      </c>
      <c r="G6" s="285" t="s">
        <v>443</v>
      </c>
      <c r="H6" s="286">
        <v>350000</v>
      </c>
      <c r="I6" s="287">
        <v>58333</v>
      </c>
      <c r="J6" s="288" t="s">
        <v>35</v>
      </c>
      <c r="K6" s="284" t="s">
        <v>444</v>
      </c>
      <c r="L6" s="289">
        <v>45019</v>
      </c>
      <c r="M6" s="276"/>
      <c r="P6" s="291"/>
    </row>
    <row r="7" spans="2:16" s="290" customFormat="1" ht="16.5" thickBot="1" x14ac:dyDescent="0.3">
      <c r="B7" s="283" t="s">
        <v>441</v>
      </c>
      <c r="C7" s="707"/>
      <c r="D7" s="284" t="s">
        <v>88</v>
      </c>
      <c r="E7" s="284" t="s">
        <v>442</v>
      </c>
      <c r="F7" s="285">
        <v>42863</v>
      </c>
      <c r="G7" s="285" t="s">
        <v>443</v>
      </c>
      <c r="H7" s="286">
        <v>500000</v>
      </c>
      <c r="I7" s="287">
        <v>83333</v>
      </c>
      <c r="J7" s="288" t="s">
        <v>35</v>
      </c>
      <c r="K7" s="284" t="s">
        <v>444</v>
      </c>
      <c r="L7" s="289">
        <v>45020</v>
      </c>
      <c r="M7" s="276"/>
      <c r="P7" s="291"/>
    </row>
    <row r="8" spans="2:16" s="290" customFormat="1" ht="16.5" thickBot="1" x14ac:dyDescent="0.3">
      <c r="B8" s="283" t="s">
        <v>441</v>
      </c>
      <c r="C8" s="292">
        <v>2</v>
      </c>
      <c r="D8" s="284" t="s">
        <v>88</v>
      </c>
      <c r="E8" s="284" t="s">
        <v>442</v>
      </c>
      <c r="F8" s="285">
        <v>43203</v>
      </c>
      <c r="G8" s="285" t="s">
        <v>443</v>
      </c>
      <c r="H8" s="286">
        <v>2500000</v>
      </c>
      <c r="I8" s="287">
        <v>1250000</v>
      </c>
      <c r="J8" s="288" t="s">
        <v>35</v>
      </c>
      <c r="K8" s="284" t="s">
        <v>445</v>
      </c>
      <c r="L8" s="289">
        <v>45777</v>
      </c>
      <c r="M8" s="276"/>
      <c r="P8" s="291"/>
    </row>
    <row r="9" spans="2:16" s="290" customFormat="1" ht="16.5" thickBot="1" x14ac:dyDescent="0.3">
      <c r="B9" s="283" t="s">
        <v>441</v>
      </c>
      <c r="C9" s="292">
        <v>3</v>
      </c>
      <c r="D9" s="284" t="s">
        <v>88</v>
      </c>
      <c r="E9" s="284" t="s">
        <v>442</v>
      </c>
      <c r="F9" s="285">
        <v>43291</v>
      </c>
      <c r="G9" s="285" t="s">
        <v>443</v>
      </c>
      <c r="H9" s="286">
        <v>1250000</v>
      </c>
      <c r="I9" s="287">
        <v>729166</v>
      </c>
      <c r="J9" s="288" t="s">
        <v>35</v>
      </c>
      <c r="K9" s="284" t="s">
        <v>445</v>
      </c>
      <c r="L9" s="289">
        <v>45869</v>
      </c>
      <c r="M9" s="276"/>
      <c r="P9" s="291"/>
    </row>
    <row r="10" spans="2:16" s="290" customFormat="1" ht="32.25" thickBot="1" x14ac:dyDescent="0.3">
      <c r="B10" s="283" t="s">
        <v>441</v>
      </c>
      <c r="C10" s="292">
        <v>4</v>
      </c>
      <c r="D10" s="284" t="s">
        <v>88</v>
      </c>
      <c r="E10" s="284" t="s">
        <v>442</v>
      </c>
      <c r="F10" s="285">
        <v>44727</v>
      </c>
      <c r="G10" s="285" t="s">
        <v>446</v>
      </c>
      <c r="H10" s="287">
        <v>7700000</v>
      </c>
      <c r="I10" s="287">
        <v>7700000</v>
      </c>
      <c r="J10" s="288" t="s">
        <v>35</v>
      </c>
      <c r="K10" s="284" t="s">
        <v>447</v>
      </c>
      <c r="L10" s="289" t="s">
        <v>448</v>
      </c>
      <c r="M10" s="276"/>
      <c r="P10" s="291"/>
    </row>
    <row r="11" spans="2:16" s="290" customFormat="1" ht="16.5" thickBot="1" x14ac:dyDescent="0.3">
      <c r="B11" s="283" t="s">
        <v>441</v>
      </c>
      <c r="C11" s="292">
        <v>5</v>
      </c>
      <c r="D11" s="284" t="s">
        <v>88</v>
      </c>
      <c r="E11" s="284" t="s">
        <v>442</v>
      </c>
      <c r="F11" s="285">
        <v>44316</v>
      </c>
      <c r="G11" s="293" t="s">
        <v>449</v>
      </c>
      <c r="H11" s="294">
        <v>3000000</v>
      </c>
      <c r="I11" s="295">
        <v>4368738</v>
      </c>
      <c r="J11" s="288" t="s">
        <v>35</v>
      </c>
      <c r="K11" s="284" t="s">
        <v>447</v>
      </c>
      <c r="L11" s="289"/>
      <c r="M11" s="276"/>
      <c r="P11" s="291"/>
    </row>
    <row r="12" spans="2:16" s="290" customFormat="1" ht="16.5" thickBot="1" x14ac:dyDescent="0.3">
      <c r="B12" s="283" t="s">
        <v>450</v>
      </c>
      <c r="C12" s="292">
        <v>6</v>
      </c>
      <c r="D12" s="284" t="s">
        <v>88</v>
      </c>
      <c r="E12" s="284" t="s">
        <v>451</v>
      </c>
      <c r="F12" s="285">
        <v>44722</v>
      </c>
      <c r="G12" s="285" t="s">
        <v>452</v>
      </c>
      <c r="H12" s="287">
        <f>55675.968+725</f>
        <v>56400.968000000001</v>
      </c>
      <c r="I12" s="287">
        <v>54616.356</v>
      </c>
      <c r="J12" s="288" t="s">
        <v>35</v>
      </c>
      <c r="K12" s="284" t="s">
        <v>453</v>
      </c>
      <c r="L12" s="289">
        <v>45787</v>
      </c>
      <c r="M12" s="276"/>
      <c r="P12" s="291"/>
    </row>
    <row r="13" spans="2:16" s="290" customFormat="1" ht="16.5" thickBot="1" x14ac:dyDescent="0.3">
      <c r="B13" s="283" t="s">
        <v>441</v>
      </c>
      <c r="C13" s="292">
        <v>7</v>
      </c>
      <c r="D13" s="284" t="s">
        <v>61</v>
      </c>
      <c r="E13" s="284" t="s">
        <v>442</v>
      </c>
      <c r="F13" s="285"/>
      <c r="G13" s="293" t="s">
        <v>449</v>
      </c>
      <c r="H13" s="294">
        <v>0</v>
      </c>
      <c r="I13" s="295">
        <v>7203.9279999999999</v>
      </c>
      <c r="J13" s="288" t="s">
        <v>35</v>
      </c>
      <c r="K13" s="284" t="s">
        <v>447</v>
      </c>
      <c r="L13" s="289"/>
      <c r="M13" s="276"/>
      <c r="P13" s="291"/>
    </row>
    <row r="14" spans="2:16" s="290" customFormat="1" ht="16.5" thickBot="1" x14ac:dyDescent="0.3">
      <c r="B14" s="283" t="s">
        <v>441</v>
      </c>
      <c r="C14" s="292">
        <v>8</v>
      </c>
      <c r="D14" s="284" t="s">
        <v>60</v>
      </c>
      <c r="E14" s="284" t="s">
        <v>442</v>
      </c>
      <c r="F14" s="285"/>
      <c r="G14" s="293" t="s">
        <v>449</v>
      </c>
      <c r="H14" s="294">
        <v>0</v>
      </c>
      <c r="I14" s="295">
        <v>3401.384</v>
      </c>
      <c r="J14" s="288" t="s">
        <v>35</v>
      </c>
      <c r="K14" s="284" t="s">
        <v>447</v>
      </c>
      <c r="L14" s="289"/>
      <c r="M14" s="276"/>
      <c r="P14" s="291"/>
    </row>
    <row r="15" spans="2:16" s="290" customFormat="1" ht="32.25" thickBot="1" x14ac:dyDescent="0.3">
      <c r="B15" s="283" t="s">
        <v>441</v>
      </c>
      <c r="C15" s="292">
        <v>9</v>
      </c>
      <c r="D15" s="284" t="s">
        <v>56</v>
      </c>
      <c r="E15" s="284" t="s">
        <v>442</v>
      </c>
      <c r="F15" s="285">
        <v>44387</v>
      </c>
      <c r="G15" s="285" t="s">
        <v>456</v>
      </c>
      <c r="H15" s="287">
        <v>2000000</v>
      </c>
      <c r="I15" s="287">
        <v>2136077.2820000001</v>
      </c>
      <c r="J15" s="288" t="s">
        <v>35</v>
      </c>
      <c r="K15" s="284" t="s">
        <v>447</v>
      </c>
      <c r="L15" s="289"/>
      <c r="M15" s="276"/>
      <c r="P15" s="291"/>
    </row>
    <row r="16" spans="2:16" s="290" customFormat="1" ht="16.5" thickBot="1" x14ac:dyDescent="0.3">
      <c r="B16" s="283" t="s">
        <v>441</v>
      </c>
      <c r="C16" s="292">
        <v>10</v>
      </c>
      <c r="D16" s="284" t="s">
        <v>56</v>
      </c>
      <c r="E16" s="284" t="s">
        <v>442</v>
      </c>
      <c r="F16" s="285">
        <v>44387</v>
      </c>
      <c r="G16" s="293" t="s">
        <v>449</v>
      </c>
      <c r="H16" s="294">
        <v>500000</v>
      </c>
      <c r="I16" s="295">
        <v>482187.51699999999</v>
      </c>
      <c r="J16" s="288" t="s">
        <v>35</v>
      </c>
      <c r="K16" s="284" t="s">
        <v>447</v>
      </c>
      <c r="L16" s="289"/>
      <c r="M16" s="276"/>
      <c r="P16" s="291"/>
    </row>
    <row r="17" spans="2:16" s="290" customFormat="1" ht="16.5" thickBot="1" x14ac:dyDescent="0.3">
      <c r="B17" s="283" t="s">
        <v>441</v>
      </c>
      <c r="C17" s="292">
        <v>11</v>
      </c>
      <c r="D17" s="300" t="s">
        <v>88</v>
      </c>
      <c r="E17" s="300" t="s">
        <v>442</v>
      </c>
      <c r="F17" s="301" t="s">
        <v>705</v>
      </c>
      <c r="G17" s="301" t="s">
        <v>443</v>
      </c>
      <c r="H17" s="302">
        <v>2600000</v>
      </c>
      <c r="I17" s="302"/>
      <c r="J17" s="303" t="s">
        <v>35</v>
      </c>
      <c r="K17" s="300" t="s">
        <v>447</v>
      </c>
      <c r="L17" s="304"/>
      <c r="M17" s="276"/>
      <c r="P17" s="291"/>
    </row>
    <row r="18" spans="2:16" s="290" customFormat="1" ht="16.5" thickBot="1" x14ac:dyDescent="0.3">
      <c r="B18" s="283"/>
      <c r="C18" s="292"/>
      <c r="D18" s="300" t="s">
        <v>88</v>
      </c>
      <c r="E18" s="300" t="s">
        <v>442</v>
      </c>
      <c r="F18" s="301" t="s">
        <v>705</v>
      </c>
      <c r="G18" s="301" t="s">
        <v>446</v>
      </c>
      <c r="H18" s="302">
        <v>2800000</v>
      </c>
      <c r="I18" s="302"/>
      <c r="J18" s="303" t="s">
        <v>35</v>
      </c>
      <c r="K18" s="300" t="s">
        <v>447</v>
      </c>
      <c r="L18" s="304"/>
      <c r="M18" s="276"/>
      <c r="P18" s="291"/>
    </row>
    <row r="19" spans="2:16" s="290" customFormat="1" ht="16.5" thickBot="1" x14ac:dyDescent="0.3">
      <c r="B19" s="283"/>
      <c r="C19" s="292"/>
      <c r="D19" s="300" t="s">
        <v>88</v>
      </c>
      <c r="E19" s="300" t="s">
        <v>442</v>
      </c>
      <c r="F19" s="301" t="s">
        <v>705</v>
      </c>
      <c r="G19" s="301" t="s">
        <v>746</v>
      </c>
      <c r="H19" s="302">
        <v>1000000</v>
      </c>
      <c r="I19" s="302"/>
      <c r="J19" s="303" t="s">
        <v>35</v>
      </c>
      <c r="K19" s="300" t="s">
        <v>447</v>
      </c>
      <c r="L19" s="304"/>
      <c r="M19" s="276"/>
      <c r="P19" s="291"/>
    </row>
    <row r="20" spans="2:16" s="290" customFormat="1" ht="16.5" thickBot="1" x14ac:dyDescent="0.3">
      <c r="B20" s="283"/>
      <c r="C20" s="292"/>
      <c r="D20" s="300" t="s">
        <v>88</v>
      </c>
      <c r="E20" s="300" t="s">
        <v>442</v>
      </c>
      <c r="F20" s="301" t="s">
        <v>705</v>
      </c>
      <c r="G20" s="301" t="s">
        <v>449</v>
      </c>
      <c r="H20" s="302">
        <v>500000</v>
      </c>
      <c r="I20" s="302"/>
      <c r="J20" s="303" t="s">
        <v>35</v>
      </c>
      <c r="K20" s="300" t="s">
        <v>447</v>
      </c>
      <c r="L20" s="304"/>
      <c r="M20" s="276"/>
      <c r="P20" s="291"/>
    </row>
    <row r="21" spans="2:16" s="290" customFormat="1" ht="16.5" thickBot="1" x14ac:dyDescent="0.3">
      <c r="B21" s="283" t="s">
        <v>441</v>
      </c>
      <c r="C21" s="292">
        <v>12</v>
      </c>
      <c r="D21" s="300" t="s">
        <v>56</v>
      </c>
      <c r="E21" s="300" t="s">
        <v>442</v>
      </c>
      <c r="F21" s="301" t="s">
        <v>747</v>
      </c>
      <c r="G21" s="301" t="s">
        <v>443</v>
      </c>
      <c r="H21" s="302">
        <v>1000000</v>
      </c>
      <c r="I21" s="302"/>
      <c r="J21" s="303" t="s">
        <v>35</v>
      </c>
      <c r="K21" s="300" t="s">
        <v>447</v>
      </c>
      <c r="L21" s="304"/>
      <c r="M21" s="276"/>
      <c r="P21" s="291"/>
    </row>
    <row r="22" spans="2:16" s="290" customFormat="1" ht="16.5" thickBot="1" x14ac:dyDescent="0.3">
      <c r="B22" s="283"/>
      <c r="C22" s="292"/>
      <c r="D22" s="300" t="s">
        <v>56</v>
      </c>
      <c r="E22" s="300" t="s">
        <v>442</v>
      </c>
      <c r="F22" s="301" t="s">
        <v>705</v>
      </c>
      <c r="G22" s="301" t="s">
        <v>449</v>
      </c>
      <c r="H22" s="302">
        <v>500000</v>
      </c>
      <c r="I22" s="302"/>
      <c r="J22" s="303" t="s">
        <v>35</v>
      </c>
      <c r="K22" s="300" t="s">
        <v>447</v>
      </c>
      <c r="L22" s="304"/>
      <c r="M22" s="276"/>
      <c r="P22" s="291"/>
    </row>
    <row r="23" spans="2:16" ht="47.25" x14ac:dyDescent="0.25">
      <c r="B23" s="283" t="s">
        <v>441</v>
      </c>
      <c r="C23" s="292">
        <v>13</v>
      </c>
      <c r="D23" s="300" t="s">
        <v>55</v>
      </c>
      <c r="E23" s="300" t="s">
        <v>442</v>
      </c>
      <c r="F23" s="301"/>
      <c r="G23" s="301" t="s">
        <v>704</v>
      </c>
      <c r="H23" s="302">
        <v>7300000</v>
      </c>
      <c r="I23" s="302">
        <v>0</v>
      </c>
      <c r="J23" s="303" t="s">
        <v>35</v>
      </c>
      <c r="K23" s="300" t="s">
        <v>706</v>
      </c>
      <c r="L23" s="304"/>
    </row>
    <row r="24" spans="2:16" x14ac:dyDescent="0.25">
      <c r="B24" s="276"/>
      <c r="H24" s="276"/>
      <c r="I24" s="276"/>
    </row>
    <row r="25" spans="2:16" x14ac:dyDescent="0.25">
      <c r="H25" s="177" t="s">
        <v>454</v>
      </c>
      <c r="I25" s="176">
        <f>SUM(I3:I23)</f>
        <v>17314723.467</v>
      </c>
    </row>
    <row r="27" spans="2:16" x14ac:dyDescent="0.25">
      <c r="G27" s="297" t="s">
        <v>696</v>
      </c>
      <c r="H27" s="296">
        <f>SUM(H3:H9)</f>
        <v>7250000</v>
      </c>
      <c r="I27" s="296">
        <f>SUM(I3:I9)</f>
        <v>2562499</v>
      </c>
      <c r="J27" s="276" t="s">
        <v>697</v>
      </c>
    </row>
    <row r="28" spans="2:16" x14ac:dyDescent="0.25">
      <c r="G28" s="298" t="s">
        <v>698</v>
      </c>
      <c r="H28" s="296">
        <f>H10</f>
        <v>7700000</v>
      </c>
      <c r="I28" s="296">
        <f>I10</f>
        <v>7700000</v>
      </c>
      <c r="J28" s="276" t="s">
        <v>703</v>
      </c>
    </row>
    <row r="29" spans="2:16" x14ac:dyDescent="0.25">
      <c r="G29" s="298" t="s">
        <v>699</v>
      </c>
      <c r="H29" s="178">
        <f>SUM(H11,H13:H14,H16)</f>
        <v>3500000</v>
      </c>
      <c r="I29" s="179">
        <f>SUM(I11,I13:I14,I16)</f>
        <v>4861530.8289999999</v>
      </c>
      <c r="J29" s="276" t="s">
        <v>700</v>
      </c>
    </row>
    <row r="30" spans="2:16" x14ac:dyDescent="0.25">
      <c r="G30" s="298" t="s">
        <v>701</v>
      </c>
      <c r="H30" s="296">
        <f>H15</f>
        <v>2000000</v>
      </c>
      <c r="I30" s="296">
        <f>I15</f>
        <v>2136077.2820000001</v>
      </c>
    </row>
    <row r="31" spans="2:16" x14ac:dyDescent="0.25">
      <c r="G31" s="298" t="s">
        <v>702</v>
      </c>
      <c r="H31" s="299">
        <f>H12</f>
        <v>56400.968000000001</v>
      </c>
      <c r="I31" s="299">
        <f>I12</f>
        <v>54616.356</v>
      </c>
    </row>
    <row r="32" spans="2:16" x14ac:dyDescent="0.25">
      <c r="I32" s="296">
        <f>SUM(I27:I31)-I25</f>
        <v>0</v>
      </c>
    </row>
    <row r="33" spans="7:10" x14ac:dyDescent="0.25">
      <c r="G33" s="276" t="s">
        <v>707</v>
      </c>
      <c r="H33" s="276"/>
      <c r="I33" s="299">
        <f>H17+H21+H23</f>
        <v>10900000</v>
      </c>
    </row>
    <row r="34" spans="7:10" x14ac:dyDescent="0.25">
      <c r="H34" s="276"/>
      <c r="I34" s="276"/>
    </row>
    <row r="35" spans="7:10" x14ac:dyDescent="0.25">
      <c r="H35" s="296" t="s">
        <v>708</v>
      </c>
      <c r="I35" s="296">
        <f>I25+I33</f>
        <v>28214723.467</v>
      </c>
      <c r="J35" s="305" t="s">
        <v>35</v>
      </c>
    </row>
    <row r="36" spans="7:10" x14ac:dyDescent="0.25">
      <c r="I36" s="296">
        <f>I35*0.31</f>
        <v>8746564.2747699991</v>
      </c>
      <c r="J36" s="305" t="s">
        <v>1</v>
      </c>
    </row>
    <row r="38" spans="7:10" x14ac:dyDescent="0.25">
      <c r="H38" s="296" t="s">
        <v>709</v>
      </c>
      <c r="I38" s="296">
        <f>I36/3</f>
        <v>2915521.4249233329</v>
      </c>
      <c r="J38" s="276" t="s">
        <v>710</v>
      </c>
    </row>
  </sheetData>
  <autoFilter ref="B2:M3" xr:uid="{6388CA3F-47DD-4638-8841-C8427FA95C46}"/>
  <mergeCells count="1">
    <mergeCell ref="C3:C7"/>
  </mergeCells>
  <pageMargins left="0.70866141732283472" right="0.70866141732283472" top="0.74803149606299213" bottom="0.74803149606299213" header="0.31496062992125984" footer="0.31496062992125984"/>
  <pageSetup paperSize="9" scale="67" fitToHeight="3"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AE428-E8BF-4DEF-834F-5BE8C4DCF5AA}">
  <sheetPr>
    <tabColor rgb="FFCCFFFF"/>
  </sheetPr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11AF2-5F95-4B27-940C-037B18A592A2}">
  <sheetPr>
    <tabColor rgb="FFCCFFFF"/>
  </sheetPr>
  <dimension ref="D2:P22"/>
  <sheetViews>
    <sheetView workbookViewId="0">
      <selection activeCell="M31" sqref="M31"/>
    </sheetView>
  </sheetViews>
  <sheetFormatPr baseColWidth="10" defaultColWidth="9.140625" defaultRowHeight="12.75" x14ac:dyDescent="0.2"/>
  <sheetData>
    <row r="2" spans="4:16" ht="13.5" thickBot="1" x14ac:dyDescent="0.25"/>
    <row r="3" spans="4:16" x14ac:dyDescent="0.2">
      <c r="D3" s="266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8"/>
    </row>
    <row r="4" spans="4:16" x14ac:dyDescent="0.2">
      <c r="D4" s="269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70"/>
    </row>
    <row r="5" spans="4:16" x14ac:dyDescent="0.2">
      <c r="D5" s="269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  <c r="P5" s="270"/>
    </row>
    <row r="6" spans="4:16" x14ac:dyDescent="0.2">
      <c r="D6" s="269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  <c r="P6" s="270"/>
    </row>
    <row r="7" spans="4:16" x14ac:dyDescent="0.2">
      <c r="D7" s="269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  <c r="P7" s="270"/>
    </row>
    <row r="8" spans="4:16" x14ac:dyDescent="0.2">
      <c r="D8" s="269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5"/>
      <c r="P8" s="270"/>
    </row>
    <row r="9" spans="4:16" x14ac:dyDescent="0.2">
      <c r="D9" s="269"/>
      <c r="E9" s="265"/>
      <c r="F9" s="265"/>
      <c r="G9" s="265"/>
      <c r="H9" s="265"/>
      <c r="I9" s="265"/>
      <c r="J9" s="265"/>
      <c r="K9" s="265"/>
      <c r="L9" s="265"/>
      <c r="M9" s="265"/>
      <c r="N9" s="265"/>
      <c r="O9" s="265"/>
      <c r="P9" s="270"/>
    </row>
    <row r="10" spans="4:16" x14ac:dyDescent="0.2">
      <c r="D10" s="269"/>
      <c r="E10" s="265"/>
      <c r="F10" s="265"/>
      <c r="G10" s="265"/>
      <c r="H10" s="265"/>
      <c r="I10" s="265"/>
      <c r="J10" s="265"/>
      <c r="K10" s="265"/>
      <c r="L10" s="265"/>
      <c r="M10" s="265"/>
      <c r="N10" s="265"/>
      <c r="O10" s="265"/>
      <c r="P10" s="270"/>
    </row>
    <row r="11" spans="4:16" x14ac:dyDescent="0.2">
      <c r="D11" s="269"/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5"/>
      <c r="P11" s="270"/>
    </row>
    <row r="12" spans="4:16" x14ac:dyDescent="0.2">
      <c r="D12" s="269"/>
      <c r="E12" s="265"/>
      <c r="F12" s="265"/>
      <c r="G12" s="265"/>
      <c r="H12" s="265"/>
      <c r="I12" s="265"/>
      <c r="J12" s="265"/>
      <c r="K12" s="265"/>
      <c r="L12" s="265"/>
      <c r="M12" s="265"/>
      <c r="N12" s="265"/>
      <c r="O12" s="265"/>
      <c r="P12" s="270"/>
    </row>
    <row r="13" spans="4:16" x14ac:dyDescent="0.2">
      <c r="D13" s="269"/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5"/>
      <c r="P13" s="270"/>
    </row>
    <row r="14" spans="4:16" x14ac:dyDescent="0.2">
      <c r="D14" s="269"/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5"/>
      <c r="P14" s="270"/>
    </row>
    <row r="15" spans="4:16" x14ac:dyDescent="0.2">
      <c r="D15" s="269"/>
      <c r="E15" s="265"/>
      <c r="F15" s="265"/>
      <c r="G15" s="265"/>
      <c r="H15" s="265"/>
      <c r="I15" s="265"/>
      <c r="J15" s="265"/>
      <c r="K15" s="265"/>
      <c r="L15" s="265"/>
      <c r="M15" s="265"/>
      <c r="N15" s="265"/>
      <c r="O15" s="265"/>
      <c r="P15" s="270"/>
    </row>
    <row r="16" spans="4:16" x14ac:dyDescent="0.2">
      <c r="D16" s="269"/>
      <c r="E16" s="265"/>
      <c r="F16" s="265"/>
      <c r="G16" s="265"/>
      <c r="H16" s="265"/>
      <c r="I16" s="265"/>
      <c r="J16" s="265"/>
      <c r="K16" s="265"/>
      <c r="L16" s="265"/>
      <c r="M16" s="265"/>
      <c r="N16" s="265"/>
      <c r="O16" s="265"/>
      <c r="P16" s="270"/>
    </row>
    <row r="17" spans="4:16" x14ac:dyDescent="0.2">
      <c r="D17" s="269"/>
      <c r="E17" s="265"/>
      <c r="F17" s="265"/>
      <c r="G17" s="265"/>
      <c r="H17" s="265"/>
      <c r="I17" s="265"/>
      <c r="J17" s="265"/>
      <c r="K17" s="265"/>
      <c r="L17" s="265"/>
      <c r="M17" s="265"/>
      <c r="N17" s="265"/>
      <c r="O17" s="265"/>
      <c r="P17" s="270"/>
    </row>
    <row r="18" spans="4:16" x14ac:dyDescent="0.2">
      <c r="D18" s="269"/>
      <c r="E18" s="265"/>
      <c r="F18" s="265"/>
      <c r="G18" s="265"/>
      <c r="H18" s="265"/>
      <c r="I18" s="265"/>
      <c r="J18" s="265"/>
      <c r="K18" s="265"/>
      <c r="L18" s="265"/>
      <c r="M18" s="265"/>
      <c r="N18" s="265"/>
      <c r="O18" s="265"/>
      <c r="P18" s="270"/>
    </row>
    <row r="19" spans="4:16" x14ac:dyDescent="0.2">
      <c r="D19" s="269"/>
      <c r="E19" s="265"/>
      <c r="F19" s="265"/>
      <c r="G19" s="265"/>
      <c r="H19" s="265"/>
      <c r="I19" s="265"/>
      <c r="J19" s="265"/>
      <c r="K19" s="265"/>
      <c r="L19" s="265"/>
      <c r="M19" s="265"/>
      <c r="N19" s="265"/>
      <c r="O19" s="265"/>
      <c r="P19" s="270"/>
    </row>
    <row r="20" spans="4:16" x14ac:dyDescent="0.2">
      <c r="D20" s="269"/>
      <c r="E20" s="265"/>
      <c r="F20" s="265"/>
      <c r="G20" s="265"/>
      <c r="H20" s="265"/>
      <c r="I20" s="265"/>
      <c r="J20" s="265"/>
      <c r="K20" s="265"/>
      <c r="L20" s="265"/>
      <c r="M20" s="265"/>
      <c r="N20" s="265"/>
      <c r="O20" s="265"/>
      <c r="P20" s="270"/>
    </row>
    <row r="21" spans="4:16" x14ac:dyDescent="0.2">
      <c r="D21" s="269"/>
      <c r="E21" s="265"/>
      <c r="F21" s="265"/>
      <c r="G21" s="265"/>
      <c r="H21" s="265"/>
      <c r="I21" s="265"/>
      <c r="J21" s="265"/>
      <c r="K21" s="265"/>
      <c r="L21" s="265"/>
      <c r="M21" s="265"/>
      <c r="N21" s="265"/>
      <c r="O21" s="265"/>
      <c r="P21" s="270"/>
    </row>
    <row r="22" spans="4:16" ht="13.5" thickBot="1" x14ac:dyDescent="0.25">
      <c r="D22" s="271"/>
      <c r="E22" s="272"/>
      <c r="F22" s="272"/>
      <c r="G22" s="272"/>
      <c r="H22" s="272"/>
      <c r="I22" s="272"/>
      <c r="J22" s="272"/>
      <c r="K22" s="272"/>
      <c r="L22" s="272"/>
      <c r="M22" s="272"/>
      <c r="N22" s="272"/>
      <c r="O22" s="272"/>
      <c r="P22" s="27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FFE3D-D35C-47EE-98DA-01747F62635A}">
  <dimension ref="A1:M2064"/>
  <sheetViews>
    <sheetView topLeftCell="A1078" workbookViewId="0">
      <selection activeCell="M1100" sqref="M1100"/>
    </sheetView>
  </sheetViews>
  <sheetFormatPr baseColWidth="10" defaultColWidth="9.140625" defaultRowHeight="12.75" x14ac:dyDescent="0.2"/>
  <cols>
    <col min="1" max="1" width="6" bestFit="1" customWidth="1"/>
    <col min="2" max="2" width="33.7109375" bestFit="1" customWidth="1"/>
    <col min="3" max="3" width="35.140625" bestFit="1" customWidth="1"/>
    <col min="4" max="4" width="43.42578125" bestFit="1" customWidth="1"/>
    <col min="5" max="5" width="22.28515625" bestFit="1" customWidth="1"/>
    <col min="6" max="6" width="30" bestFit="1" customWidth="1"/>
    <col min="7" max="7" width="9.140625" bestFit="1" customWidth="1"/>
    <col min="8" max="8" width="9" bestFit="1" customWidth="1"/>
    <col min="9" max="9" width="11.42578125" bestFit="1" customWidth="1"/>
    <col min="11" max="12" width="10.140625" style="39" bestFit="1" customWidth="1"/>
    <col min="13" max="13" width="9.85546875" bestFit="1" customWidth="1"/>
  </cols>
  <sheetData>
    <row r="1" spans="1:13" ht="12.6" customHeight="1" x14ac:dyDescent="0.2">
      <c r="A1" s="711" t="s">
        <v>120</v>
      </c>
      <c r="B1" s="712"/>
      <c r="C1" s="712"/>
      <c r="D1" s="712"/>
      <c r="E1" s="712"/>
      <c r="F1" s="712"/>
      <c r="G1" s="712"/>
      <c r="H1" s="712"/>
      <c r="I1" s="712"/>
      <c r="K1" s="39">
        <v>44562</v>
      </c>
      <c r="L1" s="39">
        <v>44562</v>
      </c>
      <c r="M1" t="s">
        <v>32</v>
      </c>
    </row>
    <row r="2" spans="1:13" x14ac:dyDescent="0.2">
      <c r="A2" s="3" t="s">
        <v>110</v>
      </c>
      <c r="B2" s="3" t="s">
        <v>99</v>
      </c>
      <c r="C2" s="3" t="s">
        <v>98</v>
      </c>
      <c r="D2" s="3" t="s">
        <v>118</v>
      </c>
      <c r="E2" s="3" t="s">
        <v>117</v>
      </c>
      <c r="F2" s="3" t="s">
        <v>119</v>
      </c>
      <c r="G2" s="3" t="s">
        <v>28</v>
      </c>
      <c r="H2" s="3" t="s">
        <v>106</v>
      </c>
      <c r="I2" s="3" t="s">
        <v>27</v>
      </c>
      <c r="K2" s="39">
        <v>44563</v>
      </c>
      <c r="L2" s="39">
        <v>44563</v>
      </c>
      <c r="M2" t="s">
        <v>32</v>
      </c>
    </row>
    <row r="3" spans="1:13" x14ac:dyDescent="0.2">
      <c r="A3" t="s">
        <v>58</v>
      </c>
      <c r="B3" s="38" t="s">
        <v>100</v>
      </c>
      <c r="C3" t="s">
        <v>104</v>
      </c>
      <c r="D3" t="s">
        <v>111</v>
      </c>
      <c r="E3" t="s">
        <v>91</v>
      </c>
      <c r="F3" s="38" t="s">
        <v>242</v>
      </c>
      <c r="G3" s="38" t="s">
        <v>35</v>
      </c>
      <c r="H3" s="38" t="s">
        <v>107</v>
      </c>
      <c r="I3" s="38" t="s">
        <v>251</v>
      </c>
      <c r="K3" s="39">
        <v>44564</v>
      </c>
      <c r="L3" s="39">
        <v>44564</v>
      </c>
      <c r="M3" t="s">
        <v>32</v>
      </c>
    </row>
    <row r="4" spans="1:13" x14ac:dyDescent="0.2">
      <c r="A4" t="s">
        <v>56</v>
      </c>
      <c r="B4" s="38" t="s">
        <v>101</v>
      </c>
      <c r="C4" t="s">
        <v>105</v>
      </c>
      <c r="D4" t="s">
        <v>112</v>
      </c>
      <c r="E4" t="s">
        <v>47</v>
      </c>
      <c r="F4" s="38" t="s">
        <v>243</v>
      </c>
      <c r="G4" s="38" t="s">
        <v>1</v>
      </c>
      <c r="H4" s="38" t="s">
        <v>108</v>
      </c>
      <c r="I4" s="38" t="s">
        <v>252</v>
      </c>
      <c r="K4" s="39">
        <v>44564</v>
      </c>
      <c r="L4" s="39">
        <v>44564</v>
      </c>
      <c r="M4" t="s">
        <v>32</v>
      </c>
    </row>
    <row r="5" spans="1:13" x14ac:dyDescent="0.2">
      <c r="A5" t="s">
        <v>55</v>
      </c>
      <c r="B5" s="38" t="s">
        <v>102</v>
      </c>
      <c r="C5" s="33" t="s">
        <v>647</v>
      </c>
      <c r="D5" t="s">
        <v>113</v>
      </c>
      <c r="E5" t="s">
        <v>51</v>
      </c>
      <c r="F5" s="38" t="s">
        <v>244</v>
      </c>
      <c r="G5" s="38" t="s">
        <v>0</v>
      </c>
      <c r="H5" s="38" t="s">
        <v>109</v>
      </c>
      <c r="K5" s="39">
        <v>44565</v>
      </c>
      <c r="L5" s="39">
        <v>44565</v>
      </c>
      <c r="M5" t="s">
        <v>32</v>
      </c>
    </row>
    <row r="6" spans="1:13" x14ac:dyDescent="0.2">
      <c r="A6" s="38" t="s">
        <v>60</v>
      </c>
      <c r="C6" s="33" t="s">
        <v>652</v>
      </c>
      <c r="D6" t="s">
        <v>114</v>
      </c>
      <c r="E6" t="s">
        <v>52</v>
      </c>
      <c r="F6" s="38" t="s">
        <v>245</v>
      </c>
      <c r="K6" s="39">
        <v>44566</v>
      </c>
      <c r="L6" s="39">
        <v>44566</v>
      </c>
      <c r="M6" t="s">
        <v>32</v>
      </c>
    </row>
    <row r="7" spans="1:13" x14ac:dyDescent="0.2">
      <c r="A7" s="38" t="s">
        <v>61</v>
      </c>
      <c r="C7" s="33" t="s">
        <v>653</v>
      </c>
      <c r="D7" t="s">
        <v>115</v>
      </c>
      <c r="E7" t="s">
        <v>48</v>
      </c>
      <c r="F7" s="38" t="s">
        <v>246</v>
      </c>
      <c r="K7" s="39">
        <v>44567</v>
      </c>
      <c r="L7" s="39">
        <v>44567</v>
      </c>
      <c r="M7" t="s">
        <v>32</v>
      </c>
    </row>
    <row r="8" spans="1:13" x14ac:dyDescent="0.2">
      <c r="D8" t="s">
        <v>116</v>
      </c>
      <c r="E8" t="s">
        <v>49</v>
      </c>
      <c r="K8" s="39">
        <v>44568</v>
      </c>
      <c r="L8" s="39">
        <v>44568</v>
      </c>
      <c r="M8" t="s">
        <v>32</v>
      </c>
    </row>
    <row r="9" spans="1:13" x14ac:dyDescent="0.2">
      <c r="E9" t="s">
        <v>53</v>
      </c>
      <c r="K9" s="39">
        <v>44569</v>
      </c>
      <c r="L9" s="39">
        <v>44569</v>
      </c>
      <c r="M9" t="s">
        <v>33</v>
      </c>
    </row>
    <row r="10" spans="1:13" x14ac:dyDescent="0.2">
      <c r="E10" t="s">
        <v>57</v>
      </c>
      <c r="K10" s="39">
        <v>44570</v>
      </c>
      <c r="L10" s="39">
        <v>44570</v>
      </c>
      <c r="M10" t="s">
        <v>33</v>
      </c>
    </row>
    <row r="11" spans="1:13" x14ac:dyDescent="0.2">
      <c r="E11" t="s">
        <v>61</v>
      </c>
      <c r="K11" s="39">
        <v>44571</v>
      </c>
      <c r="L11" s="39">
        <v>44571</v>
      </c>
      <c r="M11" t="s">
        <v>33</v>
      </c>
    </row>
    <row r="12" spans="1:13" x14ac:dyDescent="0.2">
      <c r="E12" t="s">
        <v>54</v>
      </c>
      <c r="K12" s="39">
        <v>44572</v>
      </c>
      <c r="L12" s="39">
        <v>44572</v>
      </c>
      <c r="M12" t="s">
        <v>33</v>
      </c>
    </row>
    <row r="13" spans="1:13" x14ac:dyDescent="0.2">
      <c r="E13" t="s">
        <v>56</v>
      </c>
      <c r="K13" s="39">
        <v>44573</v>
      </c>
      <c r="L13" s="39">
        <v>44573</v>
      </c>
      <c r="M13" t="s">
        <v>33</v>
      </c>
    </row>
    <row r="14" spans="1:13" x14ac:dyDescent="0.2">
      <c r="E14" t="s">
        <v>55</v>
      </c>
      <c r="K14" s="39">
        <v>44574</v>
      </c>
      <c r="L14" s="39">
        <v>44574</v>
      </c>
      <c r="M14" t="s">
        <v>33</v>
      </c>
    </row>
    <row r="15" spans="1:13" x14ac:dyDescent="0.2">
      <c r="E15" t="s">
        <v>60</v>
      </c>
      <c r="K15" s="39">
        <v>44575</v>
      </c>
      <c r="L15" s="39">
        <v>44575</v>
      </c>
      <c r="M15" t="s">
        <v>33</v>
      </c>
    </row>
    <row r="16" spans="1:13" x14ac:dyDescent="0.2">
      <c r="E16" s="33" t="s">
        <v>58</v>
      </c>
      <c r="K16" s="39">
        <v>44576</v>
      </c>
      <c r="L16" s="39">
        <v>44576</v>
      </c>
      <c r="M16" t="s">
        <v>34</v>
      </c>
    </row>
    <row r="17" spans="1:13" x14ac:dyDescent="0.2">
      <c r="E17" t="s">
        <v>50</v>
      </c>
      <c r="K17" s="39">
        <v>44577</v>
      </c>
      <c r="L17" s="39">
        <v>44577</v>
      </c>
      <c r="M17" t="s">
        <v>34</v>
      </c>
    </row>
    <row r="18" spans="1:13" x14ac:dyDescent="0.2">
      <c r="E18" s="33" t="s">
        <v>3404</v>
      </c>
      <c r="K18" s="39">
        <v>44578</v>
      </c>
      <c r="L18" s="39">
        <v>44578</v>
      </c>
      <c r="M18" t="s">
        <v>34</v>
      </c>
    </row>
    <row r="19" spans="1:13" x14ac:dyDescent="0.2">
      <c r="E19" s="33" t="s">
        <v>853</v>
      </c>
      <c r="K19" s="39">
        <v>44579</v>
      </c>
      <c r="L19" s="39">
        <v>44579</v>
      </c>
      <c r="M19" t="s">
        <v>34</v>
      </c>
    </row>
    <row r="20" spans="1:13" x14ac:dyDescent="0.2">
      <c r="E20" t="s">
        <v>2304</v>
      </c>
      <c r="K20" s="39">
        <v>44580</v>
      </c>
      <c r="L20" s="39">
        <v>44580</v>
      </c>
      <c r="M20" t="s">
        <v>34</v>
      </c>
    </row>
    <row r="21" spans="1:13" x14ac:dyDescent="0.2">
      <c r="E21" t="s">
        <v>1226</v>
      </c>
      <c r="K21" s="39">
        <v>44581</v>
      </c>
      <c r="L21" s="39">
        <v>44581</v>
      </c>
      <c r="M21" t="s">
        <v>34</v>
      </c>
    </row>
    <row r="22" spans="1:13" x14ac:dyDescent="0.2">
      <c r="E22" s="34" t="s">
        <v>2977</v>
      </c>
      <c r="K22" s="39">
        <v>44582</v>
      </c>
      <c r="L22" s="39">
        <v>44582</v>
      </c>
      <c r="M22" t="s">
        <v>34</v>
      </c>
    </row>
    <row r="23" spans="1:13" x14ac:dyDescent="0.2">
      <c r="K23" s="39">
        <v>44583</v>
      </c>
      <c r="L23" s="39">
        <v>44583</v>
      </c>
      <c r="M23" t="s">
        <v>128</v>
      </c>
    </row>
    <row r="24" spans="1:13" x14ac:dyDescent="0.2">
      <c r="K24" s="39">
        <v>44584</v>
      </c>
      <c r="L24" s="39">
        <v>44584</v>
      </c>
      <c r="M24" t="s">
        <v>128</v>
      </c>
    </row>
    <row r="25" spans="1:13" x14ac:dyDescent="0.2">
      <c r="K25" s="39">
        <v>44585</v>
      </c>
      <c r="L25" s="39">
        <v>44585</v>
      </c>
      <c r="M25" t="s">
        <v>128</v>
      </c>
    </row>
    <row r="26" spans="1:13" x14ac:dyDescent="0.2">
      <c r="K26" s="39">
        <v>44586</v>
      </c>
      <c r="L26" s="39">
        <v>44586</v>
      </c>
      <c r="M26" t="s">
        <v>128</v>
      </c>
    </row>
    <row r="27" spans="1:13" ht="13.5" thickBot="1" x14ac:dyDescent="0.25">
      <c r="K27" s="39">
        <v>44587</v>
      </c>
      <c r="L27" s="39">
        <v>44587</v>
      </c>
      <c r="M27" t="s">
        <v>128</v>
      </c>
    </row>
    <row r="28" spans="1:13" ht="13.5" thickBot="1" x14ac:dyDescent="0.25">
      <c r="A28" s="708" t="s">
        <v>259</v>
      </c>
      <c r="B28" s="709"/>
      <c r="C28" s="709"/>
      <c r="D28" s="709"/>
      <c r="E28" s="709"/>
      <c r="F28" s="709"/>
      <c r="G28" s="709"/>
      <c r="H28" s="710"/>
      <c r="K28" s="39">
        <v>44588</v>
      </c>
      <c r="L28" s="39">
        <v>44588</v>
      </c>
      <c r="M28" t="s">
        <v>128</v>
      </c>
    </row>
    <row r="29" spans="1:13" x14ac:dyDescent="0.2">
      <c r="A29" s="3" t="s">
        <v>110</v>
      </c>
      <c r="B29" s="3" t="s">
        <v>254</v>
      </c>
      <c r="C29" s="3" t="s">
        <v>261</v>
      </c>
      <c r="D29" s="3" t="s">
        <v>263</v>
      </c>
      <c r="E29" s="3" t="s">
        <v>262</v>
      </c>
      <c r="F29" s="3" t="s">
        <v>266</v>
      </c>
      <c r="G29" s="3" t="s">
        <v>28</v>
      </c>
      <c r="H29" s="3" t="s">
        <v>106</v>
      </c>
      <c r="I29" s="3"/>
      <c r="K29" s="39">
        <v>44589</v>
      </c>
      <c r="L29" s="39">
        <v>44589</v>
      </c>
      <c r="M29" t="s">
        <v>128</v>
      </c>
    </row>
    <row r="30" spans="1:13" x14ac:dyDescent="0.2">
      <c r="A30" t="s">
        <v>58</v>
      </c>
      <c r="B30" t="s">
        <v>66</v>
      </c>
      <c r="C30" s="38" t="s">
        <v>55</v>
      </c>
      <c r="D30" t="s">
        <v>70</v>
      </c>
      <c r="E30" t="s">
        <v>29</v>
      </c>
      <c r="F30" t="s">
        <v>231</v>
      </c>
      <c r="G30" s="38" t="s">
        <v>35</v>
      </c>
      <c r="H30" s="38" t="s">
        <v>107</v>
      </c>
      <c r="K30" s="39">
        <v>44590</v>
      </c>
      <c r="L30" s="39">
        <v>44590</v>
      </c>
      <c r="M30" t="s">
        <v>129</v>
      </c>
    </row>
    <row r="31" spans="1:13" x14ac:dyDescent="0.2">
      <c r="A31" t="s">
        <v>56</v>
      </c>
      <c r="B31" t="s">
        <v>69</v>
      </c>
      <c r="C31" s="33" t="s">
        <v>3399</v>
      </c>
      <c r="D31" t="s">
        <v>72</v>
      </c>
      <c r="E31" s="33" t="s">
        <v>684</v>
      </c>
      <c r="F31" t="s">
        <v>232</v>
      </c>
      <c r="G31" s="38" t="s">
        <v>1</v>
      </c>
      <c r="H31" s="38" t="s">
        <v>108</v>
      </c>
      <c r="K31" s="39">
        <v>44591</v>
      </c>
      <c r="L31" s="39">
        <v>44591</v>
      </c>
      <c r="M31" t="s">
        <v>129</v>
      </c>
    </row>
    <row r="32" spans="1:13" x14ac:dyDescent="0.2">
      <c r="A32" t="s">
        <v>55</v>
      </c>
      <c r="C32" s="33" t="s">
        <v>3403</v>
      </c>
      <c r="D32" t="s">
        <v>75</v>
      </c>
      <c r="E32" t="s">
        <v>5</v>
      </c>
      <c r="F32" t="s">
        <v>265</v>
      </c>
      <c r="G32" s="38" t="s">
        <v>0</v>
      </c>
      <c r="H32" s="38" t="s">
        <v>109</v>
      </c>
      <c r="K32" s="39">
        <v>44592</v>
      </c>
      <c r="L32" s="39">
        <v>44592</v>
      </c>
      <c r="M32" t="s">
        <v>129</v>
      </c>
    </row>
    <row r="33" spans="1:13" x14ac:dyDescent="0.2">
      <c r="A33" s="38" t="s">
        <v>60</v>
      </c>
      <c r="C33" s="33" t="s">
        <v>3400</v>
      </c>
      <c r="D33" t="s">
        <v>76</v>
      </c>
      <c r="E33" t="s">
        <v>71</v>
      </c>
      <c r="F33" t="s">
        <v>233</v>
      </c>
      <c r="G33" s="33" t="s">
        <v>660</v>
      </c>
      <c r="K33" s="39">
        <v>44593</v>
      </c>
      <c r="L33" s="39">
        <v>44593</v>
      </c>
      <c r="M33" t="s">
        <v>129</v>
      </c>
    </row>
    <row r="34" spans="1:13" x14ac:dyDescent="0.2">
      <c r="A34" s="38" t="s">
        <v>61</v>
      </c>
      <c r="C34" s="33" t="s">
        <v>3401</v>
      </c>
      <c r="D34" t="s">
        <v>264</v>
      </c>
      <c r="E34" t="s">
        <v>4</v>
      </c>
      <c r="F34" t="s">
        <v>234</v>
      </c>
      <c r="K34" s="39">
        <v>44594</v>
      </c>
      <c r="L34" s="39">
        <v>44594</v>
      </c>
      <c r="M34" t="s">
        <v>129</v>
      </c>
    </row>
    <row r="35" spans="1:13" x14ac:dyDescent="0.2">
      <c r="C35" s="33" t="s">
        <v>1013</v>
      </c>
      <c r="E35" t="s">
        <v>73</v>
      </c>
      <c r="F35" t="s">
        <v>240</v>
      </c>
      <c r="K35" s="39">
        <v>44595</v>
      </c>
      <c r="L35" s="39">
        <v>44595</v>
      </c>
      <c r="M35" t="s">
        <v>129</v>
      </c>
    </row>
    <row r="36" spans="1:13" x14ac:dyDescent="0.2">
      <c r="C36" s="33" t="s">
        <v>3402</v>
      </c>
      <c r="E36" t="s">
        <v>74</v>
      </c>
      <c r="K36" s="39">
        <v>44596</v>
      </c>
      <c r="L36" s="39">
        <v>44596</v>
      </c>
      <c r="M36" t="s">
        <v>129</v>
      </c>
    </row>
    <row r="37" spans="1:13" x14ac:dyDescent="0.2">
      <c r="C37" t="s">
        <v>67</v>
      </c>
      <c r="E37" t="s">
        <v>79</v>
      </c>
      <c r="K37" s="39">
        <v>44597</v>
      </c>
      <c r="L37" s="39">
        <v>44597</v>
      </c>
      <c r="M37" t="s">
        <v>130</v>
      </c>
    </row>
    <row r="38" spans="1:13" x14ac:dyDescent="0.2">
      <c r="C38" t="s">
        <v>68</v>
      </c>
      <c r="E38" t="s">
        <v>6</v>
      </c>
      <c r="K38" s="39">
        <v>44598</v>
      </c>
      <c r="L38" s="39">
        <v>44598</v>
      </c>
      <c r="M38" t="s">
        <v>130</v>
      </c>
    </row>
    <row r="39" spans="1:13" x14ac:dyDescent="0.2">
      <c r="C39" s="33" t="s">
        <v>877</v>
      </c>
      <c r="E39" t="s">
        <v>30</v>
      </c>
      <c r="K39" s="39">
        <v>44599</v>
      </c>
      <c r="L39" s="39">
        <v>44599</v>
      </c>
      <c r="M39" t="s">
        <v>130</v>
      </c>
    </row>
    <row r="40" spans="1:13" x14ac:dyDescent="0.2">
      <c r="C40" s="33" t="s">
        <v>878</v>
      </c>
      <c r="E40" t="s">
        <v>31</v>
      </c>
      <c r="K40" s="39">
        <v>44600</v>
      </c>
      <c r="L40" s="39">
        <v>44600</v>
      </c>
      <c r="M40" t="s">
        <v>130</v>
      </c>
    </row>
    <row r="41" spans="1:13" x14ac:dyDescent="0.2">
      <c r="E41" s="33"/>
      <c r="K41" s="39">
        <v>44601</v>
      </c>
      <c r="L41" s="39">
        <v>44601</v>
      </c>
      <c r="M41" t="s">
        <v>130</v>
      </c>
    </row>
    <row r="42" spans="1:13" x14ac:dyDescent="0.2">
      <c r="K42" s="39">
        <v>44602</v>
      </c>
      <c r="L42" s="39">
        <v>44602</v>
      </c>
      <c r="M42" t="s">
        <v>130</v>
      </c>
    </row>
    <row r="43" spans="1:13" x14ac:dyDescent="0.2">
      <c r="K43" s="39">
        <v>44603</v>
      </c>
      <c r="L43" s="39">
        <v>44603</v>
      </c>
      <c r="M43" t="s">
        <v>130</v>
      </c>
    </row>
    <row r="44" spans="1:13" x14ac:dyDescent="0.2">
      <c r="K44" s="39">
        <v>44604</v>
      </c>
      <c r="L44" s="39">
        <v>44604</v>
      </c>
      <c r="M44" t="s">
        <v>131</v>
      </c>
    </row>
    <row r="45" spans="1:13" x14ac:dyDescent="0.2">
      <c r="K45" s="39">
        <v>44605</v>
      </c>
      <c r="L45" s="39">
        <v>44605</v>
      </c>
      <c r="M45" t="s">
        <v>131</v>
      </c>
    </row>
    <row r="46" spans="1:13" x14ac:dyDescent="0.2">
      <c r="K46" s="39">
        <v>44606</v>
      </c>
      <c r="L46" s="39">
        <v>44606</v>
      </c>
      <c r="M46" t="s">
        <v>131</v>
      </c>
    </row>
    <row r="47" spans="1:13" x14ac:dyDescent="0.2">
      <c r="K47" s="39">
        <v>44607</v>
      </c>
      <c r="L47" s="39">
        <v>44607</v>
      </c>
      <c r="M47" t="s">
        <v>131</v>
      </c>
    </row>
    <row r="48" spans="1:13" x14ac:dyDescent="0.2">
      <c r="K48" s="39">
        <v>44608</v>
      </c>
      <c r="L48" s="39">
        <v>44608</v>
      </c>
      <c r="M48" t="s">
        <v>131</v>
      </c>
    </row>
    <row r="49" spans="11:13" x14ac:dyDescent="0.2">
      <c r="K49" s="39">
        <v>44609</v>
      </c>
      <c r="L49" s="39">
        <v>44609</v>
      </c>
      <c r="M49" t="s">
        <v>131</v>
      </c>
    </row>
    <row r="50" spans="11:13" x14ac:dyDescent="0.2">
      <c r="K50" s="39">
        <v>44610</v>
      </c>
      <c r="L50" s="39">
        <v>44610</v>
      </c>
      <c r="M50" t="s">
        <v>131</v>
      </c>
    </row>
    <row r="51" spans="11:13" x14ac:dyDescent="0.2">
      <c r="K51" s="39">
        <v>44611</v>
      </c>
      <c r="L51" s="39">
        <v>44611</v>
      </c>
      <c r="M51" t="s">
        <v>132</v>
      </c>
    </row>
    <row r="52" spans="11:13" x14ac:dyDescent="0.2">
      <c r="K52" s="39">
        <v>44612</v>
      </c>
      <c r="L52" s="39">
        <v>44612</v>
      </c>
      <c r="M52" t="s">
        <v>132</v>
      </c>
    </row>
    <row r="53" spans="11:13" x14ac:dyDescent="0.2">
      <c r="K53" s="39">
        <v>44613</v>
      </c>
      <c r="L53" s="39">
        <v>44613</v>
      </c>
      <c r="M53" t="s">
        <v>132</v>
      </c>
    </row>
    <row r="54" spans="11:13" x14ac:dyDescent="0.2">
      <c r="K54" s="39">
        <v>44614</v>
      </c>
      <c r="L54" s="39">
        <v>44614</v>
      </c>
      <c r="M54" t="s">
        <v>132</v>
      </c>
    </row>
    <row r="55" spans="11:13" x14ac:dyDescent="0.2">
      <c r="K55" s="39">
        <v>44615</v>
      </c>
      <c r="L55" s="39">
        <v>44615</v>
      </c>
      <c r="M55" t="s">
        <v>132</v>
      </c>
    </row>
    <row r="56" spans="11:13" x14ac:dyDescent="0.2">
      <c r="K56" s="39">
        <v>44616</v>
      </c>
      <c r="L56" s="39">
        <v>44616</v>
      </c>
      <c r="M56" t="s">
        <v>132</v>
      </c>
    </row>
    <row r="57" spans="11:13" x14ac:dyDescent="0.2">
      <c r="K57" s="39">
        <v>44617</v>
      </c>
      <c r="L57" s="39">
        <v>44617</v>
      </c>
      <c r="M57" t="s">
        <v>132</v>
      </c>
    </row>
    <row r="58" spans="11:13" x14ac:dyDescent="0.2">
      <c r="K58" s="39">
        <v>44618</v>
      </c>
      <c r="L58" s="39">
        <v>44618</v>
      </c>
      <c r="M58" t="s">
        <v>133</v>
      </c>
    </row>
    <row r="59" spans="11:13" x14ac:dyDescent="0.2">
      <c r="K59" s="39">
        <v>44619</v>
      </c>
      <c r="L59" s="39">
        <v>44619</v>
      </c>
      <c r="M59" t="s">
        <v>133</v>
      </c>
    </row>
    <row r="60" spans="11:13" x14ac:dyDescent="0.2">
      <c r="K60" s="39">
        <v>44620</v>
      </c>
      <c r="L60" s="39">
        <v>44620</v>
      </c>
      <c r="M60" t="s">
        <v>133</v>
      </c>
    </row>
    <row r="61" spans="11:13" x14ac:dyDescent="0.2">
      <c r="K61" s="39">
        <v>44621</v>
      </c>
      <c r="L61" s="39">
        <v>44621</v>
      </c>
      <c r="M61" t="s">
        <v>133</v>
      </c>
    </row>
    <row r="62" spans="11:13" x14ac:dyDescent="0.2">
      <c r="K62" s="39">
        <v>44622</v>
      </c>
      <c r="L62" s="39">
        <v>44622</v>
      </c>
      <c r="M62" t="s">
        <v>133</v>
      </c>
    </row>
    <row r="63" spans="11:13" x14ac:dyDescent="0.2">
      <c r="K63" s="39">
        <v>44623</v>
      </c>
      <c r="L63" s="39">
        <v>44623</v>
      </c>
      <c r="M63" t="s">
        <v>133</v>
      </c>
    </row>
    <row r="64" spans="11:13" x14ac:dyDescent="0.2">
      <c r="K64" s="39">
        <v>44624</v>
      </c>
      <c r="L64" s="39">
        <v>44624</v>
      </c>
      <c r="M64" t="s">
        <v>133</v>
      </c>
    </row>
    <row r="65" spans="11:13" x14ac:dyDescent="0.2">
      <c r="K65" s="39">
        <v>44625</v>
      </c>
      <c r="L65" s="39">
        <v>44625</v>
      </c>
      <c r="M65" t="s">
        <v>134</v>
      </c>
    </row>
    <row r="66" spans="11:13" x14ac:dyDescent="0.2">
      <c r="K66" s="39">
        <v>44626</v>
      </c>
      <c r="L66" s="39">
        <v>44626</v>
      </c>
      <c r="M66" t="s">
        <v>134</v>
      </c>
    </row>
    <row r="67" spans="11:13" x14ac:dyDescent="0.2">
      <c r="K67" s="39">
        <v>44627</v>
      </c>
      <c r="L67" s="39">
        <v>44627</v>
      </c>
      <c r="M67" t="s">
        <v>134</v>
      </c>
    </row>
    <row r="68" spans="11:13" x14ac:dyDescent="0.2">
      <c r="K68" s="39">
        <v>44628</v>
      </c>
      <c r="L68" s="39">
        <v>44628</v>
      </c>
      <c r="M68" t="s">
        <v>134</v>
      </c>
    </row>
    <row r="69" spans="11:13" x14ac:dyDescent="0.2">
      <c r="K69" s="39">
        <v>44629</v>
      </c>
      <c r="L69" s="39">
        <v>44629</v>
      </c>
      <c r="M69" t="s">
        <v>134</v>
      </c>
    </row>
    <row r="70" spans="11:13" x14ac:dyDescent="0.2">
      <c r="K70" s="39">
        <v>44630</v>
      </c>
      <c r="L70" s="39">
        <v>44630</v>
      </c>
      <c r="M70" t="s">
        <v>134</v>
      </c>
    </row>
    <row r="71" spans="11:13" x14ac:dyDescent="0.2">
      <c r="K71" s="39">
        <v>44631</v>
      </c>
      <c r="L71" s="39">
        <v>44631</v>
      </c>
      <c r="M71" t="s">
        <v>134</v>
      </c>
    </row>
    <row r="72" spans="11:13" x14ac:dyDescent="0.2">
      <c r="K72" s="39">
        <v>44632</v>
      </c>
      <c r="L72" s="39">
        <v>44632</v>
      </c>
      <c r="M72" t="s">
        <v>135</v>
      </c>
    </row>
    <row r="73" spans="11:13" x14ac:dyDescent="0.2">
      <c r="K73" s="39">
        <v>44633</v>
      </c>
      <c r="L73" s="39">
        <v>44633</v>
      </c>
      <c r="M73" t="s">
        <v>135</v>
      </c>
    </row>
    <row r="74" spans="11:13" x14ac:dyDescent="0.2">
      <c r="K74" s="39">
        <v>44634</v>
      </c>
      <c r="L74" s="39">
        <v>44634</v>
      </c>
      <c r="M74" t="s">
        <v>135</v>
      </c>
    </row>
    <row r="75" spans="11:13" x14ac:dyDescent="0.2">
      <c r="K75" s="39">
        <v>44635</v>
      </c>
      <c r="L75" s="39">
        <v>44635</v>
      </c>
      <c r="M75" t="s">
        <v>135</v>
      </c>
    </row>
    <row r="76" spans="11:13" x14ac:dyDescent="0.2">
      <c r="K76" s="39">
        <v>44636</v>
      </c>
      <c r="L76" s="39">
        <v>44636</v>
      </c>
      <c r="M76" t="s">
        <v>135</v>
      </c>
    </row>
    <row r="77" spans="11:13" x14ac:dyDescent="0.2">
      <c r="K77" s="39">
        <v>44637</v>
      </c>
      <c r="L77" s="39">
        <v>44637</v>
      </c>
      <c r="M77" t="s">
        <v>135</v>
      </c>
    </row>
    <row r="78" spans="11:13" x14ac:dyDescent="0.2">
      <c r="K78" s="39">
        <v>44638</v>
      </c>
      <c r="L78" s="39">
        <v>44638</v>
      </c>
      <c r="M78" t="s">
        <v>135</v>
      </c>
    </row>
    <row r="79" spans="11:13" x14ac:dyDescent="0.2">
      <c r="K79" s="39">
        <v>44639</v>
      </c>
      <c r="L79" s="39">
        <v>44639</v>
      </c>
      <c r="M79" t="s">
        <v>136</v>
      </c>
    </row>
    <row r="80" spans="11:13" x14ac:dyDescent="0.2">
      <c r="K80" s="39">
        <v>44640</v>
      </c>
      <c r="L80" s="39">
        <v>44640</v>
      </c>
      <c r="M80" t="s">
        <v>136</v>
      </c>
    </row>
    <row r="81" spans="11:13" x14ac:dyDescent="0.2">
      <c r="K81" s="39">
        <v>44641</v>
      </c>
      <c r="L81" s="39">
        <v>44641</v>
      </c>
      <c r="M81" t="s">
        <v>136</v>
      </c>
    </row>
    <row r="82" spans="11:13" x14ac:dyDescent="0.2">
      <c r="K82" s="39">
        <v>44642</v>
      </c>
      <c r="L82" s="39">
        <v>44642</v>
      </c>
      <c r="M82" t="s">
        <v>136</v>
      </c>
    </row>
    <row r="83" spans="11:13" x14ac:dyDescent="0.2">
      <c r="K83" s="39">
        <v>44643</v>
      </c>
      <c r="L83" s="39">
        <v>44643</v>
      </c>
      <c r="M83" t="s">
        <v>136</v>
      </c>
    </row>
    <row r="84" spans="11:13" x14ac:dyDescent="0.2">
      <c r="K84" s="39">
        <v>44644</v>
      </c>
      <c r="L84" s="39">
        <v>44644</v>
      </c>
      <c r="M84" t="s">
        <v>136</v>
      </c>
    </row>
    <row r="85" spans="11:13" x14ac:dyDescent="0.2">
      <c r="K85" s="39">
        <v>44645</v>
      </c>
      <c r="L85" s="39">
        <v>44645</v>
      </c>
      <c r="M85" t="s">
        <v>136</v>
      </c>
    </row>
    <row r="86" spans="11:13" x14ac:dyDescent="0.2">
      <c r="K86" s="39">
        <v>44646</v>
      </c>
      <c r="L86" s="39">
        <v>44646</v>
      </c>
      <c r="M86" t="s">
        <v>137</v>
      </c>
    </row>
    <row r="87" spans="11:13" x14ac:dyDescent="0.2">
      <c r="K87" s="39">
        <v>44647</v>
      </c>
      <c r="L87" s="39">
        <v>44647</v>
      </c>
      <c r="M87" t="s">
        <v>137</v>
      </c>
    </row>
    <row r="88" spans="11:13" x14ac:dyDescent="0.2">
      <c r="K88" s="39">
        <v>44648</v>
      </c>
      <c r="L88" s="39">
        <v>44648</v>
      </c>
      <c r="M88" t="s">
        <v>137</v>
      </c>
    </row>
    <row r="89" spans="11:13" x14ac:dyDescent="0.2">
      <c r="K89" s="39">
        <v>44649</v>
      </c>
      <c r="L89" s="39">
        <v>44649</v>
      </c>
      <c r="M89" t="s">
        <v>137</v>
      </c>
    </row>
    <row r="90" spans="11:13" x14ac:dyDescent="0.2">
      <c r="K90" s="39">
        <v>44650</v>
      </c>
      <c r="L90" s="39">
        <v>44650</v>
      </c>
      <c r="M90" t="s">
        <v>137</v>
      </c>
    </row>
    <row r="91" spans="11:13" x14ac:dyDescent="0.2">
      <c r="K91" s="39">
        <v>44651</v>
      </c>
      <c r="L91" s="39">
        <v>44651</v>
      </c>
      <c r="M91" t="s">
        <v>137</v>
      </c>
    </row>
    <row r="92" spans="11:13" x14ac:dyDescent="0.2">
      <c r="K92" s="39">
        <v>44652</v>
      </c>
      <c r="L92" s="39">
        <v>44652</v>
      </c>
      <c r="M92" t="s">
        <v>137</v>
      </c>
    </row>
    <row r="93" spans="11:13" x14ac:dyDescent="0.2">
      <c r="K93" s="39">
        <v>44653</v>
      </c>
      <c r="L93" s="39">
        <v>44653</v>
      </c>
      <c r="M93" t="s">
        <v>138</v>
      </c>
    </row>
    <row r="94" spans="11:13" x14ac:dyDescent="0.2">
      <c r="K94" s="39">
        <v>44654</v>
      </c>
      <c r="L94" s="39">
        <v>44654</v>
      </c>
      <c r="M94" t="s">
        <v>138</v>
      </c>
    </row>
    <row r="95" spans="11:13" x14ac:dyDescent="0.2">
      <c r="K95" s="39">
        <v>44655</v>
      </c>
      <c r="L95" s="39">
        <v>44655</v>
      </c>
      <c r="M95" t="s">
        <v>138</v>
      </c>
    </row>
    <row r="96" spans="11:13" x14ac:dyDescent="0.2">
      <c r="K96" s="39">
        <v>44656</v>
      </c>
      <c r="L96" s="39">
        <v>44656</v>
      </c>
      <c r="M96" t="s">
        <v>138</v>
      </c>
    </row>
    <row r="97" spans="11:13" x14ac:dyDescent="0.2">
      <c r="K97" s="39">
        <v>44657</v>
      </c>
      <c r="L97" s="39">
        <v>44657</v>
      </c>
      <c r="M97" t="s">
        <v>138</v>
      </c>
    </row>
    <row r="98" spans="11:13" x14ac:dyDescent="0.2">
      <c r="K98" s="39">
        <v>44658</v>
      </c>
      <c r="L98" s="39">
        <v>44658</v>
      </c>
      <c r="M98" t="s">
        <v>138</v>
      </c>
    </row>
    <row r="99" spans="11:13" x14ac:dyDescent="0.2">
      <c r="K99" s="39">
        <v>44659</v>
      </c>
      <c r="L99" s="39">
        <v>44659</v>
      </c>
      <c r="M99" t="s">
        <v>138</v>
      </c>
    </row>
    <row r="100" spans="11:13" x14ac:dyDescent="0.2">
      <c r="K100" s="39">
        <v>44660</v>
      </c>
      <c r="L100" s="39">
        <v>44660</v>
      </c>
      <c r="M100" t="s">
        <v>139</v>
      </c>
    </row>
    <row r="101" spans="11:13" x14ac:dyDescent="0.2">
      <c r="K101" s="39">
        <v>44661</v>
      </c>
      <c r="L101" s="39">
        <v>44661</v>
      </c>
      <c r="M101" t="s">
        <v>139</v>
      </c>
    </row>
    <row r="102" spans="11:13" x14ac:dyDescent="0.2">
      <c r="K102" s="39">
        <v>44662</v>
      </c>
      <c r="L102" s="39">
        <v>44662</v>
      </c>
      <c r="M102" t="s">
        <v>139</v>
      </c>
    </row>
    <row r="103" spans="11:13" x14ac:dyDescent="0.2">
      <c r="K103" s="39">
        <v>44663</v>
      </c>
      <c r="L103" s="39">
        <v>44663</v>
      </c>
      <c r="M103" t="s">
        <v>139</v>
      </c>
    </row>
    <row r="104" spans="11:13" x14ac:dyDescent="0.2">
      <c r="K104" s="39">
        <v>44664</v>
      </c>
      <c r="L104" s="39">
        <v>44664</v>
      </c>
      <c r="M104" t="s">
        <v>139</v>
      </c>
    </row>
    <row r="105" spans="11:13" x14ac:dyDescent="0.2">
      <c r="K105" s="39">
        <v>44665</v>
      </c>
      <c r="L105" s="39">
        <v>44665</v>
      </c>
      <c r="M105" t="s">
        <v>139</v>
      </c>
    </row>
    <row r="106" spans="11:13" x14ac:dyDescent="0.2">
      <c r="K106" s="39">
        <v>44666</v>
      </c>
      <c r="L106" s="39">
        <v>44666</v>
      </c>
      <c r="M106" t="s">
        <v>139</v>
      </c>
    </row>
    <row r="107" spans="11:13" x14ac:dyDescent="0.2">
      <c r="K107" s="39">
        <v>44667</v>
      </c>
      <c r="L107" s="39">
        <v>44667</v>
      </c>
      <c r="M107" t="s">
        <v>140</v>
      </c>
    </row>
    <row r="108" spans="11:13" x14ac:dyDescent="0.2">
      <c r="K108" s="39">
        <v>44668</v>
      </c>
      <c r="L108" s="39">
        <v>44668</v>
      </c>
      <c r="M108" t="s">
        <v>140</v>
      </c>
    </row>
    <row r="109" spans="11:13" x14ac:dyDescent="0.2">
      <c r="K109" s="39">
        <v>44669</v>
      </c>
      <c r="L109" s="39">
        <v>44669</v>
      </c>
      <c r="M109" t="s">
        <v>140</v>
      </c>
    </row>
    <row r="110" spans="11:13" x14ac:dyDescent="0.2">
      <c r="K110" s="39">
        <v>44670</v>
      </c>
      <c r="L110" s="39">
        <v>44670</v>
      </c>
      <c r="M110" t="s">
        <v>140</v>
      </c>
    </row>
    <row r="111" spans="11:13" x14ac:dyDescent="0.2">
      <c r="K111" s="39">
        <v>44671</v>
      </c>
      <c r="L111" s="39">
        <v>44671</v>
      </c>
      <c r="M111" t="s">
        <v>140</v>
      </c>
    </row>
    <row r="112" spans="11:13" x14ac:dyDescent="0.2">
      <c r="K112" s="39">
        <v>44672</v>
      </c>
      <c r="L112" s="39">
        <v>44672</v>
      </c>
      <c r="M112" t="s">
        <v>140</v>
      </c>
    </row>
    <row r="113" spans="11:13" x14ac:dyDescent="0.2">
      <c r="K113" s="39">
        <v>44673</v>
      </c>
      <c r="L113" s="39">
        <v>44673</v>
      </c>
      <c r="M113" t="s">
        <v>140</v>
      </c>
    </row>
    <row r="114" spans="11:13" x14ac:dyDescent="0.2">
      <c r="K114" s="39">
        <v>44674</v>
      </c>
      <c r="L114" s="39">
        <v>44674</v>
      </c>
      <c r="M114" t="s">
        <v>141</v>
      </c>
    </row>
    <row r="115" spans="11:13" x14ac:dyDescent="0.2">
      <c r="K115" s="39">
        <v>44675</v>
      </c>
      <c r="L115" s="39">
        <v>44675</v>
      </c>
      <c r="M115" t="s">
        <v>141</v>
      </c>
    </row>
    <row r="116" spans="11:13" x14ac:dyDescent="0.2">
      <c r="K116" s="39">
        <v>44676</v>
      </c>
      <c r="L116" s="39">
        <v>44676</v>
      </c>
      <c r="M116" t="s">
        <v>141</v>
      </c>
    </row>
    <row r="117" spans="11:13" x14ac:dyDescent="0.2">
      <c r="K117" s="39">
        <v>44677</v>
      </c>
      <c r="L117" s="39">
        <v>44677</v>
      </c>
      <c r="M117" t="s">
        <v>141</v>
      </c>
    </row>
    <row r="118" spans="11:13" x14ac:dyDescent="0.2">
      <c r="K118" s="39">
        <v>44678</v>
      </c>
      <c r="L118" s="39">
        <v>44678</v>
      </c>
      <c r="M118" t="s">
        <v>141</v>
      </c>
    </row>
    <row r="119" spans="11:13" x14ac:dyDescent="0.2">
      <c r="K119" s="39">
        <v>44679</v>
      </c>
      <c r="L119" s="39">
        <v>44679</v>
      </c>
      <c r="M119" t="s">
        <v>141</v>
      </c>
    </row>
    <row r="120" spans="11:13" x14ac:dyDescent="0.2">
      <c r="K120" s="39">
        <v>44680</v>
      </c>
      <c r="L120" s="39">
        <v>44680</v>
      </c>
      <c r="M120" t="s">
        <v>141</v>
      </c>
    </row>
    <row r="121" spans="11:13" x14ac:dyDescent="0.2">
      <c r="K121" s="39">
        <v>44681</v>
      </c>
      <c r="L121" s="39">
        <v>44681</v>
      </c>
      <c r="M121" t="s">
        <v>142</v>
      </c>
    </row>
    <row r="122" spans="11:13" x14ac:dyDescent="0.2">
      <c r="K122" s="39">
        <v>44682</v>
      </c>
      <c r="L122" s="39">
        <v>44682</v>
      </c>
      <c r="M122" t="s">
        <v>142</v>
      </c>
    </row>
    <row r="123" spans="11:13" x14ac:dyDescent="0.2">
      <c r="K123" s="39">
        <v>44683</v>
      </c>
      <c r="L123" s="39">
        <v>44683</v>
      </c>
      <c r="M123" t="s">
        <v>142</v>
      </c>
    </row>
    <row r="124" spans="11:13" x14ac:dyDescent="0.2">
      <c r="K124" s="39">
        <v>44684</v>
      </c>
      <c r="L124" s="39">
        <v>44684</v>
      </c>
      <c r="M124" t="s">
        <v>142</v>
      </c>
    </row>
    <row r="125" spans="11:13" x14ac:dyDescent="0.2">
      <c r="K125" s="39">
        <v>44685</v>
      </c>
      <c r="L125" s="39">
        <v>44685</v>
      </c>
      <c r="M125" t="s">
        <v>142</v>
      </c>
    </row>
    <row r="126" spans="11:13" x14ac:dyDescent="0.2">
      <c r="K126" s="39">
        <v>44686</v>
      </c>
      <c r="L126" s="39">
        <v>44686</v>
      </c>
      <c r="M126" t="s">
        <v>142</v>
      </c>
    </row>
    <row r="127" spans="11:13" x14ac:dyDescent="0.2">
      <c r="K127" s="39">
        <v>44687</v>
      </c>
      <c r="L127" s="39">
        <v>44687</v>
      </c>
      <c r="M127" t="s">
        <v>142</v>
      </c>
    </row>
    <row r="128" spans="11:13" x14ac:dyDescent="0.2">
      <c r="K128" s="39">
        <v>44688</v>
      </c>
      <c r="L128" s="39">
        <v>44688</v>
      </c>
      <c r="M128" t="s">
        <v>143</v>
      </c>
    </row>
    <row r="129" spans="11:13" x14ac:dyDescent="0.2">
      <c r="K129" s="39">
        <v>44689</v>
      </c>
      <c r="L129" s="39">
        <v>44689</v>
      </c>
      <c r="M129" t="s">
        <v>143</v>
      </c>
    </row>
    <row r="130" spans="11:13" x14ac:dyDescent="0.2">
      <c r="K130" s="39">
        <v>44690</v>
      </c>
      <c r="L130" s="39">
        <v>44690</v>
      </c>
      <c r="M130" t="s">
        <v>143</v>
      </c>
    </row>
    <row r="131" spans="11:13" x14ac:dyDescent="0.2">
      <c r="K131" s="39">
        <v>44691</v>
      </c>
      <c r="L131" s="39">
        <v>44691</v>
      </c>
      <c r="M131" t="s">
        <v>143</v>
      </c>
    </row>
    <row r="132" spans="11:13" x14ac:dyDescent="0.2">
      <c r="K132" s="39">
        <v>44692</v>
      </c>
      <c r="L132" s="39">
        <v>44692</v>
      </c>
      <c r="M132" t="s">
        <v>143</v>
      </c>
    </row>
    <row r="133" spans="11:13" x14ac:dyDescent="0.2">
      <c r="K133" s="39">
        <v>44693</v>
      </c>
      <c r="L133" s="39">
        <v>44693</v>
      </c>
      <c r="M133" t="s">
        <v>143</v>
      </c>
    </row>
    <row r="134" spans="11:13" x14ac:dyDescent="0.2">
      <c r="K134" s="39">
        <v>44694</v>
      </c>
      <c r="L134" s="39">
        <v>44694</v>
      </c>
      <c r="M134" t="s">
        <v>143</v>
      </c>
    </row>
    <row r="135" spans="11:13" x14ac:dyDescent="0.2">
      <c r="K135" s="39">
        <v>44695</v>
      </c>
      <c r="L135" s="39">
        <v>44695</v>
      </c>
      <c r="M135" t="s">
        <v>144</v>
      </c>
    </row>
    <row r="136" spans="11:13" x14ac:dyDescent="0.2">
      <c r="K136" s="39">
        <v>44696</v>
      </c>
      <c r="L136" s="39">
        <v>44696</v>
      </c>
      <c r="M136" t="s">
        <v>144</v>
      </c>
    </row>
    <row r="137" spans="11:13" x14ac:dyDescent="0.2">
      <c r="K137" s="39">
        <v>44697</v>
      </c>
      <c r="L137" s="39">
        <v>44697</v>
      </c>
      <c r="M137" t="s">
        <v>144</v>
      </c>
    </row>
    <row r="138" spans="11:13" x14ac:dyDescent="0.2">
      <c r="K138" s="39">
        <v>44698</v>
      </c>
      <c r="L138" s="39">
        <v>44698</v>
      </c>
      <c r="M138" t="s">
        <v>144</v>
      </c>
    </row>
    <row r="139" spans="11:13" x14ac:dyDescent="0.2">
      <c r="K139" s="39">
        <v>44699</v>
      </c>
      <c r="L139" s="39">
        <v>44699</v>
      </c>
      <c r="M139" t="s">
        <v>144</v>
      </c>
    </row>
    <row r="140" spans="11:13" x14ac:dyDescent="0.2">
      <c r="K140" s="39">
        <v>44700</v>
      </c>
      <c r="L140" s="39">
        <v>44700</v>
      </c>
      <c r="M140" t="s">
        <v>144</v>
      </c>
    </row>
    <row r="141" spans="11:13" x14ac:dyDescent="0.2">
      <c r="K141" s="39">
        <v>44701</v>
      </c>
      <c r="L141" s="39">
        <v>44701</v>
      </c>
      <c r="M141" t="s">
        <v>144</v>
      </c>
    </row>
    <row r="142" spans="11:13" x14ac:dyDescent="0.2">
      <c r="K142" s="39">
        <v>44702</v>
      </c>
      <c r="L142" s="39">
        <v>44702</v>
      </c>
      <c r="M142" t="s">
        <v>145</v>
      </c>
    </row>
    <row r="143" spans="11:13" x14ac:dyDescent="0.2">
      <c r="K143" s="39">
        <v>44703</v>
      </c>
      <c r="L143" s="39">
        <v>44703</v>
      </c>
      <c r="M143" t="s">
        <v>145</v>
      </c>
    </row>
    <row r="144" spans="11:13" x14ac:dyDescent="0.2">
      <c r="K144" s="39">
        <v>44704</v>
      </c>
      <c r="L144" s="39">
        <v>44704</v>
      </c>
      <c r="M144" t="s">
        <v>145</v>
      </c>
    </row>
    <row r="145" spans="11:13" x14ac:dyDescent="0.2">
      <c r="K145" s="39">
        <v>44705</v>
      </c>
      <c r="L145" s="39">
        <v>44705</v>
      </c>
      <c r="M145" t="s">
        <v>145</v>
      </c>
    </row>
    <row r="146" spans="11:13" x14ac:dyDescent="0.2">
      <c r="K146" s="39">
        <v>44706</v>
      </c>
      <c r="L146" s="39">
        <v>44706</v>
      </c>
      <c r="M146" t="s">
        <v>145</v>
      </c>
    </row>
    <row r="147" spans="11:13" x14ac:dyDescent="0.2">
      <c r="K147" s="39">
        <v>44707</v>
      </c>
      <c r="L147" s="39">
        <v>44707</v>
      </c>
      <c r="M147" t="s">
        <v>145</v>
      </c>
    </row>
    <row r="148" spans="11:13" x14ac:dyDescent="0.2">
      <c r="K148" s="39">
        <v>44708</v>
      </c>
      <c r="L148" s="39">
        <v>44708</v>
      </c>
      <c r="M148" t="s">
        <v>145</v>
      </c>
    </row>
    <row r="149" spans="11:13" x14ac:dyDescent="0.2">
      <c r="K149" s="39">
        <v>44709</v>
      </c>
      <c r="L149" s="39">
        <v>44709</v>
      </c>
      <c r="M149" t="s">
        <v>146</v>
      </c>
    </row>
    <row r="150" spans="11:13" x14ac:dyDescent="0.2">
      <c r="K150" s="39">
        <v>44710</v>
      </c>
      <c r="L150" s="39">
        <v>44710</v>
      </c>
      <c r="M150" t="s">
        <v>146</v>
      </c>
    </row>
    <row r="151" spans="11:13" x14ac:dyDescent="0.2">
      <c r="K151" s="39">
        <v>44711</v>
      </c>
      <c r="L151" s="39">
        <v>44711</v>
      </c>
      <c r="M151" t="s">
        <v>146</v>
      </c>
    </row>
    <row r="152" spans="11:13" x14ac:dyDescent="0.2">
      <c r="K152" s="39">
        <v>44712</v>
      </c>
      <c r="L152" s="39">
        <v>44712</v>
      </c>
      <c r="M152" t="s">
        <v>146</v>
      </c>
    </row>
    <row r="153" spans="11:13" x14ac:dyDescent="0.2">
      <c r="K153" s="39">
        <v>44713</v>
      </c>
      <c r="L153" s="39">
        <v>44713</v>
      </c>
      <c r="M153" t="s">
        <v>146</v>
      </c>
    </row>
    <row r="154" spans="11:13" x14ac:dyDescent="0.2">
      <c r="K154" s="39">
        <v>44714</v>
      </c>
      <c r="L154" s="39">
        <v>44714</v>
      </c>
      <c r="M154" t="s">
        <v>146</v>
      </c>
    </row>
    <row r="155" spans="11:13" x14ac:dyDescent="0.2">
      <c r="K155" s="39">
        <v>44715</v>
      </c>
      <c r="L155" s="39">
        <v>44715</v>
      </c>
      <c r="M155" t="s">
        <v>146</v>
      </c>
    </row>
    <row r="156" spans="11:13" x14ac:dyDescent="0.2">
      <c r="K156" s="39">
        <v>44716</v>
      </c>
      <c r="L156" s="39">
        <v>44716</v>
      </c>
      <c r="M156" t="s">
        <v>147</v>
      </c>
    </row>
    <row r="157" spans="11:13" x14ac:dyDescent="0.2">
      <c r="K157" s="39">
        <v>44717</v>
      </c>
      <c r="L157" s="39">
        <v>44717</v>
      </c>
      <c r="M157" t="s">
        <v>147</v>
      </c>
    </row>
    <row r="158" spans="11:13" x14ac:dyDescent="0.2">
      <c r="K158" s="39">
        <v>44718</v>
      </c>
      <c r="L158" s="39">
        <v>44718</v>
      </c>
      <c r="M158" t="s">
        <v>147</v>
      </c>
    </row>
    <row r="159" spans="11:13" x14ac:dyDescent="0.2">
      <c r="K159" s="39">
        <v>44719</v>
      </c>
      <c r="L159" s="39">
        <v>44719</v>
      </c>
      <c r="M159" t="s">
        <v>147</v>
      </c>
    </row>
    <row r="160" spans="11:13" x14ac:dyDescent="0.2">
      <c r="K160" s="39">
        <v>44720</v>
      </c>
      <c r="L160" s="39">
        <v>44720</v>
      </c>
      <c r="M160" t="s">
        <v>147</v>
      </c>
    </row>
    <row r="161" spans="11:13" x14ac:dyDescent="0.2">
      <c r="K161" s="39">
        <v>44721</v>
      </c>
      <c r="L161" s="39">
        <v>44721</v>
      </c>
      <c r="M161" t="s">
        <v>147</v>
      </c>
    </row>
    <row r="162" spans="11:13" x14ac:dyDescent="0.2">
      <c r="K162" s="39">
        <v>44722</v>
      </c>
      <c r="L162" s="39">
        <v>44722</v>
      </c>
      <c r="M162" t="s">
        <v>147</v>
      </c>
    </row>
    <row r="163" spans="11:13" x14ac:dyDescent="0.2">
      <c r="K163" s="39">
        <v>44723</v>
      </c>
      <c r="L163" s="39">
        <v>44723</v>
      </c>
      <c r="M163" t="s">
        <v>148</v>
      </c>
    </row>
    <row r="164" spans="11:13" x14ac:dyDescent="0.2">
      <c r="K164" s="39">
        <v>44724</v>
      </c>
      <c r="L164" s="39">
        <v>44724</v>
      </c>
      <c r="M164" t="s">
        <v>148</v>
      </c>
    </row>
    <row r="165" spans="11:13" x14ac:dyDescent="0.2">
      <c r="K165" s="39">
        <v>44725</v>
      </c>
      <c r="L165" s="39">
        <v>44725</v>
      </c>
      <c r="M165" t="s">
        <v>148</v>
      </c>
    </row>
    <row r="166" spans="11:13" x14ac:dyDescent="0.2">
      <c r="K166" s="39">
        <v>44726</v>
      </c>
      <c r="L166" s="39">
        <v>44726</v>
      </c>
      <c r="M166" t="s">
        <v>148</v>
      </c>
    </row>
    <row r="167" spans="11:13" x14ac:dyDescent="0.2">
      <c r="K167" s="39">
        <v>44727</v>
      </c>
      <c r="L167" s="39">
        <v>44727</v>
      </c>
      <c r="M167" t="s">
        <v>148</v>
      </c>
    </row>
    <row r="168" spans="11:13" x14ac:dyDescent="0.2">
      <c r="K168" s="39">
        <v>44728</v>
      </c>
      <c r="L168" s="39">
        <v>44728</v>
      </c>
      <c r="M168" t="s">
        <v>148</v>
      </c>
    </row>
    <row r="169" spans="11:13" x14ac:dyDescent="0.2">
      <c r="K169" s="39">
        <v>44729</v>
      </c>
      <c r="L169" s="39">
        <v>44729</v>
      </c>
      <c r="M169" t="s">
        <v>148</v>
      </c>
    </row>
    <row r="170" spans="11:13" x14ac:dyDescent="0.2">
      <c r="K170" s="39">
        <v>44730</v>
      </c>
      <c r="L170" s="39">
        <v>44730</v>
      </c>
      <c r="M170" t="s">
        <v>149</v>
      </c>
    </row>
    <row r="171" spans="11:13" x14ac:dyDescent="0.2">
      <c r="K171" s="39">
        <v>44731</v>
      </c>
      <c r="L171" s="39">
        <v>44731</v>
      </c>
      <c r="M171" t="s">
        <v>149</v>
      </c>
    </row>
    <row r="172" spans="11:13" x14ac:dyDescent="0.2">
      <c r="K172" s="39">
        <v>44732</v>
      </c>
      <c r="L172" s="39">
        <v>44732</v>
      </c>
      <c r="M172" t="s">
        <v>149</v>
      </c>
    </row>
    <row r="173" spans="11:13" x14ac:dyDescent="0.2">
      <c r="K173" s="39">
        <v>44733</v>
      </c>
      <c r="L173" s="39">
        <v>44733</v>
      </c>
      <c r="M173" t="s">
        <v>149</v>
      </c>
    </row>
    <row r="174" spans="11:13" x14ac:dyDescent="0.2">
      <c r="K174" s="39">
        <v>44734</v>
      </c>
      <c r="L174" s="39">
        <v>44734</v>
      </c>
      <c r="M174" t="s">
        <v>149</v>
      </c>
    </row>
    <row r="175" spans="11:13" x14ac:dyDescent="0.2">
      <c r="K175" s="39">
        <v>44735</v>
      </c>
      <c r="L175" s="39">
        <v>44735</v>
      </c>
      <c r="M175" t="s">
        <v>149</v>
      </c>
    </row>
    <row r="176" spans="11:13" x14ac:dyDescent="0.2">
      <c r="K176" s="39">
        <v>44736</v>
      </c>
      <c r="L176" s="39">
        <v>44736</v>
      </c>
      <c r="M176" t="s">
        <v>149</v>
      </c>
    </row>
    <row r="177" spans="11:13" x14ac:dyDescent="0.2">
      <c r="K177" s="39">
        <v>44737</v>
      </c>
      <c r="L177" s="39">
        <v>44737</v>
      </c>
      <c r="M177" t="s">
        <v>150</v>
      </c>
    </row>
    <row r="178" spans="11:13" x14ac:dyDescent="0.2">
      <c r="K178" s="39">
        <v>44738</v>
      </c>
      <c r="L178" s="39">
        <v>44738</v>
      </c>
      <c r="M178" t="s">
        <v>150</v>
      </c>
    </row>
    <row r="179" spans="11:13" x14ac:dyDescent="0.2">
      <c r="K179" s="39">
        <v>44739</v>
      </c>
      <c r="L179" s="39">
        <v>44739</v>
      </c>
      <c r="M179" t="s">
        <v>150</v>
      </c>
    </row>
    <row r="180" spans="11:13" x14ac:dyDescent="0.2">
      <c r="K180" s="39">
        <v>44740</v>
      </c>
      <c r="L180" s="39">
        <v>44740</v>
      </c>
      <c r="M180" t="s">
        <v>150</v>
      </c>
    </row>
    <row r="181" spans="11:13" x14ac:dyDescent="0.2">
      <c r="K181" s="39">
        <v>44741</v>
      </c>
      <c r="L181" s="39">
        <v>44741</v>
      </c>
      <c r="M181" t="s">
        <v>150</v>
      </c>
    </row>
    <row r="182" spans="11:13" x14ac:dyDescent="0.2">
      <c r="K182" s="39">
        <v>44742</v>
      </c>
      <c r="L182" s="39">
        <v>44742</v>
      </c>
      <c r="M182" t="s">
        <v>150</v>
      </c>
    </row>
    <row r="183" spans="11:13" x14ac:dyDescent="0.2">
      <c r="K183" s="39">
        <v>44743</v>
      </c>
      <c r="L183" s="39">
        <v>44743</v>
      </c>
      <c r="M183" t="s">
        <v>150</v>
      </c>
    </row>
    <row r="184" spans="11:13" x14ac:dyDescent="0.2">
      <c r="K184" s="39">
        <v>44744</v>
      </c>
      <c r="L184" s="39">
        <v>44744</v>
      </c>
      <c r="M184" t="s">
        <v>151</v>
      </c>
    </row>
    <row r="185" spans="11:13" x14ac:dyDescent="0.2">
      <c r="K185" s="39">
        <v>44745</v>
      </c>
      <c r="L185" s="39">
        <v>44745</v>
      </c>
      <c r="M185" t="s">
        <v>151</v>
      </c>
    </row>
    <row r="186" spans="11:13" x14ac:dyDescent="0.2">
      <c r="K186" s="39">
        <v>44746</v>
      </c>
      <c r="L186" s="39">
        <v>44746</v>
      </c>
      <c r="M186" t="s">
        <v>151</v>
      </c>
    </row>
    <row r="187" spans="11:13" x14ac:dyDescent="0.2">
      <c r="K187" s="39">
        <v>44747</v>
      </c>
      <c r="L187" s="39">
        <v>44747</v>
      </c>
      <c r="M187" t="s">
        <v>151</v>
      </c>
    </row>
    <row r="188" spans="11:13" x14ac:dyDescent="0.2">
      <c r="K188" s="39">
        <v>44748</v>
      </c>
      <c r="L188" s="39">
        <v>44748</v>
      </c>
      <c r="M188" t="s">
        <v>151</v>
      </c>
    </row>
    <row r="189" spans="11:13" x14ac:dyDescent="0.2">
      <c r="K189" s="39">
        <v>44749</v>
      </c>
      <c r="L189" s="39">
        <v>44749</v>
      </c>
      <c r="M189" t="s">
        <v>151</v>
      </c>
    </row>
    <row r="190" spans="11:13" x14ac:dyDescent="0.2">
      <c r="K190" s="39">
        <v>44750</v>
      </c>
      <c r="L190" s="39">
        <v>44750</v>
      </c>
      <c r="M190" t="s">
        <v>151</v>
      </c>
    </row>
    <row r="191" spans="11:13" x14ac:dyDescent="0.2">
      <c r="K191" s="39">
        <v>44751</v>
      </c>
      <c r="L191" s="39">
        <v>44751</v>
      </c>
      <c r="M191" t="s">
        <v>152</v>
      </c>
    </row>
    <row r="192" spans="11:13" x14ac:dyDescent="0.2">
      <c r="K192" s="39">
        <v>44752</v>
      </c>
      <c r="L192" s="39">
        <v>44752</v>
      </c>
      <c r="M192" t="s">
        <v>152</v>
      </c>
    </row>
    <row r="193" spans="11:13" x14ac:dyDescent="0.2">
      <c r="K193" s="39">
        <v>44753</v>
      </c>
      <c r="L193" s="39">
        <v>44753</v>
      </c>
      <c r="M193" t="s">
        <v>152</v>
      </c>
    </row>
    <row r="194" spans="11:13" x14ac:dyDescent="0.2">
      <c r="K194" s="39">
        <v>44754</v>
      </c>
      <c r="L194" s="39">
        <v>44754</v>
      </c>
      <c r="M194" t="s">
        <v>152</v>
      </c>
    </row>
    <row r="195" spans="11:13" x14ac:dyDescent="0.2">
      <c r="K195" s="39">
        <v>44755</v>
      </c>
      <c r="L195" s="39">
        <v>44755</v>
      </c>
      <c r="M195" t="s">
        <v>152</v>
      </c>
    </row>
    <row r="196" spans="11:13" x14ac:dyDescent="0.2">
      <c r="K196" s="39">
        <v>44756</v>
      </c>
      <c r="L196" s="39">
        <v>44756</v>
      </c>
      <c r="M196" t="s">
        <v>152</v>
      </c>
    </row>
    <row r="197" spans="11:13" x14ac:dyDescent="0.2">
      <c r="K197" s="39">
        <v>44757</v>
      </c>
      <c r="L197" s="39">
        <v>44757</v>
      </c>
      <c r="M197" t="s">
        <v>152</v>
      </c>
    </row>
    <row r="198" spans="11:13" x14ac:dyDescent="0.2">
      <c r="K198" s="39">
        <v>44758</v>
      </c>
      <c r="L198" s="39">
        <v>44758</v>
      </c>
      <c r="M198" t="s">
        <v>153</v>
      </c>
    </row>
    <row r="199" spans="11:13" x14ac:dyDescent="0.2">
      <c r="K199" s="39">
        <v>44759</v>
      </c>
      <c r="L199" s="39">
        <v>44759</v>
      </c>
      <c r="M199" t="s">
        <v>153</v>
      </c>
    </row>
    <row r="200" spans="11:13" x14ac:dyDescent="0.2">
      <c r="K200" s="39">
        <v>44760</v>
      </c>
      <c r="L200" s="39">
        <v>44760</v>
      </c>
      <c r="M200" t="s">
        <v>153</v>
      </c>
    </row>
    <row r="201" spans="11:13" x14ac:dyDescent="0.2">
      <c r="K201" s="39">
        <v>44761</v>
      </c>
      <c r="L201" s="39">
        <v>44761</v>
      </c>
      <c r="M201" t="s">
        <v>153</v>
      </c>
    </row>
    <row r="202" spans="11:13" x14ac:dyDescent="0.2">
      <c r="K202" s="39">
        <v>44762</v>
      </c>
      <c r="L202" s="39">
        <v>44762</v>
      </c>
      <c r="M202" t="s">
        <v>153</v>
      </c>
    </row>
    <row r="203" spans="11:13" x14ac:dyDescent="0.2">
      <c r="K203" s="39">
        <v>44763</v>
      </c>
      <c r="L203" s="39">
        <v>44763</v>
      </c>
      <c r="M203" t="s">
        <v>153</v>
      </c>
    </row>
    <row r="204" spans="11:13" x14ac:dyDescent="0.2">
      <c r="K204" s="39">
        <v>44764</v>
      </c>
      <c r="L204" s="39">
        <v>44764</v>
      </c>
      <c r="M204" t="s">
        <v>153</v>
      </c>
    </row>
    <row r="205" spans="11:13" x14ac:dyDescent="0.2">
      <c r="K205" s="39">
        <v>44765</v>
      </c>
      <c r="L205" s="39">
        <v>44765</v>
      </c>
      <c r="M205" t="s">
        <v>154</v>
      </c>
    </row>
    <row r="206" spans="11:13" x14ac:dyDescent="0.2">
      <c r="K206" s="39">
        <v>44766</v>
      </c>
      <c r="L206" s="39">
        <v>44766</v>
      </c>
      <c r="M206" t="s">
        <v>154</v>
      </c>
    </row>
    <row r="207" spans="11:13" x14ac:dyDescent="0.2">
      <c r="K207" s="39">
        <v>44767</v>
      </c>
      <c r="L207" s="39">
        <v>44767</v>
      </c>
      <c r="M207" t="s">
        <v>154</v>
      </c>
    </row>
    <row r="208" spans="11:13" x14ac:dyDescent="0.2">
      <c r="K208" s="39">
        <v>44768</v>
      </c>
      <c r="L208" s="39">
        <v>44768</v>
      </c>
      <c r="M208" t="s">
        <v>154</v>
      </c>
    </row>
    <row r="209" spans="11:13" x14ac:dyDescent="0.2">
      <c r="K209" s="39">
        <v>44769</v>
      </c>
      <c r="L209" s="39">
        <v>44769</v>
      </c>
      <c r="M209" t="s">
        <v>154</v>
      </c>
    </row>
    <row r="210" spans="11:13" x14ac:dyDescent="0.2">
      <c r="K210" s="39">
        <v>44770</v>
      </c>
      <c r="L210" s="39">
        <v>44770</v>
      </c>
      <c r="M210" t="s">
        <v>154</v>
      </c>
    </row>
    <row r="211" spans="11:13" x14ac:dyDescent="0.2">
      <c r="K211" s="39">
        <v>44771</v>
      </c>
      <c r="L211" s="39">
        <v>44771</v>
      </c>
      <c r="M211" t="s">
        <v>154</v>
      </c>
    </row>
    <row r="212" spans="11:13" x14ac:dyDescent="0.2">
      <c r="K212" s="39">
        <v>44772</v>
      </c>
      <c r="L212" s="39">
        <v>44772</v>
      </c>
      <c r="M212" t="s">
        <v>155</v>
      </c>
    </row>
    <row r="213" spans="11:13" x14ac:dyDescent="0.2">
      <c r="K213" s="39">
        <v>44773</v>
      </c>
      <c r="L213" s="39">
        <v>44773</v>
      </c>
      <c r="M213" t="s">
        <v>155</v>
      </c>
    </row>
    <row r="214" spans="11:13" x14ac:dyDescent="0.2">
      <c r="K214" s="39">
        <v>44774</v>
      </c>
      <c r="L214" s="39">
        <v>44774</v>
      </c>
      <c r="M214" t="s">
        <v>155</v>
      </c>
    </row>
    <row r="215" spans="11:13" x14ac:dyDescent="0.2">
      <c r="K215" s="39">
        <v>44775</v>
      </c>
      <c r="L215" s="39">
        <v>44775</v>
      </c>
      <c r="M215" t="s">
        <v>155</v>
      </c>
    </row>
    <row r="216" spans="11:13" x14ac:dyDescent="0.2">
      <c r="K216" s="39">
        <v>44776</v>
      </c>
      <c r="L216" s="39">
        <v>44776</v>
      </c>
      <c r="M216" t="s">
        <v>155</v>
      </c>
    </row>
    <row r="217" spans="11:13" x14ac:dyDescent="0.2">
      <c r="K217" s="39">
        <v>44777</v>
      </c>
      <c r="L217" s="39">
        <v>44777</v>
      </c>
      <c r="M217" t="s">
        <v>155</v>
      </c>
    </row>
    <row r="218" spans="11:13" x14ac:dyDescent="0.2">
      <c r="K218" s="39">
        <v>44778</v>
      </c>
      <c r="L218" s="39">
        <v>44778</v>
      </c>
      <c r="M218" t="s">
        <v>155</v>
      </c>
    </row>
    <row r="219" spans="11:13" x14ac:dyDescent="0.2">
      <c r="K219" s="39">
        <v>44779</v>
      </c>
      <c r="L219" s="39">
        <v>44779</v>
      </c>
      <c r="M219" t="s">
        <v>156</v>
      </c>
    </row>
    <row r="220" spans="11:13" x14ac:dyDescent="0.2">
      <c r="K220" s="39">
        <v>44780</v>
      </c>
      <c r="L220" s="39">
        <v>44780</v>
      </c>
      <c r="M220" t="s">
        <v>156</v>
      </c>
    </row>
    <row r="221" spans="11:13" x14ac:dyDescent="0.2">
      <c r="K221" s="39">
        <v>44781</v>
      </c>
      <c r="L221" s="39">
        <v>44781</v>
      </c>
      <c r="M221" t="s">
        <v>156</v>
      </c>
    </row>
    <row r="222" spans="11:13" x14ac:dyDescent="0.2">
      <c r="K222" s="39">
        <v>44782</v>
      </c>
      <c r="L222" s="39">
        <v>44782</v>
      </c>
      <c r="M222" t="s">
        <v>156</v>
      </c>
    </row>
    <row r="223" spans="11:13" x14ac:dyDescent="0.2">
      <c r="K223" s="39">
        <v>44783</v>
      </c>
      <c r="L223" s="39">
        <v>44783</v>
      </c>
      <c r="M223" t="s">
        <v>156</v>
      </c>
    </row>
    <row r="224" spans="11:13" x14ac:dyDescent="0.2">
      <c r="K224" s="39">
        <v>44784</v>
      </c>
      <c r="L224" s="39">
        <v>44784</v>
      </c>
      <c r="M224" t="s">
        <v>156</v>
      </c>
    </row>
    <row r="225" spans="11:13" x14ac:dyDescent="0.2">
      <c r="K225" s="39">
        <v>44785</v>
      </c>
      <c r="L225" s="39">
        <v>44785</v>
      </c>
      <c r="M225" t="s">
        <v>156</v>
      </c>
    </row>
    <row r="226" spans="11:13" x14ac:dyDescent="0.2">
      <c r="K226" s="39">
        <v>44786</v>
      </c>
      <c r="L226" s="39">
        <v>44786</v>
      </c>
      <c r="M226" t="s">
        <v>157</v>
      </c>
    </row>
    <row r="227" spans="11:13" x14ac:dyDescent="0.2">
      <c r="K227" s="39">
        <v>44787</v>
      </c>
      <c r="L227" s="39">
        <v>44787</v>
      </c>
      <c r="M227" t="s">
        <v>157</v>
      </c>
    </row>
    <row r="228" spans="11:13" x14ac:dyDescent="0.2">
      <c r="K228" s="39">
        <v>44788</v>
      </c>
      <c r="L228" s="39">
        <v>44788</v>
      </c>
      <c r="M228" t="s">
        <v>157</v>
      </c>
    </row>
    <row r="229" spans="11:13" x14ac:dyDescent="0.2">
      <c r="K229" s="39">
        <v>44789</v>
      </c>
      <c r="L229" s="39">
        <v>44789</v>
      </c>
      <c r="M229" t="s">
        <v>157</v>
      </c>
    </row>
    <row r="230" spans="11:13" x14ac:dyDescent="0.2">
      <c r="K230" s="39">
        <v>44790</v>
      </c>
      <c r="L230" s="39">
        <v>44790</v>
      </c>
      <c r="M230" t="s">
        <v>157</v>
      </c>
    </row>
    <row r="231" spans="11:13" x14ac:dyDescent="0.2">
      <c r="K231" s="39">
        <v>44791</v>
      </c>
      <c r="L231" s="39">
        <v>44791</v>
      </c>
      <c r="M231" t="s">
        <v>157</v>
      </c>
    </row>
    <row r="232" spans="11:13" x14ac:dyDescent="0.2">
      <c r="K232" s="39">
        <v>44792</v>
      </c>
      <c r="L232" s="39">
        <v>44792</v>
      </c>
      <c r="M232" t="s">
        <v>157</v>
      </c>
    </row>
    <row r="233" spans="11:13" x14ac:dyDescent="0.2">
      <c r="K233" s="39">
        <v>44793</v>
      </c>
      <c r="L233" s="39">
        <v>44793</v>
      </c>
      <c r="M233" t="s">
        <v>158</v>
      </c>
    </row>
    <row r="234" spans="11:13" x14ac:dyDescent="0.2">
      <c r="K234" s="39">
        <v>44794</v>
      </c>
      <c r="L234" s="39">
        <v>44794</v>
      </c>
      <c r="M234" t="s">
        <v>158</v>
      </c>
    </row>
    <row r="235" spans="11:13" x14ac:dyDescent="0.2">
      <c r="K235" s="39">
        <v>44795</v>
      </c>
      <c r="L235" s="39">
        <v>44795</v>
      </c>
      <c r="M235" t="s">
        <v>158</v>
      </c>
    </row>
    <row r="236" spans="11:13" x14ac:dyDescent="0.2">
      <c r="K236" s="39">
        <v>44796</v>
      </c>
      <c r="L236" s="39">
        <v>44796</v>
      </c>
      <c r="M236" t="s">
        <v>158</v>
      </c>
    </row>
    <row r="237" spans="11:13" x14ac:dyDescent="0.2">
      <c r="K237" s="39">
        <v>44797</v>
      </c>
      <c r="L237" s="39">
        <v>44797</v>
      </c>
      <c r="M237" t="s">
        <v>158</v>
      </c>
    </row>
    <row r="238" spans="11:13" x14ac:dyDescent="0.2">
      <c r="K238" s="39">
        <v>44798</v>
      </c>
      <c r="L238" s="39">
        <v>44798</v>
      </c>
      <c r="M238" t="s">
        <v>158</v>
      </c>
    </row>
    <row r="239" spans="11:13" x14ac:dyDescent="0.2">
      <c r="K239" s="39">
        <v>44799</v>
      </c>
      <c r="L239" s="39">
        <v>44799</v>
      </c>
      <c r="M239" t="s">
        <v>158</v>
      </c>
    </row>
    <row r="240" spans="11:13" x14ac:dyDescent="0.2">
      <c r="K240" s="39">
        <v>44800</v>
      </c>
      <c r="L240" s="39">
        <v>44800</v>
      </c>
      <c r="M240" t="s">
        <v>159</v>
      </c>
    </row>
    <row r="241" spans="11:13" x14ac:dyDescent="0.2">
      <c r="K241" s="39">
        <v>44801</v>
      </c>
      <c r="L241" s="39">
        <v>44801</v>
      </c>
      <c r="M241" t="s">
        <v>159</v>
      </c>
    </row>
    <row r="242" spans="11:13" x14ac:dyDescent="0.2">
      <c r="K242" s="39">
        <v>44802</v>
      </c>
      <c r="L242" s="39">
        <v>44802</v>
      </c>
      <c r="M242" t="s">
        <v>159</v>
      </c>
    </row>
    <row r="243" spans="11:13" x14ac:dyDescent="0.2">
      <c r="K243" s="39">
        <v>44803</v>
      </c>
      <c r="L243" s="39">
        <v>44803</v>
      </c>
      <c r="M243" t="s">
        <v>159</v>
      </c>
    </row>
    <row r="244" spans="11:13" x14ac:dyDescent="0.2">
      <c r="K244" s="39">
        <v>44804</v>
      </c>
      <c r="L244" s="39">
        <v>44804</v>
      </c>
      <c r="M244" t="s">
        <v>159</v>
      </c>
    </row>
    <row r="245" spans="11:13" x14ac:dyDescent="0.2">
      <c r="K245" s="39">
        <v>44805</v>
      </c>
      <c r="L245" s="39">
        <v>44805</v>
      </c>
      <c r="M245" t="s">
        <v>159</v>
      </c>
    </row>
    <row r="246" spans="11:13" x14ac:dyDescent="0.2">
      <c r="K246" s="39">
        <v>44806</v>
      </c>
      <c r="L246" s="39">
        <v>44806</v>
      </c>
      <c r="M246" t="s">
        <v>159</v>
      </c>
    </row>
    <row r="247" spans="11:13" x14ac:dyDescent="0.2">
      <c r="K247" s="39">
        <v>44807</v>
      </c>
      <c r="L247" s="39">
        <v>44807</v>
      </c>
      <c r="M247" t="s">
        <v>160</v>
      </c>
    </row>
    <row r="248" spans="11:13" x14ac:dyDescent="0.2">
      <c r="K248" s="39">
        <v>44808</v>
      </c>
      <c r="L248" s="39">
        <v>44808</v>
      </c>
      <c r="M248" t="s">
        <v>160</v>
      </c>
    </row>
    <row r="249" spans="11:13" x14ac:dyDescent="0.2">
      <c r="K249" s="39">
        <v>44809</v>
      </c>
      <c r="L249" s="39">
        <v>44809</v>
      </c>
      <c r="M249" t="s">
        <v>160</v>
      </c>
    </row>
    <row r="250" spans="11:13" x14ac:dyDescent="0.2">
      <c r="K250" s="39">
        <v>44810</v>
      </c>
      <c r="L250" s="39">
        <v>44810</v>
      </c>
      <c r="M250" t="s">
        <v>160</v>
      </c>
    </row>
    <row r="251" spans="11:13" x14ac:dyDescent="0.2">
      <c r="K251" s="39">
        <v>44811</v>
      </c>
      <c r="L251" s="39">
        <v>44811</v>
      </c>
      <c r="M251" t="s">
        <v>160</v>
      </c>
    </row>
    <row r="252" spans="11:13" x14ac:dyDescent="0.2">
      <c r="K252" s="39">
        <v>44812</v>
      </c>
      <c r="L252" s="39">
        <v>44812</v>
      </c>
      <c r="M252" t="s">
        <v>160</v>
      </c>
    </row>
    <row r="253" spans="11:13" x14ac:dyDescent="0.2">
      <c r="K253" s="39">
        <v>44813</v>
      </c>
      <c r="L253" s="39">
        <v>44813</v>
      </c>
      <c r="M253" t="s">
        <v>160</v>
      </c>
    </row>
    <row r="254" spans="11:13" x14ac:dyDescent="0.2">
      <c r="K254" s="39">
        <v>44814</v>
      </c>
      <c r="L254" s="39">
        <v>44814</v>
      </c>
      <c r="M254" t="s">
        <v>161</v>
      </c>
    </row>
    <row r="255" spans="11:13" x14ac:dyDescent="0.2">
      <c r="K255" s="39">
        <v>44815</v>
      </c>
      <c r="L255" s="39">
        <v>44815</v>
      </c>
      <c r="M255" t="s">
        <v>161</v>
      </c>
    </row>
    <row r="256" spans="11:13" x14ac:dyDescent="0.2">
      <c r="K256" s="39">
        <v>44816</v>
      </c>
      <c r="L256" s="39">
        <v>44816</v>
      </c>
      <c r="M256" t="s">
        <v>161</v>
      </c>
    </row>
    <row r="257" spans="11:13" x14ac:dyDescent="0.2">
      <c r="K257" s="39">
        <v>44817</v>
      </c>
      <c r="L257" s="39">
        <v>44817</v>
      </c>
      <c r="M257" t="s">
        <v>161</v>
      </c>
    </row>
    <row r="258" spans="11:13" x14ac:dyDescent="0.2">
      <c r="K258" s="39">
        <v>44818</v>
      </c>
      <c r="L258" s="39">
        <v>44818</v>
      </c>
      <c r="M258" t="s">
        <v>161</v>
      </c>
    </row>
    <row r="259" spans="11:13" x14ac:dyDescent="0.2">
      <c r="K259" s="39">
        <v>44819</v>
      </c>
      <c r="L259" s="39">
        <v>44819</v>
      </c>
      <c r="M259" t="s">
        <v>161</v>
      </c>
    </row>
    <row r="260" spans="11:13" x14ac:dyDescent="0.2">
      <c r="K260" s="39">
        <v>44820</v>
      </c>
      <c r="L260" s="39">
        <v>44820</v>
      </c>
      <c r="M260" t="s">
        <v>161</v>
      </c>
    </row>
    <row r="261" spans="11:13" x14ac:dyDescent="0.2">
      <c r="K261" s="39">
        <v>44821</v>
      </c>
      <c r="L261" s="39">
        <v>44821</v>
      </c>
      <c r="M261" t="s">
        <v>162</v>
      </c>
    </row>
    <row r="262" spans="11:13" x14ac:dyDescent="0.2">
      <c r="K262" s="39">
        <v>44822</v>
      </c>
      <c r="L262" s="39">
        <v>44822</v>
      </c>
      <c r="M262" t="s">
        <v>162</v>
      </c>
    </row>
    <row r="263" spans="11:13" x14ac:dyDescent="0.2">
      <c r="K263" s="39">
        <v>44823</v>
      </c>
      <c r="L263" s="39">
        <v>44823</v>
      </c>
      <c r="M263" t="s">
        <v>162</v>
      </c>
    </row>
    <row r="264" spans="11:13" x14ac:dyDescent="0.2">
      <c r="K264" s="39">
        <v>44824</v>
      </c>
      <c r="L264" s="39">
        <v>44824</v>
      </c>
      <c r="M264" t="s">
        <v>162</v>
      </c>
    </row>
    <row r="265" spans="11:13" x14ac:dyDescent="0.2">
      <c r="K265" s="39">
        <v>44825</v>
      </c>
      <c r="L265" s="39">
        <v>44825</v>
      </c>
      <c r="M265" t="s">
        <v>162</v>
      </c>
    </row>
    <row r="266" spans="11:13" x14ac:dyDescent="0.2">
      <c r="K266" s="39">
        <v>44826</v>
      </c>
      <c r="L266" s="39">
        <v>44826</v>
      </c>
      <c r="M266" t="s">
        <v>162</v>
      </c>
    </row>
    <row r="267" spans="11:13" x14ac:dyDescent="0.2">
      <c r="K267" s="39">
        <v>44827</v>
      </c>
      <c r="L267" s="39">
        <v>44827</v>
      </c>
      <c r="M267" t="s">
        <v>162</v>
      </c>
    </row>
    <row r="268" spans="11:13" x14ac:dyDescent="0.2">
      <c r="K268" s="39">
        <v>44828</v>
      </c>
      <c r="L268" s="39">
        <v>44828</v>
      </c>
      <c r="M268" t="s">
        <v>163</v>
      </c>
    </row>
    <row r="269" spans="11:13" x14ac:dyDescent="0.2">
      <c r="K269" s="39">
        <v>44829</v>
      </c>
      <c r="L269" s="39">
        <v>44829</v>
      </c>
      <c r="M269" t="s">
        <v>163</v>
      </c>
    </row>
    <row r="270" spans="11:13" x14ac:dyDescent="0.2">
      <c r="K270" s="39">
        <v>44830</v>
      </c>
      <c r="L270" s="39">
        <v>44830</v>
      </c>
      <c r="M270" t="s">
        <v>163</v>
      </c>
    </row>
    <row r="271" spans="11:13" x14ac:dyDescent="0.2">
      <c r="K271" s="39">
        <v>44831</v>
      </c>
      <c r="L271" s="39">
        <v>44831</v>
      </c>
      <c r="M271" t="s">
        <v>163</v>
      </c>
    </row>
    <row r="272" spans="11:13" x14ac:dyDescent="0.2">
      <c r="K272" s="39">
        <v>44832</v>
      </c>
      <c r="L272" s="39">
        <v>44832</v>
      </c>
      <c r="M272" t="s">
        <v>163</v>
      </c>
    </row>
    <row r="273" spans="11:13" x14ac:dyDescent="0.2">
      <c r="K273" s="39">
        <v>44833</v>
      </c>
      <c r="L273" s="39">
        <v>44833</v>
      </c>
      <c r="M273" t="s">
        <v>163</v>
      </c>
    </row>
    <row r="274" spans="11:13" x14ac:dyDescent="0.2">
      <c r="K274" s="39">
        <v>44834</v>
      </c>
      <c r="L274" s="39">
        <v>44834</v>
      </c>
      <c r="M274" t="s">
        <v>163</v>
      </c>
    </row>
    <row r="275" spans="11:13" x14ac:dyDescent="0.2">
      <c r="K275" s="39">
        <v>44835</v>
      </c>
      <c r="L275" s="39">
        <v>44835</v>
      </c>
      <c r="M275" t="s">
        <v>164</v>
      </c>
    </row>
    <row r="276" spans="11:13" x14ac:dyDescent="0.2">
      <c r="K276" s="39">
        <v>44836</v>
      </c>
      <c r="L276" s="39">
        <v>44836</v>
      </c>
      <c r="M276" t="s">
        <v>164</v>
      </c>
    </row>
    <row r="277" spans="11:13" x14ac:dyDescent="0.2">
      <c r="K277" s="39">
        <v>44837</v>
      </c>
      <c r="L277" s="39">
        <v>44837</v>
      </c>
      <c r="M277" t="s">
        <v>164</v>
      </c>
    </row>
    <row r="278" spans="11:13" x14ac:dyDescent="0.2">
      <c r="K278" s="39">
        <v>44838</v>
      </c>
      <c r="L278" s="39">
        <v>44838</v>
      </c>
      <c r="M278" t="s">
        <v>164</v>
      </c>
    </row>
    <row r="279" spans="11:13" x14ac:dyDescent="0.2">
      <c r="K279" s="39">
        <v>44839</v>
      </c>
      <c r="L279" s="39">
        <v>44839</v>
      </c>
      <c r="M279" t="s">
        <v>164</v>
      </c>
    </row>
    <row r="280" spans="11:13" x14ac:dyDescent="0.2">
      <c r="K280" s="39">
        <v>44840</v>
      </c>
      <c r="L280" s="39">
        <v>44840</v>
      </c>
      <c r="M280" t="s">
        <v>164</v>
      </c>
    </row>
    <row r="281" spans="11:13" x14ac:dyDescent="0.2">
      <c r="K281" s="39">
        <v>44841</v>
      </c>
      <c r="L281" s="39">
        <v>44841</v>
      </c>
      <c r="M281" t="s">
        <v>164</v>
      </c>
    </row>
    <row r="282" spans="11:13" x14ac:dyDescent="0.2">
      <c r="K282" s="39">
        <v>44842</v>
      </c>
      <c r="L282" s="39">
        <v>44842</v>
      </c>
      <c r="M282" t="s">
        <v>165</v>
      </c>
    </row>
    <row r="283" spans="11:13" x14ac:dyDescent="0.2">
      <c r="K283" s="39">
        <v>44843</v>
      </c>
      <c r="L283" s="39">
        <v>44843</v>
      </c>
      <c r="M283" t="s">
        <v>165</v>
      </c>
    </row>
    <row r="284" spans="11:13" x14ac:dyDescent="0.2">
      <c r="K284" s="39">
        <v>44844</v>
      </c>
      <c r="L284" s="39">
        <v>44844</v>
      </c>
      <c r="M284" t="s">
        <v>165</v>
      </c>
    </row>
    <row r="285" spans="11:13" x14ac:dyDescent="0.2">
      <c r="K285" s="39">
        <v>44845</v>
      </c>
      <c r="L285" s="39">
        <v>44845</v>
      </c>
      <c r="M285" t="s">
        <v>165</v>
      </c>
    </row>
    <row r="286" spans="11:13" x14ac:dyDescent="0.2">
      <c r="K286" s="39">
        <v>44846</v>
      </c>
      <c r="L286" s="39">
        <v>44846</v>
      </c>
      <c r="M286" t="s">
        <v>165</v>
      </c>
    </row>
    <row r="287" spans="11:13" x14ac:dyDescent="0.2">
      <c r="K287" s="39">
        <v>44847</v>
      </c>
      <c r="L287" s="39">
        <v>44847</v>
      </c>
      <c r="M287" t="s">
        <v>165</v>
      </c>
    </row>
    <row r="288" spans="11:13" x14ac:dyDescent="0.2">
      <c r="K288" s="39">
        <v>44848</v>
      </c>
      <c r="L288" s="39">
        <v>44848</v>
      </c>
      <c r="M288" t="s">
        <v>165</v>
      </c>
    </row>
    <row r="289" spans="11:13" x14ac:dyDescent="0.2">
      <c r="K289" s="39">
        <v>44849</v>
      </c>
      <c r="L289" s="39">
        <v>44849</v>
      </c>
      <c r="M289" t="s">
        <v>166</v>
      </c>
    </row>
    <row r="290" spans="11:13" x14ac:dyDescent="0.2">
      <c r="K290" s="39">
        <v>44850</v>
      </c>
      <c r="L290" s="39">
        <v>44850</v>
      </c>
      <c r="M290" t="s">
        <v>166</v>
      </c>
    </row>
    <row r="291" spans="11:13" x14ac:dyDescent="0.2">
      <c r="K291" s="39">
        <v>44851</v>
      </c>
      <c r="L291" s="39">
        <v>44851</v>
      </c>
      <c r="M291" t="s">
        <v>166</v>
      </c>
    </row>
    <row r="292" spans="11:13" x14ac:dyDescent="0.2">
      <c r="K292" s="39">
        <v>44852</v>
      </c>
      <c r="L292" s="39">
        <v>44852</v>
      </c>
      <c r="M292" t="s">
        <v>166</v>
      </c>
    </row>
    <row r="293" spans="11:13" x14ac:dyDescent="0.2">
      <c r="K293" s="39">
        <v>44853</v>
      </c>
      <c r="L293" s="39">
        <v>44853</v>
      </c>
      <c r="M293" t="s">
        <v>166</v>
      </c>
    </row>
    <row r="294" spans="11:13" x14ac:dyDescent="0.2">
      <c r="K294" s="39">
        <v>44854</v>
      </c>
      <c r="L294" s="39">
        <v>44854</v>
      </c>
      <c r="M294" t="s">
        <v>166</v>
      </c>
    </row>
    <row r="295" spans="11:13" x14ac:dyDescent="0.2">
      <c r="K295" s="39">
        <v>44855</v>
      </c>
      <c r="L295" s="39">
        <v>44855</v>
      </c>
      <c r="M295" t="s">
        <v>166</v>
      </c>
    </row>
    <row r="296" spans="11:13" x14ac:dyDescent="0.2">
      <c r="K296" s="39">
        <v>44856</v>
      </c>
      <c r="L296" s="39">
        <v>44856</v>
      </c>
      <c r="M296" t="s">
        <v>167</v>
      </c>
    </row>
    <row r="297" spans="11:13" x14ac:dyDescent="0.2">
      <c r="K297" s="39">
        <v>44857</v>
      </c>
      <c r="L297" s="39">
        <v>44857</v>
      </c>
      <c r="M297" t="s">
        <v>167</v>
      </c>
    </row>
    <row r="298" spans="11:13" x14ac:dyDescent="0.2">
      <c r="K298" s="39">
        <v>44858</v>
      </c>
      <c r="L298" s="39">
        <v>44858</v>
      </c>
      <c r="M298" t="s">
        <v>167</v>
      </c>
    </row>
    <row r="299" spans="11:13" x14ac:dyDescent="0.2">
      <c r="K299" s="39">
        <v>44859</v>
      </c>
      <c r="L299" s="39">
        <v>44859</v>
      </c>
      <c r="M299" t="s">
        <v>167</v>
      </c>
    </row>
    <row r="300" spans="11:13" x14ac:dyDescent="0.2">
      <c r="K300" s="39">
        <v>44860</v>
      </c>
      <c r="L300" s="39">
        <v>44860</v>
      </c>
      <c r="M300" t="s">
        <v>167</v>
      </c>
    </row>
    <row r="301" spans="11:13" x14ac:dyDescent="0.2">
      <c r="K301" s="39">
        <v>44861</v>
      </c>
      <c r="L301" s="39">
        <v>44861</v>
      </c>
      <c r="M301" t="s">
        <v>167</v>
      </c>
    </row>
    <row r="302" spans="11:13" x14ac:dyDescent="0.2">
      <c r="K302" s="39">
        <v>44862</v>
      </c>
      <c r="L302" s="39">
        <v>44862</v>
      </c>
      <c r="M302" t="s">
        <v>167</v>
      </c>
    </row>
    <row r="303" spans="11:13" x14ac:dyDescent="0.2">
      <c r="K303" s="39">
        <v>44863</v>
      </c>
      <c r="L303" s="39">
        <v>44863</v>
      </c>
      <c r="M303" t="s">
        <v>168</v>
      </c>
    </row>
    <row r="304" spans="11:13" x14ac:dyDescent="0.2">
      <c r="K304" s="39">
        <v>44864</v>
      </c>
      <c r="L304" s="39">
        <v>44864</v>
      </c>
      <c r="M304" t="s">
        <v>168</v>
      </c>
    </row>
    <row r="305" spans="11:13" x14ac:dyDescent="0.2">
      <c r="K305" s="39">
        <v>44865</v>
      </c>
      <c r="L305" s="39">
        <v>44865</v>
      </c>
      <c r="M305" t="s">
        <v>168</v>
      </c>
    </row>
    <row r="306" spans="11:13" x14ac:dyDescent="0.2">
      <c r="K306" s="39">
        <v>44866</v>
      </c>
      <c r="L306" s="39">
        <v>44866</v>
      </c>
      <c r="M306" t="s">
        <v>168</v>
      </c>
    </row>
    <row r="307" spans="11:13" x14ac:dyDescent="0.2">
      <c r="K307" s="39">
        <v>44867</v>
      </c>
      <c r="L307" s="39">
        <v>44867</v>
      </c>
      <c r="M307" t="s">
        <v>168</v>
      </c>
    </row>
    <row r="308" spans="11:13" x14ac:dyDescent="0.2">
      <c r="K308" s="39">
        <v>44868</v>
      </c>
      <c r="L308" s="39">
        <v>44868</v>
      </c>
      <c r="M308" t="s">
        <v>168</v>
      </c>
    </row>
    <row r="309" spans="11:13" x14ac:dyDescent="0.2">
      <c r="K309" s="39">
        <v>44869</v>
      </c>
      <c r="L309" s="39">
        <v>44869</v>
      </c>
      <c r="M309" t="s">
        <v>168</v>
      </c>
    </row>
    <row r="310" spans="11:13" x14ac:dyDescent="0.2">
      <c r="K310" s="39">
        <v>44870</v>
      </c>
      <c r="L310" s="39">
        <v>44870</v>
      </c>
      <c r="M310" t="s">
        <v>169</v>
      </c>
    </row>
    <row r="311" spans="11:13" x14ac:dyDescent="0.2">
      <c r="K311" s="39">
        <v>44871</v>
      </c>
      <c r="L311" s="39">
        <v>44871</v>
      </c>
      <c r="M311" t="s">
        <v>169</v>
      </c>
    </row>
    <row r="312" spans="11:13" x14ac:dyDescent="0.2">
      <c r="K312" s="39">
        <v>44872</v>
      </c>
      <c r="L312" s="39">
        <v>44872</v>
      </c>
      <c r="M312" t="s">
        <v>169</v>
      </c>
    </row>
    <row r="313" spans="11:13" x14ac:dyDescent="0.2">
      <c r="K313" s="39">
        <v>44873</v>
      </c>
      <c r="L313" s="39">
        <v>44873</v>
      </c>
      <c r="M313" t="s">
        <v>169</v>
      </c>
    </row>
    <row r="314" spans="11:13" x14ac:dyDescent="0.2">
      <c r="K314" s="39">
        <v>44874</v>
      </c>
      <c r="L314" s="39">
        <v>44874</v>
      </c>
      <c r="M314" t="s">
        <v>169</v>
      </c>
    </row>
    <row r="315" spans="11:13" x14ac:dyDescent="0.2">
      <c r="K315" s="39">
        <v>44875</v>
      </c>
      <c r="L315" s="39">
        <v>44875</v>
      </c>
      <c r="M315" t="s">
        <v>169</v>
      </c>
    </row>
    <row r="316" spans="11:13" x14ac:dyDescent="0.2">
      <c r="K316" s="39">
        <v>44876</v>
      </c>
      <c r="L316" s="39">
        <v>44876</v>
      </c>
      <c r="M316" t="s">
        <v>169</v>
      </c>
    </row>
    <row r="317" spans="11:13" x14ac:dyDescent="0.2">
      <c r="K317" s="39">
        <v>44877</v>
      </c>
      <c r="L317" s="39">
        <v>44877</v>
      </c>
      <c r="M317" t="s">
        <v>170</v>
      </c>
    </row>
    <row r="318" spans="11:13" x14ac:dyDescent="0.2">
      <c r="K318" s="39">
        <v>44878</v>
      </c>
      <c r="L318" s="39">
        <v>44878</v>
      </c>
      <c r="M318" t="s">
        <v>170</v>
      </c>
    </row>
    <row r="319" spans="11:13" x14ac:dyDescent="0.2">
      <c r="K319" s="39">
        <v>44879</v>
      </c>
      <c r="L319" s="39">
        <v>44879</v>
      </c>
      <c r="M319" t="s">
        <v>170</v>
      </c>
    </row>
    <row r="320" spans="11:13" x14ac:dyDescent="0.2">
      <c r="K320" s="39">
        <v>44880</v>
      </c>
      <c r="L320" s="39">
        <v>44880</v>
      </c>
      <c r="M320" t="s">
        <v>170</v>
      </c>
    </row>
    <row r="321" spans="11:13" x14ac:dyDescent="0.2">
      <c r="K321" s="39">
        <v>44881</v>
      </c>
      <c r="L321" s="39">
        <v>44881</v>
      </c>
      <c r="M321" t="s">
        <v>170</v>
      </c>
    </row>
    <row r="322" spans="11:13" x14ac:dyDescent="0.2">
      <c r="K322" s="39">
        <v>44882</v>
      </c>
      <c r="L322" s="39">
        <v>44882</v>
      </c>
      <c r="M322" t="s">
        <v>170</v>
      </c>
    </row>
    <row r="323" spans="11:13" x14ac:dyDescent="0.2">
      <c r="K323" s="39">
        <v>44883</v>
      </c>
      <c r="L323" s="39">
        <v>44883</v>
      </c>
      <c r="M323" t="s">
        <v>170</v>
      </c>
    </row>
    <row r="324" spans="11:13" x14ac:dyDescent="0.2">
      <c r="K324" s="39">
        <v>44884</v>
      </c>
      <c r="L324" s="39">
        <v>44884</v>
      </c>
      <c r="M324" t="s">
        <v>171</v>
      </c>
    </row>
    <row r="325" spans="11:13" x14ac:dyDescent="0.2">
      <c r="K325" s="39">
        <v>44885</v>
      </c>
      <c r="L325" s="39">
        <v>44885</v>
      </c>
      <c r="M325" t="s">
        <v>171</v>
      </c>
    </row>
    <row r="326" spans="11:13" x14ac:dyDescent="0.2">
      <c r="K326" s="39">
        <v>44886</v>
      </c>
      <c r="L326" s="39">
        <v>44886</v>
      </c>
      <c r="M326" t="s">
        <v>171</v>
      </c>
    </row>
    <row r="327" spans="11:13" x14ac:dyDescent="0.2">
      <c r="K327" s="39">
        <v>44887</v>
      </c>
      <c r="L327" s="39">
        <v>44887</v>
      </c>
      <c r="M327" t="s">
        <v>171</v>
      </c>
    </row>
    <row r="328" spans="11:13" x14ac:dyDescent="0.2">
      <c r="K328" s="39">
        <v>44888</v>
      </c>
      <c r="L328" s="39">
        <v>44888</v>
      </c>
      <c r="M328" t="s">
        <v>171</v>
      </c>
    </row>
    <row r="329" spans="11:13" x14ac:dyDescent="0.2">
      <c r="K329" s="39">
        <v>44889</v>
      </c>
      <c r="L329" s="39">
        <v>44889</v>
      </c>
      <c r="M329" t="s">
        <v>171</v>
      </c>
    </row>
    <row r="330" spans="11:13" x14ac:dyDescent="0.2">
      <c r="K330" s="39">
        <v>44890</v>
      </c>
      <c r="L330" s="39">
        <v>44890</v>
      </c>
      <c r="M330" t="s">
        <v>171</v>
      </c>
    </row>
    <row r="331" spans="11:13" x14ac:dyDescent="0.2">
      <c r="K331" s="39">
        <v>44891</v>
      </c>
      <c r="L331" s="39">
        <v>44891</v>
      </c>
      <c r="M331" t="s">
        <v>172</v>
      </c>
    </row>
    <row r="332" spans="11:13" x14ac:dyDescent="0.2">
      <c r="K332" s="39">
        <v>44892</v>
      </c>
      <c r="L332" s="39">
        <v>44892</v>
      </c>
      <c r="M332" t="s">
        <v>172</v>
      </c>
    </row>
    <row r="333" spans="11:13" x14ac:dyDescent="0.2">
      <c r="K333" s="39">
        <v>44893</v>
      </c>
      <c r="L333" s="39">
        <v>44893</v>
      </c>
      <c r="M333" t="s">
        <v>172</v>
      </c>
    </row>
    <row r="334" spans="11:13" x14ac:dyDescent="0.2">
      <c r="K334" s="39">
        <v>44894</v>
      </c>
      <c r="L334" s="39">
        <v>44894</v>
      </c>
      <c r="M334" t="s">
        <v>172</v>
      </c>
    </row>
    <row r="335" spans="11:13" x14ac:dyDescent="0.2">
      <c r="K335" s="39">
        <v>44895</v>
      </c>
      <c r="L335" s="39">
        <v>44895</v>
      </c>
      <c r="M335" t="s">
        <v>172</v>
      </c>
    </row>
    <row r="336" spans="11:13" x14ac:dyDescent="0.2">
      <c r="K336" s="39">
        <v>44896</v>
      </c>
      <c r="L336" s="39">
        <v>44896</v>
      </c>
      <c r="M336" t="s">
        <v>172</v>
      </c>
    </row>
    <row r="337" spans="11:13" x14ac:dyDescent="0.2">
      <c r="K337" s="39">
        <v>44897</v>
      </c>
      <c r="L337" s="39">
        <v>44897</v>
      </c>
      <c r="M337" t="s">
        <v>172</v>
      </c>
    </row>
    <row r="338" spans="11:13" x14ac:dyDescent="0.2">
      <c r="K338" s="39">
        <v>44898</v>
      </c>
      <c r="L338" s="39">
        <v>44898</v>
      </c>
      <c r="M338" t="s">
        <v>173</v>
      </c>
    </row>
    <row r="339" spans="11:13" x14ac:dyDescent="0.2">
      <c r="K339" s="39">
        <v>44899</v>
      </c>
      <c r="L339" s="39">
        <v>44899</v>
      </c>
      <c r="M339" t="s">
        <v>173</v>
      </c>
    </row>
    <row r="340" spans="11:13" x14ac:dyDescent="0.2">
      <c r="K340" s="39">
        <v>44900</v>
      </c>
      <c r="L340" s="39">
        <v>44900</v>
      </c>
      <c r="M340" t="s">
        <v>173</v>
      </c>
    </row>
    <row r="341" spans="11:13" x14ac:dyDescent="0.2">
      <c r="K341" s="39">
        <v>44901</v>
      </c>
      <c r="L341" s="39">
        <v>44901</v>
      </c>
      <c r="M341" t="s">
        <v>173</v>
      </c>
    </row>
    <row r="342" spans="11:13" x14ac:dyDescent="0.2">
      <c r="K342" s="39">
        <v>44902</v>
      </c>
      <c r="L342" s="39">
        <v>44902</v>
      </c>
      <c r="M342" t="s">
        <v>173</v>
      </c>
    </row>
    <row r="343" spans="11:13" x14ac:dyDescent="0.2">
      <c r="K343" s="39">
        <v>44903</v>
      </c>
      <c r="L343" s="39">
        <v>44903</v>
      </c>
      <c r="M343" t="s">
        <v>173</v>
      </c>
    </row>
    <row r="344" spans="11:13" x14ac:dyDescent="0.2">
      <c r="K344" s="39">
        <v>44904</v>
      </c>
      <c r="L344" s="39">
        <v>44904</v>
      </c>
      <c r="M344" t="s">
        <v>173</v>
      </c>
    </row>
    <row r="345" spans="11:13" x14ac:dyDescent="0.2">
      <c r="K345" s="39">
        <v>44905</v>
      </c>
      <c r="L345" s="39">
        <v>44905</v>
      </c>
      <c r="M345" t="s">
        <v>174</v>
      </c>
    </row>
    <row r="346" spans="11:13" x14ac:dyDescent="0.2">
      <c r="K346" s="39">
        <v>44906</v>
      </c>
      <c r="L346" s="39">
        <v>44906</v>
      </c>
      <c r="M346" t="s">
        <v>174</v>
      </c>
    </row>
    <row r="347" spans="11:13" x14ac:dyDescent="0.2">
      <c r="K347" s="39">
        <v>44907</v>
      </c>
      <c r="L347" s="39">
        <v>44907</v>
      </c>
      <c r="M347" t="s">
        <v>174</v>
      </c>
    </row>
    <row r="348" spans="11:13" x14ac:dyDescent="0.2">
      <c r="K348" s="39">
        <v>44908</v>
      </c>
      <c r="L348" s="39">
        <v>44908</v>
      </c>
      <c r="M348" t="s">
        <v>174</v>
      </c>
    </row>
    <row r="349" spans="11:13" x14ac:dyDescent="0.2">
      <c r="K349" s="39">
        <v>44909</v>
      </c>
      <c r="L349" s="39">
        <v>44909</v>
      </c>
      <c r="M349" t="s">
        <v>174</v>
      </c>
    </row>
    <row r="350" spans="11:13" x14ac:dyDescent="0.2">
      <c r="K350" s="39">
        <v>44910</v>
      </c>
      <c r="L350" s="39">
        <v>44910</v>
      </c>
      <c r="M350" t="s">
        <v>174</v>
      </c>
    </row>
    <row r="351" spans="11:13" x14ac:dyDescent="0.2">
      <c r="K351" s="39">
        <v>44911</v>
      </c>
      <c r="L351" s="39">
        <v>44911</v>
      </c>
      <c r="M351" t="s">
        <v>174</v>
      </c>
    </row>
    <row r="352" spans="11:13" x14ac:dyDescent="0.2">
      <c r="K352" s="39">
        <v>44912</v>
      </c>
      <c r="L352" s="39">
        <v>44912</v>
      </c>
      <c r="M352" t="s">
        <v>175</v>
      </c>
    </row>
    <row r="353" spans="11:13" x14ac:dyDescent="0.2">
      <c r="K353" s="39">
        <v>44913</v>
      </c>
      <c r="L353" s="39">
        <v>44913</v>
      </c>
      <c r="M353" t="s">
        <v>175</v>
      </c>
    </row>
    <row r="354" spans="11:13" x14ac:dyDescent="0.2">
      <c r="K354" s="39">
        <v>44914</v>
      </c>
      <c r="L354" s="39">
        <v>44914</v>
      </c>
      <c r="M354" t="s">
        <v>175</v>
      </c>
    </row>
    <row r="355" spans="11:13" x14ac:dyDescent="0.2">
      <c r="K355" s="39">
        <v>44915</v>
      </c>
      <c r="L355" s="39">
        <v>44915</v>
      </c>
      <c r="M355" t="s">
        <v>175</v>
      </c>
    </row>
    <row r="356" spans="11:13" x14ac:dyDescent="0.2">
      <c r="K356" s="39">
        <v>44916</v>
      </c>
      <c r="L356" s="39">
        <v>44916</v>
      </c>
      <c r="M356" t="s">
        <v>175</v>
      </c>
    </row>
    <row r="357" spans="11:13" x14ac:dyDescent="0.2">
      <c r="K357" s="39">
        <v>44917</v>
      </c>
      <c r="L357" s="39">
        <v>44917</v>
      </c>
      <c r="M357" t="s">
        <v>175</v>
      </c>
    </row>
    <row r="358" spans="11:13" x14ac:dyDescent="0.2">
      <c r="K358" s="39">
        <v>44918</v>
      </c>
      <c r="L358" s="39">
        <v>44918</v>
      </c>
      <c r="M358" t="s">
        <v>175</v>
      </c>
    </row>
    <row r="359" spans="11:13" x14ac:dyDescent="0.2">
      <c r="K359" s="39">
        <v>44919</v>
      </c>
      <c r="L359" s="39">
        <v>44919</v>
      </c>
      <c r="M359" t="s">
        <v>176</v>
      </c>
    </row>
    <row r="360" spans="11:13" x14ac:dyDescent="0.2">
      <c r="K360" s="39">
        <v>44920</v>
      </c>
      <c r="L360" s="39">
        <v>44920</v>
      </c>
      <c r="M360" t="s">
        <v>176</v>
      </c>
    </row>
    <row r="361" spans="11:13" x14ac:dyDescent="0.2">
      <c r="K361" s="39">
        <v>44921</v>
      </c>
      <c r="L361" s="39">
        <v>44921</v>
      </c>
      <c r="M361" t="s">
        <v>176</v>
      </c>
    </row>
    <row r="362" spans="11:13" x14ac:dyDescent="0.2">
      <c r="K362" s="39">
        <v>44922</v>
      </c>
      <c r="L362" s="39">
        <v>44922</v>
      </c>
      <c r="M362" t="s">
        <v>176</v>
      </c>
    </row>
    <row r="363" spans="11:13" x14ac:dyDescent="0.2">
      <c r="K363" s="39">
        <v>44923</v>
      </c>
      <c r="L363" s="39">
        <v>44923</v>
      </c>
      <c r="M363" t="s">
        <v>176</v>
      </c>
    </row>
    <row r="364" spans="11:13" x14ac:dyDescent="0.2">
      <c r="K364" s="39">
        <v>44924</v>
      </c>
      <c r="L364" s="39">
        <v>44924</v>
      </c>
      <c r="M364" t="s">
        <v>176</v>
      </c>
    </row>
    <row r="365" spans="11:13" x14ac:dyDescent="0.2">
      <c r="K365" s="39">
        <v>44925</v>
      </c>
      <c r="L365" s="39">
        <v>44925</v>
      </c>
      <c r="M365" t="s">
        <v>176</v>
      </c>
    </row>
    <row r="366" spans="11:13" x14ac:dyDescent="0.2">
      <c r="K366" s="39">
        <v>44926</v>
      </c>
      <c r="L366" s="39">
        <v>44926</v>
      </c>
      <c r="M366" t="s">
        <v>177</v>
      </c>
    </row>
    <row r="367" spans="11:13" x14ac:dyDescent="0.2">
      <c r="K367" s="39">
        <v>44927</v>
      </c>
      <c r="L367" s="39">
        <v>44927</v>
      </c>
      <c r="M367" t="s">
        <v>177</v>
      </c>
    </row>
    <row r="368" spans="11:13" x14ac:dyDescent="0.2">
      <c r="K368" s="39">
        <v>44928</v>
      </c>
      <c r="L368" s="39">
        <v>44928</v>
      </c>
      <c r="M368" t="s">
        <v>177</v>
      </c>
    </row>
    <row r="369" spans="11:13" x14ac:dyDescent="0.2">
      <c r="K369" s="39">
        <v>44929</v>
      </c>
      <c r="L369" s="39">
        <v>44929</v>
      </c>
      <c r="M369" t="s">
        <v>177</v>
      </c>
    </row>
    <row r="370" spans="11:13" x14ac:dyDescent="0.2">
      <c r="K370" s="39">
        <v>44930</v>
      </c>
      <c r="L370" s="39">
        <v>44930</v>
      </c>
      <c r="M370" t="s">
        <v>177</v>
      </c>
    </row>
    <row r="371" spans="11:13" x14ac:dyDescent="0.2">
      <c r="K371" s="39">
        <v>44931</v>
      </c>
      <c r="L371" s="39">
        <v>44931</v>
      </c>
      <c r="M371" t="s">
        <v>177</v>
      </c>
    </row>
    <row r="372" spans="11:13" x14ac:dyDescent="0.2">
      <c r="K372" s="39">
        <v>44932</v>
      </c>
      <c r="L372" s="39">
        <v>44932</v>
      </c>
      <c r="M372" t="s">
        <v>177</v>
      </c>
    </row>
    <row r="373" spans="11:13" x14ac:dyDescent="0.2">
      <c r="K373" s="39">
        <v>44933</v>
      </c>
      <c r="L373" s="39">
        <v>44933</v>
      </c>
      <c r="M373" t="s">
        <v>178</v>
      </c>
    </row>
    <row r="374" spans="11:13" x14ac:dyDescent="0.2">
      <c r="K374" s="39">
        <v>44934</v>
      </c>
      <c r="L374" s="39">
        <v>44934</v>
      </c>
      <c r="M374" t="s">
        <v>178</v>
      </c>
    </row>
    <row r="375" spans="11:13" x14ac:dyDescent="0.2">
      <c r="K375" s="39">
        <v>44935</v>
      </c>
      <c r="L375" s="39">
        <v>44935</v>
      </c>
      <c r="M375" t="s">
        <v>178</v>
      </c>
    </row>
    <row r="376" spans="11:13" x14ac:dyDescent="0.2">
      <c r="K376" s="39">
        <v>44936</v>
      </c>
      <c r="L376" s="39">
        <v>44936</v>
      </c>
      <c r="M376" t="s">
        <v>178</v>
      </c>
    </row>
    <row r="377" spans="11:13" x14ac:dyDescent="0.2">
      <c r="K377" s="39">
        <v>44937</v>
      </c>
      <c r="L377" s="39">
        <v>44937</v>
      </c>
      <c r="M377" t="s">
        <v>178</v>
      </c>
    </row>
    <row r="378" spans="11:13" x14ac:dyDescent="0.2">
      <c r="K378" s="39">
        <v>44938</v>
      </c>
      <c r="L378" s="39">
        <v>44938</v>
      </c>
      <c r="M378" t="s">
        <v>178</v>
      </c>
    </row>
    <row r="379" spans="11:13" x14ac:dyDescent="0.2">
      <c r="K379" s="39">
        <v>44939</v>
      </c>
      <c r="L379" s="39">
        <v>44939</v>
      </c>
      <c r="M379" t="s">
        <v>178</v>
      </c>
    </row>
    <row r="380" spans="11:13" x14ac:dyDescent="0.2">
      <c r="K380" s="39">
        <v>44940</v>
      </c>
      <c r="L380" s="39">
        <v>44940</v>
      </c>
      <c r="M380" t="s">
        <v>179</v>
      </c>
    </row>
    <row r="381" spans="11:13" x14ac:dyDescent="0.2">
      <c r="K381" s="39">
        <v>44941</v>
      </c>
      <c r="L381" s="39">
        <v>44941</v>
      </c>
      <c r="M381" t="s">
        <v>179</v>
      </c>
    </row>
    <row r="382" spans="11:13" x14ac:dyDescent="0.2">
      <c r="K382" s="39">
        <v>44942</v>
      </c>
      <c r="L382" s="39">
        <v>44942</v>
      </c>
      <c r="M382" t="s">
        <v>179</v>
      </c>
    </row>
    <row r="383" spans="11:13" x14ac:dyDescent="0.2">
      <c r="K383" s="39">
        <v>44943</v>
      </c>
      <c r="L383" s="39">
        <v>44943</v>
      </c>
      <c r="M383" t="s">
        <v>179</v>
      </c>
    </row>
    <row r="384" spans="11:13" x14ac:dyDescent="0.2">
      <c r="K384" s="39">
        <v>44944</v>
      </c>
      <c r="L384" s="39">
        <v>44944</v>
      </c>
      <c r="M384" t="s">
        <v>179</v>
      </c>
    </row>
    <row r="385" spans="11:13" x14ac:dyDescent="0.2">
      <c r="K385" s="39">
        <v>44945</v>
      </c>
      <c r="L385" s="39">
        <v>44945</v>
      </c>
      <c r="M385" t="s">
        <v>179</v>
      </c>
    </row>
    <row r="386" spans="11:13" x14ac:dyDescent="0.2">
      <c r="K386" s="39">
        <v>44946</v>
      </c>
      <c r="L386" s="39">
        <v>44946</v>
      </c>
      <c r="M386" t="s">
        <v>179</v>
      </c>
    </row>
    <row r="387" spans="11:13" x14ac:dyDescent="0.2">
      <c r="K387" s="39">
        <v>44947</v>
      </c>
      <c r="L387" s="39">
        <v>44947</v>
      </c>
      <c r="M387" t="s">
        <v>180</v>
      </c>
    </row>
    <row r="388" spans="11:13" x14ac:dyDescent="0.2">
      <c r="K388" s="39">
        <v>44948</v>
      </c>
      <c r="L388" s="39">
        <v>44948</v>
      </c>
      <c r="M388" t="s">
        <v>180</v>
      </c>
    </row>
    <row r="389" spans="11:13" x14ac:dyDescent="0.2">
      <c r="K389" s="39">
        <v>44949</v>
      </c>
      <c r="L389" s="39">
        <v>44949</v>
      </c>
      <c r="M389" t="s">
        <v>180</v>
      </c>
    </row>
    <row r="390" spans="11:13" x14ac:dyDescent="0.2">
      <c r="K390" s="39">
        <v>44950</v>
      </c>
      <c r="L390" s="39">
        <v>44950</v>
      </c>
      <c r="M390" t="s">
        <v>180</v>
      </c>
    </row>
    <row r="391" spans="11:13" x14ac:dyDescent="0.2">
      <c r="K391" s="39">
        <v>44951</v>
      </c>
      <c r="L391" s="39">
        <v>44951</v>
      </c>
      <c r="M391" t="s">
        <v>180</v>
      </c>
    </row>
    <row r="392" spans="11:13" x14ac:dyDescent="0.2">
      <c r="K392" s="39">
        <v>44952</v>
      </c>
      <c r="L392" s="39">
        <v>44952</v>
      </c>
      <c r="M392" t="s">
        <v>180</v>
      </c>
    </row>
    <row r="393" spans="11:13" x14ac:dyDescent="0.2">
      <c r="K393" s="39">
        <v>44953</v>
      </c>
      <c r="L393" s="39">
        <v>44953</v>
      </c>
      <c r="M393" t="s">
        <v>180</v>
      </c>
    </row>
    <row r="394" spans="11:13" x14ac:dyDescent="0.2">
      <c r="K394" s="39">
        <v>44954</v>
      </c>
      <c r="L394" s="39">
        <v>44954</v>
      </c>
      <c r="M394" t="s">
        <v>181</v>
      </c>
    </row>
    <row r="395" spans="11:13" x14ac:dyDescent="0.2">
      <c r="K395" s="39">
        <v>44955</v>
      </c>
      <c r="L395" s="39">
        <v>44955</v>
      </c>
      <c r="M395" t="s">
        <v>181</v>
      </c>
    </row>
    <row r="396" spans="11:13" x14ac:dyDescent="0.2">
      <c r="K396" s="39">
        <v>44956</v>
      </c>
      <c r="L396" s="39">
        <v>44956</v>
      </c>
      <c r="M396" t="s">
        <v>181</v>
      </c>
    </row>
    <row r="397" spans="11:13" x14ac:dyDescent="0.2">
      <c r="K397" s="39">
        <v>44957</v>
      </c>
      <c r="L397" s="39">
        <v>44957</v>
      </c>
      <c r="M397" t="s">
        <v>181</v>
      </c>
    </row>
    <row r="398" spans="11:13" x14ac:dyDescent="0.2">
      <c r="K398" s="39">
        <v>44958</v>
      </c>
      <c r="L398" s="39">
        <v>44958</v>
      </c>
      <c r="M398" t="s">
        <v>181</v>
      </c>
    </row>
    <row r="399" spans="11:13" x14ac:dyDescent="0.2">
      <c r="K399" s="39">
        <v>44959</v>
      </c>
      <c r="L399" s="39">
        <v>44959</v>
      </c>
      <c r="M399" t="s">
        <v>181</v>
      </c>
    </row>
    <row r="400" spans="11:13" x14ac:dyDescent="0.2">
      <c r="K400" s="39">
        <v>44960</v>
      </c>
      <c r="L400" s="39">
        <v>44960</v>
      </c>
      <c r="M400" t="s">
        <v>181</v>
      </c>
    </row>
    <row r="401" spans="11:13" x14ac:dyDescent="0.2">
      <c r="K401" s="39">
        <v>44961</v>
      </c>
      <c r="L401" s="39">
        <v>44961</v>
      </c>
      <c r="M401" t="s">
        <v>182</v>
      </c>
    </row>
    <row r="402" spans="11:13" x14ac:dyDescent="0.2">
      <c r="K402" s="39">
        <v>44962</v>
      </c>
      <c r="L402" s="39">
        <v>44962</v>
      </c>
      <c r="M402" t="s">
        <v>182</v>
      </c>
    </row>
    <row r="403" spans="11:13" x14ac:dyDescent="0.2">
      <c r="K403" s="39">
        <v>44963</v>
      </c>
      <c r="L403" s="39">
        <v>44963</v>
      </c>
      <c r="M403" t="s">
        <v>182</v>
      </c>
    </row>
    <row r="404" spans="11:13" x14ac:dyDescent="0.2">
      <c r="K404" s="39">
        <v>44964</v>
      </c>
      <c r="L404" s="39">
        <v>44964</v>
      </c>
      <c r="M404" t="s">
        <v>182</v>
      </c>
    </row>
    <row r="405" spans="11:13" x14ac:dyDescent="0.2">
      <c r="K405" s="39">
        <v>44965</v>
      </c>
      <c r="L405" s="39">
        <v>44965</v>
      </c>
      <c r="M405" t="s">
        <v>182</v>
      </c>
    </row>
    <row r="406" spans="11:13" x14ac:dyDescent="0.2">
      <c r="K406" s="39">
        <v>44966</v>
      </c>
      <c r="L406" s="39">
        <v>44966</v>
      </c>
      <c r="M406" t="s">
        <v>182</v>
      </c>
    </row>
    <row r="407" spans="11:13" x14ac:dyDescent="0.2">
      <c r="K407" s="39">
        <v>44967</v>
      </c>
      <c r="L407" s="39">
        <v>44967</v>
      </c>
      <c r="M407" t="s">
        <v>182</v>
      </c>
    </row>
    <row r="408" spans="11:13" x14ac:dyDescent="0.2">
      <c r="K408" s="39">
        <v>44968</v>
      </c>
      <c r="L408" s="39">
        <v>44968</v>
      </c>
      <c r="M408" t="s">
        <v>183</v>
      </c>
    </row>
    <row r="409" spans="11:13" x14ac:dyDescent="0.2">
      <c r="K409" s="39">
        <v>44969</v>
      </c>
      <c r="L409" s="39">
        <v>44969</v>
      </c>
      <c r="M409" t="s">
        <v>183</v>
      </c>
    </row>
    <row r="410" spans="11:13" x14ac:dyDescent="0.2">
      <c r="K410" s="39">
        <v>44970</v>
      </c>
      <c r="L410" s="39">
        <v>44970</v>
      </c>
      <c r="M410" t="s">
        <v>183</v>
      </c>
    </row>
    <row r="411" spans="11:13" x14ac:dyDescent="0.2">
      <c r="K411" s="39">
        <v>44971</v>
      </c>
      <c r="L411" s="39">
        <v>44971</v>
      </c>
      <c r="M411" t="s">
        <v>183</v>
      </c>
    </row>
    <row r="412" spans="11:13" x14ac:dyDescent="0.2">
      <c r="K412" s="39">
        <v>44972</v>
      </c>
      <c r="L412" s="39">
        <v>44972</v>
      </c>
      <c r="M412" t="s">
        <v>183</v>
      </c>
    </row>
    <row r="413" spans="11:13" x14ac:dyDescent="0.2">
      <c r="K413" s="39">
        <v>44973</v>
      </c>
      <c r="L413" s="39">
        <v>44973</v>
      </c>
      <c r="M413" t="s">
        <v>183</v>
      </c>
    </row>
    <row r="414" spans="11:13" x14ac:dyDescent="0.2">
      <c r="K414" s="39">
        <v>44974</v>
      </c>
      <c r="L414" s="39">
        <v>44974</v>
      </c>
      <c r="M414" t="s">
        <v>183</v>
      </c>
    </row>
    <row r="415" spans="11:13" x14ac:dyDescent="0.2">
      <c r="K415" s="39">
        <v>44975</v>
      </c>
      <c r="L415" s="39">
        <v>44975</v>
      </c>
      <c r="M415" t="s">
        <v>184</v>
      </c>
    </row>
    <row r="416" spans="11:13" x14ac:dyDescent="0.2">
      <c r="K416" s="39">
        <v>44976</v>
      </c>
      <c r="L416" s="39">
        <v>44976</v>
      </c>
      <c r="M416" t="s">
        <v>184</v>
      </c>
    </row>
    <row r="417" spans="11:13" x14ac:dyDescent="0.2">
      <c r="K417" s="39">
        <v>44977</v>
      </c>
      <c r="L417" s="39">
        <v>44977</v>
      </c>
      <c r="M417" t="s">
        <v>184</v>
      </c>
    </row>
    <row r="418" spans="11:13" x14ac:dyDescent="0.2">
      <c r="K418" s="39">
        <v>44978</v>
      </c>
      <c r="L418" s="39">
        <v>44978</v>
      </c>
      <c r="M418" t="s">
        <v>184</v>
      </c>
    </row>
    <row r="419" spans="11:13" x14ac:dyDescent="0.2">
      <c r="K419" s="39">
        <v>44979</v>
      </c>
      <c r="L419" s="39">
        <v>44979</v>
      </c>
      <c r="M419" t="s">
        <v>184</v>
      </c>
    </row>
    <row r="420" spans="11:13" x14ac:dyDescent="0.2">
      <c r="K420" s="39">
        <v>44980</v>
      </c>
      <c r="L420" s="39">
        <v>44980</v>
      </c>
      <c r="M420" t="s">
        <v>184</v>
      </c>
    </row>
    <row r="421" spans="11:13" x14ac:dyDescent="0.2">
      <c r="K421" s="39">
        <v>44981</v>
      </c>
      <c r="L421" s="39">
        <v>44981</v>
      </c>
      <c r="M421" t="s">
        <v>184</v>
      </c>
    </row>
    <row r="422" spans="11:13" x14ac:dyDescent="0.2">
      <c r="K422" s="39">
        <v>44982</v>
      </c>
      <c r="L422" s="39">
        <v>44982</v>
      </c>
      <c r="M422" t="s">
        <v>185</v>
      </c>
    </row>
    <row r="423" spans="11:13" x14ac:dyDescent="0.2">
      <c r="K423" s="39">
        <v>44983</v>
      </c>
      <c r="L423" s="39">
        <v>44983</v>
      </c>
      <c r="M423" t="s">
        <v>185</v>
      </c>
    </row>
    <row r="424" spans="11:13" x14ac:dyDescent="0.2">
      <c r="K424" s="39">
        <v>44984</v>
      </c>
      <c r="L424" s="39">
        <v>44984</v>
      </c>
      <c r="M424" t="s">
        <v>185</v>
      </c>
    </row>
    <row r="425" spans="11:13" x14ac:dyDescent="0.2">
      <c r="K425" s="39">
        <v>44985</v>
      </c>
      <c r="L425" s="39">
        <v>44985</v>
      </c>
      <c r="M425" t="s">
        <v>185</v>
      </c>
    </row>
    <row r="426" spans="11:13" x14ac:dyDescent="0.2">
      <c r="K426" s="39">
        <v>44986</v>
      </c>
      <c r="L426" s="39">
        <v>44986</v>
      </c>
      <c r="M426" t="s">
        <v>185</v>
      </c>
    </row>
    <row r="427" spans="11:13" x14ac:dyDescent="0.2">
      <c r="K427" s="39">
        <v>44987</v>
      </c>
      <c r="L427" s="39">
        <v>44987</v>
      </c>
      <c r="M427" t="s">
        <v>185</v>
      </c>
    </row>
    <row r="428" spans="11:13" x14ac:dyDescent="0.2">
      <c r="K428" s="39">
        <v>44988</v>
      </c>
      <c r="L428" s="39">
        <v>44988</v>
      </c>
      <c r="M428" t="s">
        <v>185</v>
      </c>
    </row>
    <row r="429" spans="11:13" x14ac:dyDescent="0.2">
      <c r="K429" s="39">
        <v>44989</v>
      </c>
      <c r="L429" s="39">
        <v>44989</v>
      </c>
      <c r="M429" t="s">
        <v>186</v>
      </c>
    </row>
    <row r="430" spans="11:13" x14ac:dyDescent="0.2">
      <c r="K430" s="39">
        <v>44990</v>
      </c>
      <c r="L430" s="39">
        <v>44990</v>
      </c>
      <c r="M430" t="s">
        <v>186</v>
      </c>
    </row>
    <row r="431" spans="11:13" x14ac:dyDescent="0.2">
      <c r="K431" s="39">
        <v>44991</v>
      </c>
      <c r="L431" s="39">
        <v>44991</v>
      </c>
      <c r="M431" t="s">
        <v>186</v>
      </c>
    </row>
    <row r="432" spans="11:13" x14ac:dyDescent="0.2">
      <c r="K432" s="39">
        <v>44992</v>
      </c>
      <c r="L432" s="39">
        <v>44992</v>
      </c>
      <c r="M432" t="s">
        <v>186</v>
      </c>
    </row>
    <row r="433" spans="11:13" x14ac:dyDescent="0.2">
      <c r="K433" s="39">
        <v>44993</v>
      </c>
      <c r="L433" s="39">
        <v>44993</v>
      </c>
      <c r="M433" t="s">
        <v>186</v>
      </c>
    </row>
    <row r="434" spans="11:13" x14ac:dyDescent="0.2">
      <c r="K434" s="39">
        <v>44994</v>
      </c>
      <c r="L434" s="39">
        <v>44994</v>
      </c>
      <c r="M434" t="s">
        <v>186</v>
      </c>
    </row>
    <row r="435" spans="11:13" x14ac:dyDescent="0.2">
      <c r="K435" s="39">
        <v>44995</v>
      </c>
      <c r="L435" s="39">
        <v>44995</v>
      </c>
      <c r="M435" t="s">
        <v>186</v>
      </c>
    </row>
    <row r="436" spans="11:13" x14ac:dyDescent="0.2">
      <c r="K436" s="39">
        <v>44996</v>
      </c>
      <c r="L436" s="39">
        <v>44996</v>
      </c>
      <c r="M436" t="s">
        <v>187</v>
      </c>
    </row>
    <row r="437" spans="11:13" x14ac:dyDescent="0.2">
      <c r="K437" s="39">
        <v>44997</v>
      </c>
      <c r="L437" s="39">
        <v>44997</v>
      </c>
      <c r="M437" t="s">
        <v>187</v>
      </c>
    </row>
    <row r="438" spans="11:13" x14ac:dyDescent="0.2">
      <c r="K438" s="39">
        <v>44998</v>
      </c>
      <c r="L438" s="39">
        <v>44998</v>
      </c>
      <c r="M438" t="s">
        <v>187</v>
      </c>
    </row>
    <row r="439" spans="11:13" x14ac:dyDescent="0.2">
      <c r="K439" s="39">
        <v>44999</v>
      </c>
      <c r="L439" s="39">
        <v>44999</v>
      </c>
      <c r="M439" t="s">
        <v>187</v>
      </c>
    </row>
    <row r="440" spans="11:13" x14ac:dyDescent="0.2">
      <c r="K440" s="39">
        <v>45000</v>
      </c>
      <c r="L440" s="39">
        <v>45000</v>
      </c>
      <c r="M440" t="s">
        <v>187</v>
      </c>
    </row>
    <row r="441" spans="11:13" x14ac:dyDescent="0.2">
      <c r="K441" s="39">
        <v>45001</v>
      </c>
      <c r="L441" s="39">
        <v>45001</v>
      </c>
      <c r="M441" t="s">
        <v>187</v>
      </c>
    </row>
    <row r="442" spans="11:13" x14ac:dyDescent="0.2">
      <c r="K442" s="39">
        <v>45002</v>
      </c>
      <c r="L442" s="39">
        <v>45002</v>
      </c>
      <c r="M442" t="s">
        <v>187</v>
      </c>
    </row>
    <row r="443" spans="11:13" x14ac:dyDescent="0.2">
      <c r="K443" s="39">
        <v>45003</v>
      </c>
      <c r="L443" s="39">
        <v>45003</v>
      </c>
      <c r="M443" t="s">
        <v>188</v>
      </c>
    </row>
    <row r="444" spans="11:13" x14ac:dyDescent="0.2">
      <c r="K444" s="39">
        <v>45004</v>
      </c>
      <c r="L444" s="39">
        <v>45004</v>
      </c>
      <c r="M444" t="s">
        <v>188</v>
      </c>
    </row>
    <row r="445" spans="11:13" x14ac:dyDescent="0.2">
      <c r="K445" s="39">
        <v>45005</v>
      </c>
      <c r="L445" s="39">
        <v>45005</v>
      </c>
      <c r="M445" t="s">
        <v>188</v>
      </c>
    </row>
    <row r="446" spans="11:13" x14ac:dyDescent="0.2">
      <c r="K446" s="39">
        <v>45006</v>
      </c>
      <c r="L446" s="39">
        <v>45006</v>
      </c>
      <c r="M446" t="s">
        <v>188</v>
      </c>
    </row>
    <row r="447" spans="11:13" x14ac:dyDescent="0.2">
      <c r="K447" s="39">
        <v>45007</v>
      </c>
      <c r="L447" s="39">
        <v>45007</v>
      </c>
      <c r="M447" t="s">
        <v>188</v>
      </c>
    </row>
    <row r="448" spans="11:13" x14ac:dyDescent="0.2">
      <c r="K448" s="39">
        <v>45008</v>
      </c>
      <c r="L448" s="39">
        <v>45008</v>
      </c>
      <c r="M448" t="s">
        <v>188</v>
      </c>
    </row>
    <row r="449" spans="11:13" x14ac:dyDescent="0.2">
      <c r="K449" s="39">
        <v>45009</v>
      </c>
      <c r="L449" s="39">
        <v>45009</v>
      </c>
      <c r="M449" t="s">
        <v>188</v>
      </c>
    </row>
    <row r="450" spans="11:13" x14ac:dyDescent="0.2">
      <c r="K450" s="39">
        <v>45010</v>
      </c>
      <c r="L450" s="39">
        <v>45010</v>
      </c>
      <c r="M450" t="s">
        <v>189</v>
      </c>
    </row>
    <row r="451" spans="11:13" x14ac:dyDescent="0.2">
      <c r="K451" s="39">
        <v>45011</v>
      </c>
      <c r="L451" s="39">
        <v>45011</v>
      </c>
      <c r="M451" t="s">
        <v>189</v>
      </c>
    </row>
    <row r="452" spans="11:13" x14ac:dyDescent="0.2">
      <c r="K452" s="39">
        <v>45012</v>
      </c>
      <c r="L452" s="39">
        <v>45012</v>
      </c>
      <c r="M452" t="s">
        <v>189</v>
      </c>
    </row>
    <row r="453" spans="11:13" x14ac:dyDescent="0.2">
      <c r="K453" s="39">
        <v>45013</v>
      </c>
      <c r="L453" s="39">
        <v>45013</v>
      </c>
      <c r="M453" t="s">
        <v>189</v>
      </c>
    </row>
    <row r="454" spans="11:13" x14ac:dyDescent="0.2">
      <c r="K454" s="39">
        <v>45014</v>
      </c>
      <c r="L454" s="39">
        <v>45014</v>
      </c>
      <c r="M454" t="s">
        <v>189</v>
      </c>
    </row>
    <row r="455" spans="11:13" x14ac:dyDescent="0.2">
      <c r="K455" s="39">
        <v>45015</v>
      </c>
      <c r="L455" s="39">
        <v>45015</v>
      </c>
      <c r="M455" t="s">
        <v>189</v>
      </c>
    </row>
    <row r="456" spans="11:13" x14ac:dyDescent="0.2">
      <c r="K456" s="39">
        <v>45016</v>
      </c>
      <c r="L456" s="39">
        <v>45016</v>
      </c>
      <c r="M456" t="s">
        <v>189</v>
      </c>
    </row>
    <row r="457" spans="11:13" x14ac:dyDescent="0.2">
      <c r="K457" s="39">
        <v>45017</v>
      </c>
      <c r="L457" s="39">
        <v>45017</v>
      </c>
      <c r="M457" t="s">
        <v>190</v>
      </c>
    </row>
    <row r="458" spans="11:13" x14ac:dyDescent="0.2">
      <c r="K458" s="39">
        <v>45018</v>
      </c>
      <c r="L458" s="39">
        <v>45018</v>
      </c>
      <c r="M458" t="s">
        <v>190</v>
      </c>
    </row>
    <row r="459" spans="11:13" x14ac:dyDescent="0.2">
      <c r="K459" s="39">
        <v>45019</v>
      </c>
      <c r="L459" s="39">
        <v>45019</v>
      </c>
      <c r="M459" t="s">
        <v>190</v>
      </c>
    </row>
    <row r="460" spans="11:13" x14ac:dyDescent="0.2">
      <c r="K460" s="39">
        <v>45020</v>
      </c>
      <c r="L460" s="39">
        <v>45020</v>
      </c>
      <c r="M460" t="s">
        <v>190</v>
      </c>
    </row>
    <row r="461" spans="11:13" x14ac:dyDescent="0.2">
      <c r="K461" s="39">
        <v>45021</v>
      </c>
      <c r="L461" s="39">
        <v>45021</v>
      </c>
      <c r="M461" t="s">
        <v>190</v>
      </c>
    </row>
    <row r="462" spans="11:13" x14ac:dyDescent="0.2">
      <c r="K462" s="39">
        <v>45022</v>
      </c>
      <c r="L462" s="39">
        <v>45022</v>
      </c>
      <c r="M462" t="s">
        <v>190</v>
      </c>
    </row>
    <row r="463" spans="11:13" x14ac:dyDescent="0.2">
      <c r="K463" s="39">
        <v>45023</v>
      </c>
      <c r="L463" s="39">
        <v>45023</v>
      </c>
      <c r="M463" t="s">
        <v>190</v>
      </c>
    </row>
    <row r="464" spans="11:13" x14ac:dyDescent="0.2">
      <c r="K464" s="39">
        <v>45024</v>
      </c>
      <c r="L464" s="39">
        <v>45024</v>
      </c>
      <c r="M464" t="s">
        <v>191</v>
      </c>
    </row>
    <row r="465" spans="11:13" x14ac:dyDescent="0.2">
      <c r="K465" s="39">
        <v>45025</v>
      </c>
      <c r="L465" s="39">
        <v>45025</v>
      </c>
      <c r="M465" t="s">
        <v>191</v>
      </c>
    </row>
    <row r="466" spans="11:13" x14ac:dyDescent="0.2">
      <c r="K466" s="39">
        <v>45026</v>
      </c>
      <c r="L466" s="39">
        <v>45026</v>
      </c>
      <c r="M466" t="s">
        <v>191</v>
      </c>
    </row>
    <row r="467" spans="11:13" x14ac:dyDescent="0.2">
      <c r="K467" s="39">
        <v>45027</v>
      </c>
      <c r="L467" s="39">
        <v>45027</v>
      </c>
      <c r="M467" t="s">
        <v>191</v>
      </c>
    </row>
    <row r="468" spans="11:13" x14ac:dyDescent="0.2">
      <c r="K468" s="39">
        <v>45028</v>
      </c>
      <c r="L468" s="39">
        <v>45028</v>
      </c>
      <c r="M468" t="s">
        <v>191</v>
      </c>
    </row>
    <row r="469" spans="11:13" x14ac:dyDescent="0.2">
      <c r="K469" s="39">
        <v>45029</v>
      </c>
      <c r="L469" s="39">
        <v>45029</v>
      </c>
      <c r="M469" t="s">
        <v>191</v>
      </c>
    </row>
    <row r="470" spans="11:13" x14ac:dyDescent="0.2">
      <c r="K470" s="39">
        <v>45030</v>
      </c>
      <c r="L470" s="39">
        <v>45030</v>
      </c>
      <c r="M470" t="s">
        <v>191</v>
      </c>
    </row>
    <row r="471" spans="11:13" x14ac:dyDescent="0.2">
      <c r="K471" s="39">
        <v>45031</v>
      </c>
      <c r="L471" s="39">
        <v>45031</v>
      </c>
      <c r="M471" t="s">
        <v>192</v>
      </c>
    </row>
    <row r="472" spans="11:13" x14ac:dyDescent="0.2">
      <c r="K472" s="39">
        <v>45032</v>
      </c>
      <c r="L472" s="39">
        <v>45032</v>
      </c>
      <c r="M472" t="s">
        <v>192</v>
      </c>
    </row>
    <row r="473" spans="11:13" x14ac:dyDescent="0.2">
      <c r="K473" s="39">
        <v>45033</v>
      </c>
      <c r="L473" s="39">
        <v>45033</v>
      </c>
      <c r="M473" t="s">
        <v>192</v>
      </c>
    </row>
    <row r="474" spans="11:13" x14ac:dyDescent="0.2">
      <c r="K474" s="39">
        <v>45034</v>
      </c>
      <c r="L474" s="39">
        <v>45034</v>
      </c>
      <c r="M474" t="s">
        <v>192</v>
      </c>
    </row>
    <row r="475" spans="11:13" x14ac:dyDescent="0.2">
      <c r="K475" s="39">
        <v>45035</v>
      </c>
      <c r="L475" s="39">
        <v>45035</v>
      </c>
      <c r="M475" t="s">
        <v>192</v>
      </c>
    </row>
    <row r="476" spans="11:13" x14ac:dyDescent="0.2">
      <c r="K476" s="39">
        <v>45036</v>
      </c>
      <c r="L476" s="39">
        <v>45036</v>
      </c>
      <c r="M476" t="s">
        <v>192</v>
      </c>
    </row>
    <row r="477" spans="11:13" x14ac:dyDescent="0.2">
      <c r="K477" s="39">
        <v>45037</v>
      </c>
      <c r="L477" s="39">
        <v>45037</v>
      </c>
      <c r="M477" t="s">
        <v>192</v>
      </c>
    </row>
    <row r="478" spans="11:13" x14ac:dyDescent="0.2">
      <c r="K478" s="39">
        <v>45038</v>
      </c>
      <c r="L478" s="39">
        <v>45038</v>
      </c>
      <c r="M478" t="s">
        <v>193</v>
      </c>
    </row>
    <row r="479" spans="11:13" x14ac:dyDescent="0.2">
      <c r="K479" s="39">
        <v>45039</v>
      </c>
      <c r="L479" s="39">
        <v>45039</v>
      </c>
      <c r="M479" t="s">
        <v>193</v>
      </c>
    </row>
    <row r="480" spans="11:13" x14ac:dyDescent="0.2">
      <c r="K480" s="39">
        <v>45040</v>
      </c>
      <c r="L480" s="39">
        <v>45040</v>
      </c>
      <c r="M480" t="s">
        <v>193</v>
      </c>
    </row>
    <row r="481" spans="11:13" x14ac:dyDescent="0.2">
      <c r="K481" s="39">
        <v>45041</v>
      </c>
      <c r="L481" s="39">
        <v>45041</v>
      </c>
      <c r="M481" t="s">
        <v>193</v>
      </c>
    </row>
    <row r="482" spans="11:13" x14ac:dyDescent="0.2">
      <c r="K482" s="39">
        <v>45042</v>
      </c>
      <c r="L482" s="39">
        <v>45042</v>
      </c>
      <c r="M482" t="s">
        <v>193</v>
      </c>
    </row>
    <row r="483" spans="11:13" x14ac:dyDescent="0.2">
      <c r="K483" s="39">
        <v>45043</v>
      </c>
      <c r="L483" s="39">
        <v>45043</v>
      </c>
      <c r="M483" t="s">
        <v>193</v>
      </c>
    </row>
    <row r="484" spans="11:13" x14ac:dyDescent="0.2">
      <c r="K484" s="39">
        <v>45044</v>
      </c>
      <c r="L484" s="39">
        <v>45044</v>
      </c>
      <c r="M484" t="s">
        <v>193</v>
      </c>
    </row>
    <row r="485" spans="11:13" x14ac:dyDescent="0.2">
      <c r="K485" s="39">
        <v>45045</v>
      </c>
      <c r="L485" s="39">
        <v>45045</v>
      </c>
      <c r="M485" t="s">
        <v>194</v>
      </c>
    </row>
    <row r="486" spans="11:13" x14ac:dyDescent="0.2">
      <c r="K486" s="39">
        <v>45046</v>
      </c>
      <c r="L486" s="39">
        <v>45046</v>
      </c>
      <c r="M486" t="s">
        <v>194</v>
      </c>
    </row>
    <row r="487" spans="11:13" x14ac:dyDescent="0.2">
      <c r="K487" s="39">
        <v>45047</v>
      </c>
      <c r="L487" s="39">
        <v>45047</v>
      </c>
      <c r="M487" t="s">
        <v>194</v>
      </c>
    </row>
    <row r="488" spans="11:13" x14ac:dyDescent="0.2">
      <c r="K488" s="39">
        <v>45048</v>
      </c>
      <c r="L488" s="39">
        <v>45048</v>
      </c>
      <c r="M488" t="s">
        <v>194</v>
      </c>
    </row>
    <row r="489" spans="11:13" x14ac:dyDescent="0.2">
      <c r="K489" s="39">
        <v>45049</v>
      </c>
      <c r="L489" s="39">
        <v>45049</v>
      </c>
      <c r="M489" t="s">
        <v>194</v>
      </c>
    </row>
    <row r="490" spans="11:13" x14ac:dyDescent="0.2">
      <c r="K490" s="39">
        <v>45050</v>
      </c>
      <c r="L490" s="39">
        <v>45050</v>
      </c>
      <c r="M490" t="s">
        <v>194</v>
      </c>
    </row>
    <row r="491" spans="11:13" x14ac:dyDescent="0.2">
      <c r="K491" s="39">
        <v>45051</v>
      </c>
      <c r="L491" s="39">
        <v>45051</v>
      </c>
      <c r="M491" t="s">
        <v>194</v>
      </c>
    </row>
    <row r="492" spans="11:13" x14ac:dyDescent="0.2">
      <c r="K492" s="39">
        <v>45052</v>
      </c>
      <c r="L492" s="39">
        <v>45052</v>
      </c>
      <c r="M492" t="s">
        <v>195</v>
      </c>
    </row>
    <row r="493" spans="11:13" x14ac:dyDescent="0.2">
      <c r="K493" s="39">
        <v>45053</v>
      </c>
      <c r="L493" s="39">
        <v>45053</v>
      </c>
      <c r="M493" t="s">
        <v>195</v>
      </c>
    </row>
    <row r="494" spans="11:13" x14ac:dyDescent="0.2">
      <c r="K494" s="39">
        <v>45054</v>
      </c>
      <c r="L494" s="39">
        <v>45054</v>
      </c>
      <c r="M494" t="s">
        <v>195</v>
      </c>
    </row>
    <row r="495" spans="11:13" x14ac:dyDescent="0.2">
      <c r="K495" s="39">
        <v>45055</v>
      </c>
      <c r="L495" s="39">
        <v>45055</v>
      </c>
      <c r="M495" t="s">
        <v>195</v>
      </c>
    </row>
    <row r="496" spans="11:13" x14ac:dyDescent="0.2">
      <c r="K496" s="39">
        <v>45056</v>
      </c>
      <c r="L496" s="39">
        <v>45056</v>
      </c>
      <c r="M496" t="s">
        <v>195</v>
      </c>
    </row>
    <row r="497" spans="11:13" x14ac:dyDescent="0.2">
      <c r="K497" s="39">
        <v>45057</v>
      </c>
      <c r="L497" s="39">
        <v>45057</v>
      </c>
      <c r="M497" t="s">
        <v>195</v>
      </c>
    </row>
    <row r="498" spans="11:13" x14ac:dyDescent="0.2">
      <c r="K498" s="39">
        <v>45058</v>
      </c>
      <c r="L498" s="39">
        <v>45058</v>
      </c>
      <c r="M498" t="s">
        <v>195</v>
      </c>
    </row>
    <row r="499" spans="11:13" x14ac:dyDescent="0.2">
      <c r="K499" s="39">
        <v>45059</v>
      </c>
      <c r="L499" s="39">
        <v>45059</v>
      </c>
      <c r="M499" t="s">
        <v>196</v>
      </c>
    </row>
    <row r="500" spans="11:13" x14ac:dyDescent="0.2">
      <c r="K500" s="39">
        <v>45060</v>
      </c>
      <c r="L500" s="39">
        <v>45060</v>
      </c>
      <c r="M500" t="s">
        <v>196</v>
      </c>
    </row>
    <row r="501" spans="11:13" x14ac:dyDescent="0.2">
      <c r="K501" s="39">
        <v>45061</v>
      </c>
      <c r="L501" s="39">
        <v>45061</v>
      </c>
      <c r="M501" t="s">
        <v>196</v>
      </c>
    </row>
    <row r="502" spans="11:13" x14ac:dyDescent="0.2">
      <c r="K502" s="39">
        <v>45062</v>
      </c>
      <c r="L502" s="39">
        <v>45062</v>
      </c>
      <c r="M502" t="s">
        <v>196</v>
      </c>
    </row>
    <row r="503" spans="11:13" x14ac:dyDescent="0.2">
      <c r="K503" s="39">
        <v>45063</v>
      </c>
      <c r="L503" s="39">
        <v>45063</v>
      </c>
      <c r="M503" t="s">
        <v>196</v>
      </c>
    </row>
    <row r="504" spans="11:13" x14ac:dyDescent="0.2">
      <c r="K504" s="39">
        <v>45064</v>
      </c>
      <c r="L504" s="39">
        <v>45064</v>
      </c>
      <c r="M504" t="s">
        <v>196</v>
      </c>
    </row>
    <row r="505" spans="11:13" x14ac:dyDescent="0.2">
      <c r="K505" s="39">
        <v>45065</v>
      </c>
      <c r="L505" s="39">
        <v>45065</v>
      </c>
      <c r="M505" t="s">
        <v>196</v>
      </c>
    </row>
    <row r="506" spans="11:13" x14ac:dyDescent="0.2">
      <c r="K506" s="39">
        <v>45066</v>
      </c>
      <c r="L506" s="39">
        <v>45066</v>
      </c>
      <c r="M506" t="s">
        <v>197</v>
      </c>
    </row>
    <row r="507" spans="11:13" x14ac:dyDescent="0.2">
      <c r="K507" s="39">
        <v>45067</v>
      </c>
      <c r="L507" s="39">
        <v>45067</v>
      </c>
      <c r="M507" t="s">
        <v>197</v>
      </c>
    </row>
    <row r="508" spans="11:13" x14ac:dyDescent="0.2">
      <c r="K508" s="39">
        <v>45068</v>
      </c>
      <c r="L508" s="39">
        <v>45068</v>
      </c>
      <c r="M508" t="s">
        <v>197</v>
      </c>
    </row>
    <row r="509" spans="11:13" x14ac:dyDescent="0.2">
      <c r="K509" s="39">
        <v>45069</v>
      </c>
      <c r="L509" s="39">
        <v>45069</v>
      </c>
      <c r="M509" t="s">
        <v>197</v>
      </c>
    </row>
    <row r="510" spans="11:13" x14ac:dyDescent="0.2">
      <c r="K510" s="39">
        <v>45070</v>
      </c>
      <c r="L510" s="39">
        <v>45070</v>
      </c>
      <c r="M510" t="s">
        <v>197</v>
      </c>
    </row>
    <row r="511" spans="11:13" x14ac:dyDescent="0.2">
      <c r="K511" s="39">
        <v>45071</v>
      </c>
      <c r="L511" s="39">
        <v>45071</v>
      </c>
      <c r="M511" t="s">
        <v>197</v>
      </c>
    </row>
    <row r="512" spans="11:13" x14ac:dyDescent="0.2">
      <c r="K512" s="39">
        <v>45072</v>
      </c>
      <c r="L512" s="39">
        <v>45072</v>
      </c>
      <c r="M512" t="s">
        <v>197</v>
      </c>
    </row>
    <row r="513" spans="11:13" x14ac:dyDescent="0.2">
      <c r="K513" s="39">
        <v>45073</v>
      </c>
      <c r="L513" s="39">
        <v>45073</v>
      </c>
      <c r="M513" t="s">
        <v>198</v>
      </c>
    </row>
    <row r="514" spans="11:13" x14ac:dyDescent="0.2">
      <c r="K514" s="39">
        <v>45074</v>
      </c>
      <c r="L514" s="39">
        <v>45074</v>
      </c>
      <c r="M514" t="s">
        <v>198</v>
      </c>
    </row>
    <row r="515" spans="11:13" x14ac:dyDescent="0.2">
      <c r="K515" s="39">
        <v>45075</v>
      </c>
      <c r="L515" s="39">
        <v>45075</v>
      </c>
      <c r="M515" t="s">
        <v>198</v>
      </c>
    </row>
    <row r="516" spans="11:13" x14ac:dyDescent="0.2">
      <c r="K516" s="39">
        <v>45076</v>
      </c>
      <c r="L516" s="39">
        <v>45076</v>
      </c>
      <c r="M516" t="s">
        <v>198</v>
      </c>
    </row>
    <row r="517" spans="11:13" x14ac:dyDescent="0.2">
      <c r="K517" s="39">
        <v>45077</v>
      </c>
      <c r="L517" s="39">
        <v>45077</v>
      </c>
      <c r="M517" t="s">
        <v>198</v>
      </c>
    </row>
    <row r="518" spans="11:13" x14ac:dyDescent="0.2">
      <c r="K518" s="39">
        <v>45078</v>
      </c>
      <c r="L518" s="39">
        <v>45078</v>
      </c>
      <c r="M518" t="s">
        <v>198</v>
      </c>
    </row>
    <row r="519" spans="11:13" x14ac:dyDescent="0.2">
      <c r="K519" s="39">
        <v>45079</v>
      </c>
      <c r="L519" s="39">
        <v>45079</v>
      </c>
      <c r="M519" t="s">
        <v>198</v>
      </c>
    </row>
    <row r="520" spans="11:13" x14ac:dyDescent="0.2">
      <c r="K520" s="39">
        <v>45080</v>
      </c>
      <c r="L520" s="39">
        <v>45080</v>
      </c>
      <c r="M520" t="s">
        <v>199</v>
      </c>
    </row>
    <row r="521" spans="11:13" x14ac:dyDescent="0.2">
      <c r="K521" s="39">
        <v>45081</v>
      </c>
      <c r="L521" s="39">
        <v>45081</v>
      </c>
      <c r="M521" t="s">
        <v>199</v>
      </c>
    </row>
    <row r="522" spans="11:13" x14ac:dyDescent="0.2">
      <c r="K522" s="39">
        <v>45082</v>
      </c>
      <c r="L522" s="39">
        <v>45082</v>
      </c>
      <c r="M522" t="s">
        <v>199</v>
      </c>
    </row>
    <row r="523" spans="11:13" x14ac:dyDescent="0.2">
      <c r="K523" s="39">
        <v>45083</v>
      </c>
      <c r="L523" s="39">
        <v>45083</v>
      </c>
      <c r="M523" t="s">
        <v>199</v>
      </c>
    </row>
    <row r="524" spans="11:13" x14ac:dyDescent="0.2">
      <c r="K524" s="39">
        <v>45084</v>
      </c>
      <c r="L524" s="39">
        <v>45084</v>
      </c>
      <c r="M524" t="s">
        <v>199</v>
      </c>
    </row>
    <row r="525" spans="11:13" x14ac:dyDescent="0.2">
      <c r="K525" s="39">
        <v>45085</v>
      </c>
      <c r="L525" s="39">
        <v>45085</v>
      </c>
      <c r="M525" t="s">
        <v>199</v>
      </c>
    </row>
    <row r="526" spans="11:13" x14ac:dyDescent="0.2">
      <c r="K526" s="39">
        <v>45086</v>
      </c>
      <c r="L526" s="39">
        <v>45086</v>
      </c>
      <c r="M526" t="s">
        <v>199</v>
      </c>
    </row>
    <row r="527" spans="11:13" x14ac:dyDescent="0.2">
      <c r="K527" s="39">
        <v>45087</v>
      </c>
      <c r="L527" s="39">
        <v>45087</v>
      </c>
      <c r="M527" t="s">
        <v>200</v>
      </c>
    </row>
    <row r="528" spans="11:13" x14ac:dyDescent="0.2">
      <c r="K528" s="39">
        <v>45088</v>
      </c>
      <c r="L528" s="39">
        <v>45088</v>
      </c>
      <c r="M528" t="s">
        <v>200</v>
      </c>
    </row>
    <row r="529" spans="11:13" x14ac:dyDescent="0.2">
      <c r="K529" s="39">
        <v>45089</v>
      </c>
      <c r="L529" s="39">
        <v>45089</v>
      </c>
      <c r="M529" t="s">
        <v>200</v>
      </c>
    </row>
    <row r="530" spans="11:13" x14ac:dyDescent="0.2">
      <c r="K530" s="39">
        <v>45090</v>
      </c>
      <c r="L530" s="39">
        <v>45090</v>
      </c>
      <c r="M530" t="s">
        <v>200</v>
      </c>
    </row>
    <row r="531" spans="11:13" x14ac:dyDescent="0.2">
      <c r="K531" s="39">
        <v>45091</v>
      </c>
      <c r="L531" s="39">
        <v>45091</v>
      </c>
      <c r="M531" t="s">
        <v>200</v>
      </c>
    </row>
    <row r="532" spans="11:13" x14ac:dyDescent="0.2">
      <c r="K532" s="39">
        <v>45092</v>
      </c>
      <c r="L532" s="39">
        <v>45092</v>
      </c>
      <c r="M532" t="s">
        <v>200</v>
      </c>
    </row>
    <row r="533" spans="11:13" x14ac:dyDescent="0.2">
      <c r="K533" s="39">
        <v>45093</v>
      </c>
      <c r="L533" s="39">
        <v>45093</v>
      </c>
      <c r="M533" t="s">
        <v>200</v>
      </c>
    </row>
    <row r="534" spans="11:13" x14ac:dyDescent="0.2">
      <c r="K534" s="39">
        <v>45094</v>
      </c>
      <c r="L534" s="39">
        <v>45094</v>
      </c>
      <c r="M534" t="s">
        <v>201</v>
      </c>
    </row>
    <row r="535" spans="11:13" x14ac:dyDescent="0.2">
      <c r="K535" s="39">
        <v>45095</v>
      </c>
      <c r="L535" s="39">
        <v>45095</v>
      </c>
      <c r="M535" t="s">
        <v>201</v>
      </c>
    </row>
    <row r="536" spans="11:13" x14ac:dyDescent="0.2">
      <c r="K536" s="39">
        <v>45096</v>
      </c>
      <c r="L536" s="39">
        <v>45096</v>
      </c>
      <c r="M536" t="s">
        <v>201</v>
      </c>
    </row>
    <row r="537" spans="11:13" x14ac:dyDescent="0.2">
      <c r="K537" s="39">
        <v>45097</v>
      </c>
      <c r="L537" s="39">
        <v>45097</v>
      </c>
      <c r="M537" t="s">
        <v>201</v>
      </c>
    </row>
    <row r="538" spans="11:13" x14ac:dyDescent="0.2">
      <c r="K538" s="39">
        <v>45098</v>
      </c>
      <c r="L538" s="39">
        <v>45098</v>
      </c>
      <c r="M538" t="s">
        <v>201</v>
      </c>
    </row>
    <row r="539" spans="11:13" x14ac:dyDescent="0.2">
      <c r="K539" s="39">
        <v>45099</v>
      </c>
      <c r="L539" s="39">
        <v>45099</v>
      </c>
      <c r="M539" t="s">
        <v>201</v>
      </c>
    </row>
    <row r="540" spans="11:13" x14ac:dyDescent="0.2">
      <c r="K540" s="39">
        <v>45100</v>
      </c>
      <c r="L540" s="39">
        <v>45100</v>
      </c>
      <c r="M540" t="s">
        <v>201</v>
      </c>
    </row>
    <row r="541" spans="11:13" x14ac:dyDescent="0.2">
      <c r="K541" s="39">
        <v>45101</v>
      </c>
      <c r="L541" s="39">
        <v>45101</v>
      </c>
      <c r="M541" t="s">
        <v>202</v>
      </c>
    </row>
    <row r="542" spans="11:13" x14ac:dyDescent="0.2">
      <c r="K542" s="39">
        <v>45102</v>
      </c>
      <c r="L542" s="39">
        <v>45102</v>
      </c>
      <c r="M542" t="s">
        <v>202</v>
      </c>
    </row>
    <row r="543" spans="11:13" x14ac:dyDescent="0.2">
      <c r="K543" s="39">
        <v>45103</v>
      </c>
      <c r="L543" s="39">
        <v>45103</v>
      </c>
      <c r="M543" t="s">
        <v>202</v>
      </c>
    </row>
    <row r="544" spans="11:13" x14ac:dyDescent="0.2">
      <c r="K544" s="39">
        <v>45104</v>
      </c>
      <c r="L544" s="39">
        <v>45104</v>
      </c>
      <c r="M544" t="s">
        <v>202</v>
      </c>
    </row>
    <row r="545" spans="11:13" x14ac:dyDescent="0.2">
      <c r="K545" s="39">
        <v>45105</v>
      </c>
      <c r="L545" s="39">
        <v>45105</v>
      </c>
      <c r="M545" t="s">
        <v>202</v>
      </c>
    </row>
    <row r="546" spans="11:13" x14ac:dyDescent="0.2">
      <c r="K546" s="39">
        <v>45106</v>
      </c>
      <c r="L546" s="39">
        <v>45106</v>
      </c>
      <c r="M546" t="s">
        <v>202</v>
      </c>
    </row>
    <row r="547" spans="11:13" x14ac:dyDescent="0.2">
      <c r="K547" s="39">
        <v>45107</v>
      </c>
      <c r="L547" s="39">
        <v>45107</v>
      </c>
      <c r="M547" t="s">
        <v>202</v>
      </c>
    </row>
    <row r="548" spans="11:13" x14ac:dyDescent="0.2">
      <c r="K548" s="39">
        <v>45108</v>
      </c>
      <c r="L548" s="39">
        <v>45108</v>
      </c>
      <c r="M548" t="s">
        <v>203</v>
      </c>
    </row>
    <row r="549" spans="11:13" x14ac:dyDescent="0.2">
      <c r="K549" s="39">
        <v>45109</v>
      </c>
      <c r="L549" s="39">
        <v>45109</v>
      </c>
      <c r="M549" t="s">
        <v>203</v>
      </c>
    </row>
    <row r="550" spans="11:13" x14ac:dyDescent="0.2">
      <c r="K550" s="39">
        <v>45110</v>
      </c>
      <c r="L550" s="39">
        <v>45110</v>
      </c>
      <c r="M550" t="s">
        <v>203</v>
      </c>
    </row>
    <row r="551" spans="11:13" x14ac:dyDescent="0.2">
      <c r="K551" s="39">
        <v>45111</v>
      </c>
      <c r="L551" s="39">
        <v>45111</v>
      </c>
      <c r="M551" t="s">
        <v>203</v>
      </c>
    </row>
    <row r="552" spans="11:13" x14ac:dyDescent="0.2">
      <c r="K552" s="39">
        <v>45112</v>
      </c>
      <c r="L552" s="39">
        <v>45112</v>
      </c>
      <c r="M552" t="s">
        <v>203</v>
      </c>
    </row>
    <row r="553" spans="11:13" x14ac:dyDescent="0.2">
      <c r="K553" s="39">
        <v>45113</v>
      </c>
      <c r="L553" s="39">
        <v>45113</v>
      </c>
      <c r="M553" t="s">
        <v>203</v>
      </c>
    </row>
    <row r="554" spans="11:13" x14ac:dyDescent="0.2">
      <c r="K554" s="39">
        <v>45114</v>
      </c>
      <c r="L554" s="39">
        <v>45114</v>
      </c>
      <c r="M554" t="s">
        <v>203</v>
      </c>
    </row>
    <row r="555" spans="11:13" x14ac:dyDescent="0.2">
      <c r="K555" s="39">
        <v>45115</v>
      </c>
      <c r="L555" s="39">
        <v>45115</v>
      </c>
      <c r="M555" t="s">
        <v>204</v>
      </c>
    </row>
    <row r="556" spans="11:13" x14ac:dyDescent="0.2">
      <c r="K556" s="39">
        <v>45116</v>
      </c>
      <c r="L556" s="39">
        <v>45116</v>
      </c>
      <c r="M556" t="s">
        <v>204</v>
      </c>
    </row>
    <row r="557" spans="11:13" x14ac:dyDescent="0.2">
      <c r="K557" s="39">
        <v>45117</v>
      </c>
      <c r="L557" s="39">
        <v>45117</v>
      </c>
      <c r="M557" t="s">
        <v>204</v>
      </c>
    </row>
    <row r="558" spans="11:13" x14ac:dyDescent="0.2">
      <c r="K558" s="39">
        <v>45118</v>
      </c>
      <c r="L558" s="39">
        <v>45118</v>
      </c>
      <c r="M558" t="s">
        <v>204</v>
      </c>
    </row>
    <row r="559" spans="11:13" x14ac:dyDescent="0.2">
      <c r="K559" s="39">
        <v>45119</v>
      </c>
      <c r="L559" s="39">
        <v>45119</v>
      </c>
      <c r="M559" t="s">
        <v>204</v>
      </c>
    </row>
    <row r="560" spans="11:13" x14ac:dyDescent="0.2">
      <c r="K560" s="39">
        <v>45120</v>
      </c>
      <c r="L560" s="39">
        <v>45120</v>
      </c>
      <c r="M560" t="s">
        <v>204</v>
      </c>
    </row>
    <row r="561" spans="11:13" x14ac:dyDescent="0.2">
      <c r="K561" s="39">
        <v>45121</v>
      </c>
      <c r="L561" s="39">
        <v>45121</v>
      </c>
      <c r="M561" t="s">
        <v>204</v>
      </c>
    </row>
    <row r="562" spans="11:13" x14ac:dyDescent="0.2">
      <c r="K562" s="39">
        <v>45122</v>
      </c>
      <c r="L562" s="39">
        <v>45122</v>
      </c>
      <c r="M562" t="s">
        <v>205</v>
      </c>
    </row>
    <row r="563" spans="11:13" x14ac:dyDescent="0.2">
      <c r="K563" s="39">
        <v>45123</v>
      </c>
      <c r="L563" s="39">
        <v>45123</v>
      </c>
      <c r="M563" t="s">
        <v>205</v>
      </c>
    </row>
    <row r="564" spans="11:13" x14ac:dyDescent="0.2">
      <c r="K564" s="39">
        <v>45124</v>
      </c>
      <c r="L564" s="39">
        <v>45124</v>
      </c>
      <c r="M564" t="s">
        <v>205</v>
      </c>
    </row>
    <row r="565" spans="11:13" x14ac:dyDescent="0.2">
      <c r="K565" s="39">
        <v>45125</v>
      </c>
      <c r="L565" s="39">
        <v>45125</v>
      </c>
      <c r="M565" t="s">
        <v>205</v>
      </c>
    </row>
    <row r="566" spans="11:13" x14ac:dyDescent="0.2">
      <c r="K566" s="39">
        <v>45126</v>
      </c>
      <c r="L566" s="39">
        <v>45126</v>
      </c>
      <c r="M566" t="s">
        <v>205</v>
      </c>
    </row>
    <row r="567" spans="11:13" x14ac:dyDescent="0.2">
      <c r="K567" s="39">
        <v>45127</v>
      </c>
      <c r="L567" s="39">
        <v>45127</v>
      </c>
      <c r="M567" t="s">
        <v>205</v>
      </c>
    </row>
    <row r="568" spans="11:13" x14ac:dyDescent="0.2">
      <c r="K568" s="39">
        <v>45128</v>
      </c>
      <c r="L568" s="39">
        <v>45128</v>
      </c>
      <c r="M568" t="s">
        <v>205</v>
      </c>
    </row>
    <row r="569" spans="11:13" x14ac:dyDescent="0.2">
      <c r="K569" s="39">
        <v>45129</v>
      </c>
      <c r="L569" s="39">
        <v>45129</v>
      </c>
      <c r="M569" t="s">
        <v>206</v>
      </c>
    </row>
    <row r="570" spans="11:13" x14ac:dyDescent="0.2">
      <c r="K570" s="39">
        <v>45130</v>
      </c>
      <c r="L570" s="39">
        <v>45130</v>
      </c>
      <c r="M570" t="s">
        <v>206</v>
      </c>
    </row>
    <row r="571" spans="11:13" x14ac:dyDescent="0.2">
      <c r="K571" s="39">
        <v>45131</v>
      </c>
      <c r="L571" s="39">
        <v>45131</v>
      </c>
      <c r="M571" t="s">
        <v>206</v>
      </c>
    </row>
    <row r="572" spans="11:13" x14ac:dyDescent="0.2">
      <c r="K572" s="39">
        <v>45132</v>
      </c>
      <c r="L572" s="39">
        <v>45132</v>
      </c>
      <c r="M572" t="s">
        <v>206</v>
      </c>
    </row>
    <row r="573" spans="11:13" x14ac:dyDescent="0.2">
      <c r="K573" s="39">
        <v>45133</v>
      </c>
      <c r="L573" s="39">
        <v>45133</v>
      </c>
      <c r="M573" t="s">
        <v>206</v>
      </c>
    </row>
    <row r="574" spans="11:13" x14ac:dyDescent="0.2">
      <c r="K574" s="39">
        <v>45134</v>
      </c>
      <c r="L574" s="39">
        <v>45134</v>
      </c>
      <c r="M574" t="s">
        <v>206</v>
      </c>
    </row>
    <row r="575" spans="11:13" x14ac:dyDescent="0.2">
      <c r="K575" s="39">
        <v>45135</v>
      </c>
      <c r="L575" s="39">
        <v>45135</v>
      </c>
      <c r="M575" t="s">
        <v>206</v>
      </c>
    </row>
    <row r="576" spans="11:13" x14ac:dyDescent="0.2">
      <c r="K576" s="39">
        <v>45136</v>
      </c>
      <c r="L576" s="39">
        <v>45136</v>
      </c>
      <c r="M576" t="s">
        <v>207</v>
      </c>
    </row>
    <row r="577" spans="11:13" x14ac:dyDescent="0.2">
      <c r="K577" s="39">
        <v>45137</v>
      </c>
      <c r="L577" s="39">
        <v>45137</v>
      </c>
      <c r="M577" t="s">
        <v>207</v>
      </c>
    </row>
    <row r="578" spans="11:13" x14ac:dyDescent="0.2">
      <c r="K578" s="39">
        <v>45138</v>
      </c>
      <c r="L578" s="39">
        <v>45138</v>
      </c>
      <c r="M578" t="s">
        <v>207</v>
      </c>
    </row>
    <row r="579" spans="11:13" x14ac:dyDescent="0.2">
      <c r="K579" s="39">
        <v>45139</v>
      </c>
      <c r="L579" s="39">
        <v>45139</v>
      </c>
      <c r="M579" t="s">
        <v>207</v>
      </c>
    </row>
    <row r="580" spans="11:13" x14ac:dyDescent="0.2">
      <c r="K580" s="39">
        <v>45140</v>
      </c>
      <c r="L580" s="39">
        <v>45140</v>
      </c>
      <c r="M580" t="s">
        <v>207</v>
      </c>
    </row>
    <row r="581" spans="11:13" x14ac:dyDescent="0.2">
      <c r="K581" s="39">
        <v>45141</v>
      </c>
      <c r="L581" s="39">
        <v>45141</v>
      </c>
      <c r="M581" t="s">
        <v>207</v>
      </c>
    </row>
    <row r="582" spans="11:13" x14ac:dyDescent="0.2">
      <c r="K582" s="39">
        <v>45142</v>
      </c>
      <c r="L582" s="39">
        <v>45142</v>
      </c>
      <c r="M582" t="s">
        <v>207</v>
      </c>
    </row>
    <row r="583" spans="11:13" x14ac:dyDescent="0.2">
      <c r="K583" s="39">
        <v>45143</v>
      </c>
      <c r="L583" s="39">
        <v>45143</v>
      </c>
      <c r="M583" t="s">
        <v>208</v>
      </c>
    </row>
    <row r="584" spans="11:13" x14ac:dyDescent="0.2">
      <c r="K584" s="39">
        <v>45144</v>
      </c>
      <c r="L584" s="39">
        <v>45144</v>
      </c>
      <c r="M584" t="s">
        <v>208</v>
      </c>
    </row>
    <row r="585" spans="11:13" x14ac:dyDescent="0.2">
      <c r="K585" s="39">
        <v>45145</v>
      </c>
      <c r="L585" s="39">
        <v>45145</v>
      </c>
      <c r="M585" t="s">
        <v>208</v>
      </c>
    </row>
    <row r="586" spans="11:13" x14ac:dyDescent="0.2">
      <c r="K586" s="39">
        <v>45146</v>
      </c>
      <c r="L586" s="39">
        <v>45146</v>
      </c>
      <c r="M586" t="s">
        <v>208</v>
      </c>
    </row>
    <row r="587" spans="11:13" x14ac:dyDescent="0.2">
      <c r="K587" s="39">
        <v>45147</v>
      </c>
      <c r="L587" s="39">
        <v>45147</v>
      </c>
      <c r="M587" t="s">
        <v>208</v>
      </c>
    </row>
    <row r="588" spans="11:13" x14ac:dyDescent="0.2">
      <c r="K588" s="39">
        <v>45148</v>
      </c>
      <c r="L588" s="39">
        <v>45148</v>
      </c>
      <c r="M588" t="s">
        <v>208</v>
      </c>
    </row>
    <row r="589" spans="11:13" x14ac:dyDescent="0.2">
      <c r="K589" s="39">
        <v>45149</v>
      </c>
      <c r="L589" s="39">
        <v>45149</v>
      </c>
      <c r="M589" t="s">
        <v>208</v>
      </c>
    </row>
    <row r="590" spans="11:13" x14ac:dyDescent="0.2">
      <c r="K590" s="39">
        <v>45150</v>
      </c>
      <c r="L590" s="39">
        <v>45150</v>
      </c>
      <c r="M590" t="s">
        <v>209</v>
      </c>
    </row>
    <row r="591" spans="11:13" x14ac:dyDescent="0.2">
      <c r="K591" s="39">
        <v>45151</v>
      </c>
      <c r="L591" s="39">
        <v>45151</v>
      </c>
      <c r="M591" t="s">
        <v>209</v>
      </c>
    </row>
    <row r="592" spans="11:13" x14ac:dyDescent="0.2">
      <c r="K592" s="39">
        <v>45152</v>
      </c>
      <c r="L592" s="39">
        <v>45152</v>
      </c>
      <c r="M592" t="s">
        <v>209</v>
      </c>
    </row>
    <row r="593" spans="11:13" x14ac:dyDescent="0.2">
      <c r="K593" s="39">
        <v>45153</v>
      </c>
      <c r="L593" s="39">
        <v>45153</v>
      </c>
      <c r="M593" t="s">
        <v>209</v>
      </c>
    </row>
    <row r="594" spans="11:13" x14ac:dyDescent="0.2">
      <c r="K594" s="39">
        <v>45154</v>
      </c>
      <c r="L594" s="39">
        <v>45154</v>
      </c>
      <c r="M594" t="s">
        <v>209</v>
      </c>
    </row>
    <row r="595" spans="11:13" x14ac:dyDescent="0.2">
      <c r="K595" s="39">
        <v>45155</v>
      </c>
      <c r="L595" s="39">
        <v>45155</v>
      </c>
      <c r="M595" t="s">
        <v>209</v>
      </c>
    </row>
    <row r="596" spans="11:13" x14ac:dyDescent="0.2">
      <c r="K596" s="39">
        <v>45156</v>
      </c>
      <c r="L596" s="39">
        <v>45156</v>
      </c>
      <c r="M596" t="s">
        <v>209</v>
      </c>
    </row>
    <row r="597" spans="11:13" x14ac:dyDescent="0.2">
      <c r="K597" s="39">
        <v>45157</v>
      </c>
      <c r="L597" s="39">
        <v>45157</v>
      </c>
      <c r="M597" t="s">
        <v>210</v>
      </c>
    </row>
    <row r="598" spans="11:13" x14ac:dyDescent="0.2">
      <c r="K598" s="39">
        <v>45158</v>
      </c>
      <c r="L598" s="39">
        <v>45158</v>
      </c>
      <c r="M598" t="s">
        <v>210</v>
      </c>
    </row>
    <row r="599" spans="11:13" x14ac:dyDescent="0.2">
      <c r="K599" s="39">
        <v>45159</v>
      </c>
      <c r="L599" s="39">
        <v>45159</v>
      </c>
      <c r="M599" t="s">
        <v>210</v>
      </c>
    </row>
    <row r="600" spans="11:13" x14ac:dyDescent="0.2">
      <c r="K600" s="39">
        <v>45160</v>
      </c>
      <c r="L600" s="39">
        <v>45160</v>
      </c>
      <c r="M600" t="s">
        <v>210</v>
      </c>
    </row>
    <row r="601" spans="11:13" x14ac:dyDescent="0.2">
      <c r="K601" s="39">
        <v>45161</v>
      </c>
      <c r="L601" s="39">
        <v>45161</v>
      </c>
      <c r="M601" t="s">
        <v>210</v>
      </c>
    </row>
    <row r="602" spans="11:13" x14ac:dyDescent="0.2">
      <c r="K602" s="39">
        <v>45162</v>
      </c>
      <c r="L602" s="39">
        <v>45162</v>
      </c>
      <c r="M602" t="s">
        <v>210</v>
      </c>
    </row>
    <row r="603" spans="11:13" x14ac:dyDescent="0.2">
      <c r="K603" s="39">
        <v>45163</v>
      </c>
      <c r="L603" s="39">
        <v>45163</v>
      </c>
      <c r="M603" t="s">
        <v>210</v>
      </c>
    </row>
    <row r="604" spans="11:13" x14ac:dyDescent="0.2">
      <c r="K604" s="39">
        <v>45164</v>
      </c>
      <c r="L604" s="39">
        <v>45164</v>
      </c>
      <c r="M604" t="s">
        <v>211</v>
      </c>
    </row>
    <row r="605" spans="11:13" x14ac:dyDescent="0.2">
      <c r="K605" s="39">
        <v>45165</v>
      </c>
      <c r="L605" s="39">
        <v>45165</v>
      </c>
      <c r="M605" t="s">
        <v>211</v>
      </c>
    </row>
    <row r="606" spans="11:13" x14ac:dyDescent="0.2">
      <c r="K606" s="39">
        <v>45166</v>
      </c>
      <c r="L606" s="39">
        <v>45166</v>
      </c>
      <c r="M606" t="s">
        <v>211</v>
      </c>
    </row>
    <row r="607" spans="11:13" x14ac:dyDescent="0.2">
      <c r="K607" s="39">
        <v>45167</v>
      </c>
      <c r="L607" s="39">
        <v>45167</v>
      </c>
      <c r="M607" t="s">
        <v>211</v>
      </c>
    </row>
    <row r="608" spans="11:13" x14ac:dyDescent="0.2">
      <c r="K608" s="39">
        <v>45168</v>
      </c>
      <c r="L608" s="39">
        <v>45168</v>
      </c>
      <c r="M608" t="s">
        <v>211</v>
      </c>
    </row>
    <row r="609" spans="11:13" x14ac:dyDescent="0.2">
      <c r="K609" s="39">
        <v>45169</v>
      </c>
      <c r="L609" s="39">
        <v>45169</v>
      </c>
      <c r="M609" t="s">
        <v>211</v>
      </c>
    </row>
    <row r="610" spans="11:13" x14ac:dyDescent="0.2">
      <c r="K610" s="39">
        <v>45170</v>
      </c>
      <c r="L610" s="39">
        <v>45170</v>
      </c>
      <c r="M610" t="s">
        <v>211</v>
      </c>
    </row>
    <row r="611" spans="11:13" x14ac:dyDescent="0.2">
      <c r="K611" s="39">
        <v>45171</v>
      </c>
      <c r="L611" s="39">
        <v>45171</v>
      </c>
      <c r="M611" t="s">
        <v>212</v>
      </c>
    </row>
    <row r="612" spans="11:13" x14ac:dyDescent="0.2">
      <c r="K612" s="39">
        <v>45172</v>
      </c>
      <c r="L612" s="39">
        <v>45172</v>
      </c>
      <c r="M612" t="s">
        <v>212</v>
      </c>
    </row>
    <row r="613" spans="11:13" x14ac:dyDescent="0.2">
      <c r="K613" s="39">
        <v>45173</v>
      </c>
      <c r="L613" s="39">
        <v>45173</v>
      </c>
      <c r="M613" t="s">
        <v>212</v>
      </c>
    </row>
    <row r="614" spans="11:13" x14ac:dyDescent="0.2">
      <c r="K614" s="39">
        <v>45174</v>
      </c>
      <c r="L614" s="39">
        <v>45174</v>
      </c>
      <c r="M614" t="s">
        <v>212</v>
      </c>
    </row>
    <row r="615" spans="11:13" x14ac:dyDescent="0.2">
      <c r="K615" s="39">
        <v>45175</v>
      </c>
      <c r="L615" s="39">
        <v>45175</v>
      </c>
      <c r="M615" t="s">
        <v>212</v>
      </c>
    </row>
    <row r="616" spans="11:13" x14ac:dyDescent="0.2">
      <c r="K616" s="39">
        <v>45176</v>
      </c>
      <c r="L616" s="39">
        <v>45176</v>
      </c>
      <c r="M616" t="s">
        <v>212</v>
      </c>
    </row>
    <row r="617" spans="11:13" x14ac:dyDescent="0.2">
      <c r="K617" s="39">
        <v>45177</v>
      </c>
      <c r="L617" s="39">
        <v>45177</v>
      </c>
      <c r="M617" t="s">
        <v>212</v>
      </c>
    </row>
    <row r="618" spans="11:13" x14ac:dyDescent="0.2">
      <c r="K618" s="39">
        <v>45178</v>
      </c>
      <c r="L618" s="39">
        <v>45178</v>
      </c>
      <c r="M618" t="s">
        <v>213</v>
      </c>
    </row>
    <row r="619" spans="11:13" x14ac:dyDescent="0.2">
      <c r="K619" s="39">
        <v>45179</v>
      </c>
      <c r="L619" s="39">
        <v>45179</v>
      </c>
      <c r="M619" t="s">
        <v>213</v>
      </c>
    </row>
    <row r="620" spans="11:13" x14ac:dyDescent="0.2">
      <c r="K620" s="39">
        <v>45180</v>
      </c>
      <c r="L620" s="39">
        <v>45180</v>
      </c>
      <c r="M620" t="s">
        <v>213</v>
      </c>
    </row>
    <row r="621" spans="11:13" x14ac:dyDescent="0.2">
      <c r="K621" s="39">
        <v>45181</v>
      </c>
      <c r="L621" s="39">
        <v>45181</v>
      </c>
      <c r="M621" t="s">
        <v>213</v>
      </c>
    </row>
    <row r="622" spans="11:13" x14ac:dyDescent="0.2">
      <c r="K622" s="39">
        <v>45182</v>
      </c>
      <c r="L622" s="39">
        <v>45182</v>
      </c>
      <c r="M622" t="s">
        <v>213</v>
      </c>
    </row>
    <row r="623" spans="11:13" x14ac:dyDescent="0.2">
      <c r="K623" s="39">
        <v>45183</v>
      </c>
      <c r="L623" s="39">
        <v>45183</v>
      </c>
      <c r="M623" t="s">
        <v>213</v>
      </c>
    </row>
    <row r="624" spans="11:13" x14ac:dyDescent="0.2">
      <c r="K624" s="39">
        <v>45184</v>
      </c>
      <c r="L624" s="39">
        <v>45184</v>
      </c>
      <c r="M624" t="s">
        <v>213</v>
      </c>
    </row>
    <row r="625" spans="11:13" x14ac:dyDescent="0.2">
      <c r="K625" s="39">
        <v>45185</v>
      </c>
      <c r="L625" s="39">
        <v>45185</v>
      </c>
      <c r="M625" t="s">
        <v>214</v>
      </c>
    </row>
    <row r="626" spans="11:13" x14ac:dyDescent="0.2">
      <c r="K626" s="39">
        <v>45186</v>
      </c>
      <c r="L626" s="39">
        <v>45186</v>
      </c>
      <c r="M626" t="s">
        <v>214</v>
      </c>
    </row>
    <row r="627" spans="11:13" x14ac:dyDescent="0.2">
      <c r="K627" s="39">
        <v>45187</v>
      </c>
      <c r="L627" s="39">
        <v>45187</v>
      </c>
      <c r="M627" t="s">
        <v>214</v>
      </c>
    </row>
    <row r="628" spans="11:13" x14ac:dyDescent="0.2">
      <c r="K628" s="39">
        <v>45188</v>
      </c>
      <c r="L628" s="39">
        <v>45188</v>
      </c>
      <c r="M628" t="s">
        <v>214</v>
      </c>
    </row>
    <row r="629" spans="11:13" x14ac:dyDescent="0.2">
      <c r="K629" s="39">
        <v>45189</v>
      </c>
      <c r="L629" s="39">
        <v>45189</v>
      </c>
      <c r="M629" t="s">
        <v>214</v>
      </c>
    </row>
    <row r="630" spans="11:13" x14ac:dyDescent="0.2">
      <c r="K630" s="39">
        <v>45190</v>
      </c>
      <c r="L630" s="39">
        <v>45190</v>
      </c>
      <c r="M630" t="s">
        <v>214</v>
      </c>
    </row>
    <row r="631" spans="11:13" x14ac:dyDescent="0.2">
      <c r="K631" s="39">
        <v>45191</v>
      </c>
      <c r="L631" s="39">
        <v>45191</v>
      </c>
      <c r="M631" t="s">
        <v>214</v>
      </c>
    </row>
    <row r="632" spans="11:13" x14ac:dyDescent="0.2">
      <c r="K632" s="39">
        <v>45192</v>
      </c>
      <c r="L632" s="39">
        <v>45192</v>
      </c>
      <c r="M632" t="s">
        <v>215</v>
      </c>
    </row>
    <row r="633" spans="11:13" x14ac:dyDescent="0.2">
      <c r="K633" s="39">
        <v>45193</v>
      </c>
      <c r="L633" s="39">
        <v>45193</v>
      </c>
      <c r="M633" t="s">
        <v>215</v>
      </c>
    </row>
    <row r="634" spans="11:13" x14ac:dyDescent="0.2">
      <c r="K634" s="39">
        <v>45194</v>
      </c>
      <c r="L634" s="39">
        <v>45194</v>
      </c>
      <c r="M634" t="s">
        <v>215</v>
      </c>
    </row>
    <row r="635" spans="11:13" x14ac:dyDescent="0.2">
      <c r="K635" s="39">
        <v>45195</v>
      </c>
      <c r="L635" s="39">
        <v>45195</v>
      </c>
      <c r="M635" t="s">
        <v>215</v>
      </c>
    </row>
    <row r="636" spans="11:13" x14ac:dyDescent="0.2">
      <c r="K636" s="39">
        <v>45196</v>
      </c>
      <c r="L636" s="39">
        <v>45196</v>
      </c>
      <c r="M636" t="s">
        <v>215</v>
      </c>
    </row>
    <row r="637" spans="11:13" x14ac:dyDescent="0.2">
      <c r="K637" s="39">
        <v>45197</v>
      </c>
      <c r="L637" s="39">
        <v>45197</v>
      </c>
      <c r="M637" t="s">
        <v>215</v>
      </c>
    </row>
    <row r="638" spans="11:13" x14ac:dyDescent="0.2">
      <c r="K638" s="39">
        <v>45198</v>
      </c>
      <c r="L638" s="39">
        <v>45198</v>
      </c>
      <c r="M638" t="s">
        <v>215</v>
      </c>
    </row>
    <row r="639" spans="11:13" x14ac:dyDescent="0.2">
      <c r="K639" s="39">
        <v>45199</v>
      </c>
      <c r="L639" s="39">
        <v>45199</v>
      </c>
      <c r="M639" t="s">
        <v>216</v>
      </c>
    </row>
    <row r="640" spans="11:13" x14ac:dyDescent="0.2">
      <c r="K640" s="39">
        <v>45200</v>
      </c>
      <c r="L640" s="39">
        <v>45200</v>
      </c>
      <c r="M640" t="s">
        <v>216</v>
      </c>
    </row>
    <row r="641" spans="11:13" x14ac:dyDescent="0.2">
      <c r="K641" s="39">
        <v>45201</v>
      </c>
      <c r="L641" s="39">
        <v>45201</v>
      </c>
      <c r="M641" t="s">
        <v>216</v>
      </c>
    </row>
    <row r="642" spans="11:13" x14ac:dyDescent="0.2">
      <c r="K642" s="39">
        <v>45202</v>
      </c>
      <c r="L642" s="39">
        <v>45202</v>
      </c>
      <c r="M642" t="s">
        <v>216</v>
      </c>
    </row>
    <row r="643" spans="11:13" x14ac:dyDescent="0.2">
      <c r="K643" s="39">
        <v>45203</v>
      </c>
      <c r="L643" s="39">
        <v>45203</v>
      </c>
      <c r="M643" t="s">
        <v>216</v>
      </c>
    </row>
    <row r="644" spans="11:13" x14ac:dyDescent="0.2">
      <c r="K644" s="39">
        <v>45204</v>
      </c>
      <c r="L644" s="39">
        <v>45204</v>
      </c>
      <c r="M644" t="s">
        <v>216</v>
      </c>
    </row>
    <row r="645" spans="11:13" x14ac:dyDescent="0.2">
      <c r="K645" s="39">
        <v>45205</v>
      </c>
      <c r="L645" s="39">
        <v>45205</v>
      </c>
      <c r="M645" t="s">
        <v>216</v>
      </c>
    </row>
    <row r="646" spans="11:13" x14ac:dyDescent="0.2">
      <c r="K646" s="39">
        <v>45206</v>
      </c>
      <c r="L646" s="39">
        <v>45206</v>
      </c>
      <c r="M646" t="s">
        <v>217</v>
      </c>
    </row>
    <row r="647" spans="11:13" x14ac:dyDescent="0.2">
      <c r="K647" s="39">
        <v>45207</v>
      </c>
      <c r="L647" s="39">
        <v>45207</v>
      </c>
      <c r="M647" t="s">
        <v>217</v>
      </c>
    </row>
    <row r="648" spans="11:13" x14ac:dyDescent="0.2">
      <c r="K648" s="39">
        <v>45208</v>
      </c>
      <c r="L648" s="39">
        <v>45208</v>
      </c>
      <c r="M648" t="s">
        <v>217</v>
      </c>
    </row>
    <row r="649" spans="11:13" x14ac:dyDescent="0.2">
      <c r="K649" s="39">
        <v>45209</v>
      </c>
      <c r="L649" s="39">
        <v>45209</v>
      </c>
      <c r="M649" t="s">
        <v>217</v>
      </c>
    </row>
    <row r="650" spans="11:13" x14ac:dyDescent="0.2">
      <c r="K650" s="39">
        <v>45210</v>
      </c>
      <c r="L650" s="39">
        <v>45210</v>
      </c>
      <c r="M650" t="s">
        <v>217</v>
      </c>
    </row>
    <row r="651" spans="11:13" x14ac:dyDescent="0.2">
      <c r="K651" s="39">
        <v>45211</v>
      </c>
      <c r="L651" s="39">
        <v>45211</v>
      </c>
      <c r="M651" t="s">
        <v>217</v>
      </c>
    </row>
    <row r="652" spans="11:13" x14ac:dyDescent="0.2">
      <c r="K652" s="39">
        <v>45212</v>
      </c>
      <c r="L652" s="39">
        <v>45212</v>
      </c>
      <c r="M652" t="s">
        <v>217</v>
      </c>
    </row>
    <row r="653" spans="11:13" x14ac:dyDescent="0.2">
      <c r="K653" s="39">
        <v>45213</v>
      </c>
      <c r="L653" s="39">
        <v>45213</v>
      </c>
      <c r="M653" t="s">
        <v>218</v>
      </c>
    </row>
    <row r="654" spans="11:13" x14ac:dyDescent="0.2">
      <c r="K654" s="39">
        <v>45214</v>
      </c>
      <c r="L654" s="39">
        <v>45214</v>
      </c>
      <c r="M654" t="s">
        <v>218</v>
      </c>
    </row>
    <row r="655" spans="11:13" x14ac:dyDescent="0.2">
      <c r="K655" s="39">
        <v>45215</v>
      </c>
      <c r="L655" s="39">
        <v>45215</v>
      </c>
      <c r="M655" t="s">
        <v>218</v>
      </c>
    </row>
    <row r="656" spans="11:13" x14ac:dyDescent="0.2">
      <c r="K656" s="39">
        <v>45216</v>
      </c>
      <c r="L656" s="39">
        <v>45216</v>
      </c>
      <c r="M656" t="s">
        <v>218</v>
      </c>
    </row>
    <row r="657" spans="11:13" x14ac:dyDescent="0.2">
      <c r="K657" s="39">
        <v>45217</v>
      </c>
      <c r="L657" s="39">
        <v>45217</v>
      </c>
      <c r="M657" t="s">
        <v>218</v>
      </c>
    </row>
    <row r="658" spans="11:13" x14ac:dyDescent="0.2">
      <c r="K658" s="39">
        <v>45218</v>
      </c>
      <c r="L658" s="39">
        <v>45218</v>
      </c>
      <c r="M658" t="s">
        <v>218</v>
      </c>
    </row>
    <row r="659" spans="11:13" x14ac:dyDescent="0.2">
      <c r="K659" s="39">
        <v>45219</v>
      </c>
      <c r="L659" s="39">
        <v>45219</v>
      </c>
      <c r="M659" t="s">
        <v>218</v>
      </c>
    </row>
    <row r="660" spans="11:13" x14ac:dyDescent="0.2">
      <c r="K660" s="39">
        <v>45220</v>
      </c>
      <c r="L660" s="39">
        <v>45220</v>
      </c>
      <c r="M660" t="s">
        <v>219</v>
      </c>
    </row>
    <row r="661" spans="11:13" x14ac:dyDescent="0.2">
      <c r="K661" s="39">
        <v>45221</v>
      </c>
      <c r="L661" s="39">
        <v>45221</v>
      </c>
      <c r="M661" t="s">
        <v>219</v>
      </c>
    </row>
    <row r="662" spans="11:13" x14ac:dyDescent="0.2">
      <c r="K662" s="39">
        <v>45222</v>
      </c>
      <c r="L662" s="39">
        <v>45222</v>
      </c>
      <c r="M662" t="s">
        <v>219</v>
      </c>
    </row>
    <row r="663" spans="11:13" x14ac:dyDescent="0.2">
      <c r="K663" s="39">
        <v>45223</v>
      </c>
      <c r="L663" s="39">
        <v>45223</v>
      </c>
      <c r="M663" t="s">
        <v>219</v>
      </c>
    </row>
    <row r="664" spans="11:13" x14ac:dyDescent="0.2">
      <c r="K664" s="39">
        <v>45224</v>
      </c>
      <c r="L664" s="39">
        <v>45224</v>
      </c>
      <c r="M664" t="s">
        <v>219</v>
      </c>
    </row>
    <row r="665" spans="11:13" x14ac:dyDescent="0.2">
      <c r="K665" s="39">
        <v>45225</v>
      </c>
      <c r="L665" s="39">
        <v>45225</v>
      </c>
      <c r="M665" t="s">
        <v>219</v>
      </c>
    </row>
    <row r="666" spans="11:13" x14ac:dyDescent="0.2">
      <c r="K666" s="39">
        <v>45226</v>
      </c>
      <c r="L666" s="39">
        <v>45226</v>
      </c>
      <c r="M666" t="s">
        <v>219</v>
      </c>
    </row>
    <row r="667" spans="11:13" x14ac:dyDescent="0.2">
      <c r="K667" s="39">
        <v>45227</v>
      </c>
      <c r="L667" s="39">
        <v>45227</v>
      </c>
      <c r="M667" t="s">
        <v>220</v>
      </c>
    </row>
    <row r="668" spans="11:13" x14ac:dyDescent="0.2">
      <c r="K668" s="39">
        <v>45228</v>
      </c>
      <c r="L668" s="39">
        <v>45228</v>
      </c>
      <c r="M668" t="s">
        <v>220</v>
      </c>
    </row>
    <row r="669" spans="11:13" x14ac:dyDescent="0.2">
      <c r="K669" s="39">
        <v>45229</v>
      </c>
      <c r="L669" s="39">
        <v>45229</v>
      </c>
      <c r="M669" t="s">
        <v>220</v>
      </c>
    </row>
    <row r="670" spans="11:13" x14ac:dyDescent="0.2">
      <c r="K670" s="39">
        <v>45230</v>
      </c>
      <c r="L670" s="39">
        <v>45230</v>
      </c>
      <c r="M670" t="s">
        <v>220</v>
      </c>
    </row>
    <row r="671" spans="11:13" x14ac:dyDescent="0.2">
      <c r="K671" s="39">
        <v>45231</v>
      </c>
      <c r="L671" s="39">
        <v>45231</v>
      </c>
      <c r="M671" t="s">
        <v>220</v>
      </c>
    </row>
    <row r="672" spans="11:13" x14ac:dyDescent="0.2">
      <c r="K672" s="39">
        <v>45232</v>
      </c>
      <c r="L672" s="39">
        <v>45232</v>
      </c>
      <c r="M672" t="s">
        <v>220</v>
      </c>
    </row>
    <row r="673" spans="11:13" x14ac:dyDescent="0.2">
      <c r="K673" s="39">
        <v>45233</v>
      </c>
      <c r="L673" s="39">
        <v>45233</v>
      </c>
      <c r="M673" t="s">
        <v>220</v>
      </c>
    </row>
    <row r="674" spans="11:13" x14ac:dyDescent="0.2">
      <c r="K674" s="39">
        <v>45234</v>
      </c>
      <c r="L674" s="39">
        <v>45234</v>
      </c>
      <c r="M674" t="s">
        <v>221</v>
      </c>
    </row>
    <row r="675" spans="11:13" x14ac:dyDescent="0.2">
      <c r="K675" s="39">
        <v>45235</v>
      </c>
      <c r="L675" s="39">
        <v>45235</v>
      </c>
      <c r="M675" t="s">
        <v>221</v>
      </c>
    </row>
    <row r="676" spans="11:13" x14ac:dyDescent="0.2">
      <c r="K676" s="39">
        <v>45236</v>
      </c>
      <c r="L676" s="39">
        <v>45236</v>
      </c>
      <c r="M676" t="s">
        <v>221</v>
      </c>
    </row>
    <row r="677" spans="11:13" x14ac:dyDescent="0.2">
      <c r="K677" s="39">
        <v>45237</v>
      </c>
      <c r="L677" s="39">
        <v>45237</v>
      </c>
      <c r="M677" t="s">
        <v>221</v>
      </c>
    </row>
    <row r="678" spans="11:13" x14ac:dyDescent="0.2">
      <c r="K678" s="39">
        <v>45238</v>
      </c>
      <c r="L678" s="39">
        <v>45238</v>
      </c>
      <c r="M678" t="s">
        <v>221</v>
      </c>
    </row>
    <row r="679" spans="11:13" x14ac:dyDescent="0.2">
      <c r="K679" s="39">
        <v>45239</v>
      </c>
      <c r="L679" s="39">
        <v>45239</v>
      </c>
      <c r="M679" t="s">
        <v>221</v>
      </c>
    </row>
    <row r="680" spans="11:13" x14ac:dyDescent="0.2">
      <c r="K680" s="39">
        <v>45240</v>
      </c>
      <c r="L680" s="39">
        <v>45240</v>
      </c>
      <c r="M680" t="s">
        <v>221</v>
      </c>
    </row>
    <row r="681" spans="11:13" x14ac:dyDescent="0.2">
      <c r="K681" s="39">
        <v>45241</v>
      </c>
      <c r="L681" s="39">
        <v>45241</v>
      </c>
      <c r="M681" t="s">
        <v>222</v>
      </c>
    </row>
    <row r="682" spans="11:13" x14ac:dyDescent="0.2">
      <c r="K682" s="39">
        <v>45242</v>
      </c>
      <c r="L682" s="39">
        <v>45242</v>
      </c>
      <c r="M682" t="s">
        <v>222</v>
      </c>
    </row>
    <row r="683" spans="11:13" x14ac:dyDescent="0.2">
      <c r="K683" s="39">
        <v>45243</v>
      </c>
      <c r="L683" s="39">
        <v>45243</v>
      </c>
      <c r="M683" t="s">
        <v>222</v>
      </c>
    </row>
    <row r="684" spans="11:13" x14ac:dyDescent="0.2">
      <c r="K684" s="39">
        <v>45244</v>
      </c>
      <c r="L684" s="39">
        <v>45244</v>
      </c>
      <c r="M684" t="s">
        <v>222</v>
      </c>
    </row>
    <row r="685" spans="11:13" x14ac:dyDescent="0.2">
      <c r="K685" s="39">
        <v>45245</v>
      </c>
      <c r="L685" s="39">
        <v>45245</v>
      </c>
      <c r="M685" t="s">
        <v>222</v>
      </c>
    </row>
    <row r="686" spans="11:13" x14ac:dyDescent="0.2">
      <c r="K686" s="39">
        <v>45246</v>
      </c>
      <c r="L686" s="39">
        <v>45246</v>
      </c>
      <c r="M686" t="s">
        <v>222</v>
      </c>
    </row>
    <row r="687" spans="11:13" x14ac:dyDescent="0.2">
      <c r="K687" s="39">
        <v>45247</v>
      </c>
      <c r="L687" s="39">
        <v>45247</v>
      </c>
      <c r="M687" t="s">
        <v>222</v>
      </c>
    </row>
    <row r="688" spans="11:13" x14ac:dyDescent="0.2">
      <c r="K688" s="39">
        <v>45248</v>
      </c>
      <c r="L688" s="39">
        <v>45248</v>
      </c>
      <c r="M688" t="s">
        <v>223</v>
      </c>
    </row>
    <row r="689" spans="11:13" x14ac:dyDescent="0.2">
      <c r="K689" s="39">
        <v>45249</v>
      </c>
      <c r="L689" s="39">
        <v>45249</v>
      </c>
      <c r="M689" t="s">
        <v>223</v>
      </c>
    </row>
    <row r="690" spans="11:13" x14ac:dyDescent="0.2">
      <c r="K690" s="39">
        <v>45250</v>
      </c>
      <c r="L690" s="39">
        <v>45250</v>
      </c>
      <c r="M690" t="s">
        <v>223</v>
      </c>
    </row>
    <row r="691" spans="11:13" x14ac:dyDescent="0.2">
      <c r="K691" s="39">
        <v>45251</v>
      </c>
      <c r="L691" s="39">
        <v>45251</v>
      </c>
      <c r="M691" t="s">
        <v>223</v>
      </c>
    </row>
    <row r="692" spans="11:13" x14ac:dyDescent="0.2">
      <c r="K692" s="39">
        <v>45252</v>
      </c>
      <c r="L692" s="39">
        <v>45252</v>
      </c>
      <c r="M692" t="s">
        <v>223</v>
      </c>
    </row>
    <row r="693" spans="11:13" x14ac:dyDescent="0.2">
      <c r="K693" s="39">
        <v>45253</v>
      </c>
      <c r="L693" s="39">
        <v>45253</v>
      </c>
      <c r="M693" t="s">
        <v>223</v>
      </c>
    </row>
    <row r="694" spans="11:13" x14ac:dyDescent="0.2">
      <c r="K694" s="39">
        <v>45254</v>
      </c>
      <c r="L694" s="39">
        <v>45254</v>
      </c>
      <c r="M694" t="s">
        <v>223</v>
      </c>
    </row>
    <row r="695" spans="11:13" x14ac:dyDescent="0.2">
      <c r="K695" s="39">
        <v>45255</v>
      </c>
      <c r="L695" s="39">
        <v>45255</v>
      </c>
      <c r="M695" t="s">
        <v>224</v>
      </c>
    </row>
    <row r="696" spans="11:13" x14ac:dyDescent="0.2">
      <c r="K696" s="39">
        <v>45256</v>
      </c>
      <c r="L696" s="39">
        <v>45256</v>
      </c>
      <c r="M696" t="s">
        <v>224</v>
      </c>
    </row>
    <row r="697" spans="11:13" x14ac:dyDescent="0.2">
      <c r="K697" s="39">
        <v>45257</v>
      </c>
      <c r="L697" s="39">
        <v>45257</v>
      </c>
      <c r="M697" t="s">
        <v>224</v>
      </c>
    </row>
    <row r="698" spans="11:13" x14ac:dyDescent="0.2">
      <c r="K698" s="39">
        <v>45258</v>
      </c>
      <c r="L698" s="39">
        <v>45258</v>
      </c>
      <c r="M698" t="s">
        <v>224</v>
      </c>
    </row>
    <row r="699" spans="11:13" x14ac:dyDescent="0.2">
      <c r="K699" s="39">
        <v>45259</v>
      </c>
      <c r="L699" s="39">
        <v>45259</v>
      </c>
      <c r="M699" t="s">
        <v>224</v>
      </c>
    </row>
    <row r="700" spans="11:13" x14ac:dyDescent="0.2">
      <c r="K700" s="39">
        <v>45260</v>
      </c>
      <c r="L700" s="39">
        <v>45260</v>
      </c>
      <c r="M700" t="s">
        <v>224</v>
      </c>
    </row>
    <row r="701" spans="11:13" x14ac:dyDescent="0.2">
      <c r="K701" s="39">
        <v>45261</v>
      </c>
      <c r="L701" s="39">
        <v>45261</v>
      </c>
      <c r="M701" t="s">
        <v>224</v>
      </c>
    </row>
    <row r="702" spans="11:13" x14ac:dyDescent="0.2">
      <c r="K702" s="39">
        <v>45262</v>
      </c>
      <c r="L702" s="39">
        <v>45262</v>
      </c>
      <c r="M702" t="s">
        <v>225</v>
      </c>
    </row>
    <row r="703" spans="11:13" x14ac:dyDescent="0.2">
      <c r="K703" s="39">
        <v>45263</v>
      </c>
      <c r="L703" s="39">
        <v>45263</v>
      </c>
      <c r="M703" t="s">
        <v>225</v>
      </c>
    </row>
    <row r="704" spans="11:13" x14ac:dyDescent="0.2">
      <c r="K704" s="39">
        <v>45264</v>
      </c>
      <c r="L704" s="39">
        <v>45264</v>
      </c>
      <c r="M704" t="s">
        <v>225</v>
      </c>
    </row>
    <row r="705" spans="11:13" x14ac:dyDescent="0.2">
      <c r="K705" s="39">
        <v>45265</v>
      </c>
      <c r="L705" s="39">
        <v>45265</v>
      </c>
      <c r="M705" t="s">
        <v>225</v>
      </c>
    </row>
    <row r="706" spans="11:13" x14ac:dyDescent="0.2">
      <c r="K706" s="39">
        <v>45266</v>
      </c>
      <c r="L706" s="39">
        <v>45266</v>
      </c>
      <c r="M706" t="s">
        <v>225</v>
      </c>
    </row>
    <row r="707" spans="11:13" x14ac:dyDescent="0.2">
      <c r="K707" s="39">
        <v>45267</v>
      </c>
      <c r="L707" s="39">
        <v>45267</v>
      </c>
      <c r="M707" t="s">
        <v>225</v>
      </c>
    </row>
    <row r="708" spans="11:13" x14ac:dyDescent="0.2">
      <c r="K708" s="39">
        <v>45268</v>
      </c>
      <c r="L708" s="39">
        <v>45268</v>
      </c>
      <c r="M708" t="s">
        <v>225</v>
      </c>
    </row>
    <row r="709" spans="11:13" x14ac:dyDescent="0.2">
      <c r="K709" s="39">
        <v>45269</v>
      </c>
      <c r="L709" s="39">
        <v>45269</v>
      </c>
      <c r="M709" t="s">
        <v>226</v>
      </c>
    </row>
    <row r="710" spans="11:13" x14ac:dyDescent="0.2">
      <c r="K710" s="39">
        <v>45270</v>
      </c>
      <c r="L710" s="39">
        <v>45270</v>
      </c>
      <c r="M710" t="s">
        <v>226</v>
      </c>
    </row>
    <row r="711" spans="11:13" x14ac:dyDescent="0.2">
      <c r="K711" s="39">
        <v>45271</v>
      </c>
      <c r="L711" s="39">
        <v>45271</v>
      </c>
      <c r="M711" t="s">
        <v>226</v>
      </c>
    </row>
    <row r="712" spans="11:13" x14ac:dyDescent="0.2">
      <c r="K712" s="39">
        <v>45272</v>
      </c>
      <c r="L712" s="39">
        <v>45272</v>
      </c>
      <c r="M712" t="s">
        <v>226</v>
      </c>
    </row>
    <row r="713" spans="11:13" x14ac:dyDescent="0.2">
      <c r="K713" s="39">
        <v>45273</v>
      </c>
      <c r="L713" s="39">
        <v>45273</v>
      </c>
      <c r="M713" t="s">
        <v>226</v>
      </c>
    </row>
    <row r="714" spans="11:13" x14ac:dyDescent="0.2">
      <c r="K714" s="39">
        <v>45274</v>
      </c>
      <c r="L714" s="39">
        <v>45274</v>
      </c>
      <c r="M714" t="s">
        <v>226</v>
      </c>
    </row>
    <row r="715" spans="11:13" x14ac:dyDescent="0.2">
      <c r="K715" s="39">
        <v>45275</v>
      </c>
      <c r="L715" s="39">
        <v>45275</v>
      </c>
      <c r="M715" t="s">
        <v>226</v>
      </c>
    </row>
    <row r="716" spans="11:13" x14ac:dyDescent="0.2">
      <c r="K716" s="39">
        <v>45276</v>
      </c>
      <c r="L716" s="39">
        <v>45276</v>
      </c>
      <c r="M716" t="s">
        <v>227</v>
      </c>
    </row>
    <row r="717" spans="11:13" x14ac:dyDescent="0.2">
      <c r="K717" s="39">
        <v>45277</v>
      </c>
      <c r="L717" s="39">
        <v>45277</v>
      </c>
      <c r="M717" t="s">
        <v>227</v>
      </c>
    </row>
    <row r="718" spans="11:13" x14ac:dyDescent="0.2">
      <c r="K718" s="39">
        <v>45278</v>
      </c>
      <c r="L718" s="39">
        <v>45278</v>
      </c>
      <c r="M718" t="s">
        <v>227</v>
      </c>
    </row>
    <row r="719" spans="11:13" x14ac:dyDescent="0.2">
      <c r="K719" s="39">
        <v>45279</v>
      </c>
      <c r="L719" s="39">
        <v>45279</v>
      </c>
      <c r="M719" t="s">
        <v>227</v>
      </c>
    </row>
    <row r="720" spans="11:13" x14ac:dyDescent="0.2">
      <c r="K720" s="39">
        <v>45280</v>
      </c>
      <c r="L720" s="39">
        <v>45280</v>
      </c>
      <c r="M720" t="s">
        <v>227</v>
      </c>
    </row>
    <row r="721" spans="11:13" x14ac:dyDescent="0.2">
      <c r="K721" s="39">
        <v>45281</v>
      </c>
      <c r="L721" s="39">
        <v>45281</v>
      </c>
      <c r="M721" t="s">
        <v>227</v>
      </c>
    </row>
    <row r="722" spans="11:13" x14ac:dyDescent="0.2">
      <c r="K722" s="39">
        <v>45282</v>
      </c>
      <c r="L722" s="39">
        <v>45282</v>
      </c>
      <c r="M722" t="s">
        <v>227</v>
      </c>
    </row>
    <row r="723" spans="11:13" x14ac:dyDescent="0.2">
      <c r="K723" s="39">
        <v>45283</v>
      </c>
      <c r="L723" s="39">
        <v>45283</v>
      </c>
      <c r="M723" t="s">
        <v>228</v>
      </c>
    </row>
    <row r="724" spans="11:13" x14ac:dyDescent="0.2">
      <c r="K724" s="39">
        <v>45284</v>
      </c>
      <c r="L724" s="39">
        <v>45284</v>
      </c>
      <c r="M724" t="s">
        <v>228</v>
      </c>
    </row>
    <row r="725" spans="11:13" x14ac:dyDescent="0.2">
      <c r="K725" s="39">
        <v>45285</v>
      </c>
      <c r="L725" s="39">
        <v>45285</v>
      </c>
      <c r="M725" t="s">
        <v>228</v>
      </c>
    </row>
    <row r="726" spans="11:13" x14ac:dyDescent="0.2">
      <c r="K726" s="39">
        <v>45286</v>
      </c>
      <c r="L726" s="39">
        <v>45286</v>
      </c>
      <c r="M726" t="s">
        <v>228</v>
      </c>
    </row>
    <row r="727" spans="11:13" x14ac:dyDescent="0.2">
      <c r="K727" s="39">
        <v>45287</v>
      </c>
      <c r="L727" s="39">
        <v>45287</v>
      </c>
      <c r="M727" t="s">
        <v>228</v>
      </c>
    </row>
    <row r="728" spans="11:13" x14ac:dyDescent="0.2">
      <c r="K728" s="39">
        <v>45288</v>
      </c>
      <c r="L728" s="39">
        <v>45288</v>
      </c>
      <c r="M728" t="s">
        <v>228</v>
      </c>
    </row>
    <row r="729" spans="11:13" x14ac:dyDescent="0.2">
      <c r="K729" s="39">
        <v>45289</v>
      </c>
      <c r="L729" s="39">
        <v>45289</v>
      </c>
      <c r="M729" t="s">
        <v>228</v>
      </c>
    </row>
    <row r="730" spans="11:13" x14ac:dyDescent="0.2">
      <c r="K730" s="39">
        <v>45290</v>
      </c>
      <c r="L730" s="39">
        <v>45290</v>
      </c>
      <c r="M730" t="s">
        <v>229</v>
      </c>
    </row>
    <row r="731" spans="11:13" x14ac:dyDescent="0.2">
      <c r="K731" s="39">
        <v>45291</v>
      </c>
      <c r="L731" s="39">
        <v>45291</v>
      </c>
      <c r="M731" t="s">
        <v>229</v>
      </c>
    </row>
    <row r="732" spans="11:13" x14ac:dyDescent="0.2">
      <c r="K732" s="39">
        <v>45292</v>
      </c>
      <c r="L732" s="39">
        <v>45292</v>
      </c>
      <c r="M732" t="s">
        <v>229</v>
      </c>
    </row>
    <row r="733" spans="11:13" x14ac:dyDescent="0.2">
      <c r="K733" s="39">
        <v>45293</v>
      </c>
      <c r="L733" s="39">
        <v>45293</v>
      </c>
      <c r="M733" t="s">
        <v>229</v>
      </c>
    </row>
    <row r="734" spans="11:13" x14ac:dyDescent="0.2">
      <c r="K734" s="39">
        <v>45294</v>
      </c>
      <c r="L734" s="39">
        <v>45294</v>
      </c>
      <c r="M734" t="s">
        <v>229</v>
      </c>
    </row>
    <row r="735" spans="11:13" x14ac:dyDescent="0.2">
      <c r="K735" s="39">
        <v>45295</v>
      </c>
      <c r="L735" s="39">
        <v>45295</v>
      </c>
      <c r="M735" t="s">
        <v>229</v>
      </c>
    </row>
    <row r="736" spans="11:13" x14ac:dyDescent="0.2">
      <c r="K736" s="39">
        <v>45296</v>
      </c>
      <c r="L736" s="39">
        <v>45296</v>
      </c>
      <c r="M736" t="s">
        <v>229</v>
      </c>
    </row>
    <row r="737" spans="11:13" x14ac:dyDescent="0.2">
      <c r="K737" s="39">
        <v>45297</v>
      </c>
      <c r="L737" s="39">
        <v>45297</v>
      </c>
      <c r="M737" s="33" t="s">
        <v>882</v>
      </c>
    </row>
    <row r="738" spans="11:13" x14ac:dyDescent="0.2">
      <c r="K738" s="39">
        <v>45298</v>
      </c>
      <c r="L738" s="39">
        <v>45298</v>
      </c>
      <c r="M738" s="33" t="s">
        <v>882</v>
      </c>
    </row>
    <row r="739" spans="11:13" x14ac:dyDescent="0.2">
      <c r="K739" s="39">
        <v>45299</v>
      </c>
      <c r="L739" s="39">
        <v>45299</v>
      </c>
      <c r="M739" s="33" t="s">
        <v>882</v>
      </c>
    </row>
    <row r="740" spans="11:13" x14ac:dyDescent="0.2">
      <c r="K740" s="39">
        <v>45300</v>
      </c>
      <c r="L740" s="39">
        <v>45300</v>
      </c>
      <c r="M740" s="33" t="s">
        <v>882</v>
      </c>
    </row>
    <row r="741" spans="11:13" x14ac:dyDescent="0.2">
      <c r="K741" s="39">
        <v>45301</v>
      </c>
      <c r="L741" s="39">
        <v>45301</v>
      </c>
      <c r="M741" s="33" t="s">
        <v>882</v>
      </c>
    </row>
    <row r="742" spans="11:13" x14ac:dyDescent="0.2">
      <c r="K742" s="39">
        <v>45302</v>
      </c>
      <c r="L742" s="39">
        <v>45302</v>
      </c>
      <c r="M742" s="33" t="s">
        <v>882</v>
      </c>
    </row>
    <row r="743" spans="11:13" x14ac:dyDescent="0.2">
      <c r="K743" s="39">
        <v>45303</v>
      </c>
      <c r="L743" s="39">
        <v>45303</v>
      </c>
      <c r="M743" s="33" t="s">
        <v>882</v>
      </c>
    </row>
    <row r="744" spans="11:13" x14ac:dyDescent="0.2">
      <c r="K744" s="39">
        <v>45304</v>
      </c>
      <c r="L744" s="39">
        <v>45304</v>
      </c>
      <c r="M744" s="33" t="s">
        <v>883</v>
      </c>
    </row>
    <row r="745" spans="11:13" x14ac:dyDescent="0.2">
      <c r="K745" s="39">
        <v>45305</v>
      </c>
      <c r="L745" s="39">
        <v>45305</v>
      </c>
      <c r="M745" s="33" t="s">
        <v>883</v>
      </c>
    </row>
    <row r="746" spans="11:13" x14ac:dyDescent="0.2">
      <c r="K746" s="39">
        <v>45306</v>
      </c>
      <c r="L746" s="39">
        <v>45306</v>
      </c>
      <c r="M746" s="33" t="s">
        <v>883</v>
      </c>
    </row>
    <row r="747" spans="11:13" x14ac:dyDescent="0.2">
      <c r="K747" s="39">
        <v>45307</v>
      </c>
      <c r="L747" s="39">
        <v>45307</v>
      </c>
      <c r="M747" s="33" t="s">
        <v>883</v>
      </c>
    </row>
    <row r="748" spans="11:13" x14ac:dyDescent="0.2">
      <c r="K748" s="39">
        <v>45308</v>
      </c>
      <c r="L748" s="39">
        <v>45308</v>
      </c>
      <c r="M748" s="33" t="s">
        <v>883</v>
      </c>
    </row>
    <row r="749" spans="11:13" x14ac:dyDescent="0.2">
      <c r="K749" s="39">
        <v>45309</v>
      </c>
      <c r="L749" s="39">
        <v>45309</v>
      </c>
      <c r="M749" s="33" t="s">
        <v>883</v>
      </c>
    </row>
    <row r="750" spans="11:13" x14ac:dyDescent="0.2">
      <c r="K750" s="39">
        <v>45310</v>
      </c>
      <c r="L750" s="39">
        <v>45310</v>
      </c>
      <c r="M750" s="33" t="s">
        <v>883</v>
      </c>
    </row>
    <row r="751" spans="11:13" x14ac:dyDescent="0.2">
      <c r="K751" s="39">
        <v>45311</v>
      </c>
      <c r="L751" s="39">
        <v>45311</v>
      </c>
      <c r="M751" s="33" t="s">
        <v>884</v>
      </c>
    </row>
    <row r="752" spans="11:13" x14ac:dyDescent="0.2">
      <c r="K752" s="39">
        <v>45312</v>
      </c>
      <c r="L752" s="39">
        <v>45312</v>
      </c>
      <c r="M752" s="33" t="s">
        <v>884</v>
      </c>
    </row>
    <row r="753" spans="11:13" x14ac:dyDescent="0.2">
      <c r="K753" s="39">
        <v>45313</v>
      </c>
      <c r="L753" s="39">
        <v>45313</v>
      </c>
      <c r="M753" s="33" t="s">
        <v>884</v>
      </c>
    </row>
    <row r="754" spans="11:13" x14ac:dyDescent="0.2">
      <c r="K754" s="39">
        <v>45314</v>
      </c>
      <c r="L754" s="39">
        <v>45314</v>
      </c>
      <c r="M754" s="33" t="s">
        <v>884</v>
      </c>
    </row>
    <row r="755" spans="11:13" x14ac:dyDescent="0.2">
      <c r="K755" s="39">
        <v>45315</v>
      </c>
      <c r="L755" s="39">
        <v>45315</v>
      </c>
      <c r="M755" s="33" t="s">
        <v>884</v>
      </c>
    </row>
    <row r="756" spans="11:13" x14ac:dyDescent="0.2">
      <c r="K756" s="39">
        <v>45316</v>
      </c>
      <c r="L756" s="39">
        <v>45316</v>
      </c>
      <c r="M756" s="33" t="s">
        <v>884</v>
      </c>
    </row>
    <row r="757" spans="11:13" x14ac:dyDescent="0.2">
      <c r="K757" s="39">
        <v>45317</v>
      </c>
      <c r="L757" s="39">
        <v>45317</v>
      </c>
      <c r="M757" s="33" t="s">
        <v>884</v>
      </c>
    </row>
    <row r="758" spans="11:13" x14ac:dyDescent="0.2">
      <c r="K758" s="39">
        <v>45318</v>
      </c>
      <c r="L758" s="39">
        <v>45318</v>
      </c>
      <c r="M758" s="33" t="s">
        <v>885</v>
      </c>
    </row>
    <row r="759" spans="11:13" x14ac:dyDescent="0.2">
      <c r="K759" s="39">
        <v>45319</v>
      </c>
      <c r="L759" s="39">
        <v>45319</v>
      </c>
      <c r="M759" s="33" t="s">
        <v>885</v>
      </c>
    </row>
    <row r="760" spans="11:13" x14ac:dyDescent="0.2">
      <c r="K760" s="39">
        <v>45320</v>
      </c>
      <c r="L760" s="39">
        <v>45320</v>
      </c>
      <c r="M760" s="33" t="s">
        <v>885</v>
      </c>
    </row>
    <row r="761" spans="11:13" x14ac:dyDescent="0.2">
      <c r="K761" s="39">
        <v>45321</v>
      </c>
      <c r="L761" s="39">
        <v>45321</v>
      </c>
      <c r="M761" s="33" t="s">
        <v>885</v>
      </c>
    </row>
    <row r="762" spans="11:13" x14ac:dyDescent="0.2">
      <c r="K762" s="39">
        <v>45322</v>
      </c>
      <c r="L762" s="39">
        <v>45322</v>
      </c>
      <c r="M762" s="33" t="s">
        <v>885</v>
      </c>
    </row>
    <row r="763" spans="11:13" x14ac:dyDescent="0.2">
      <c r="K763" s="39">
        <v>45323</v>
      </c>
      <c r="L763" s="39">
        <v>45323</v>
      </c>
      <c r="M763" s="33" t="s">
        <v>885</v>
      </c>
    </row>
    <row r="764" spans="11:13" x14ac:dyDescent="0.2">
      <c r="K764" s="39">
        <v>45324</v>
      </c>
      <c r="L764" s="39">
        <v>45324</v>
      </c>
      <c r="M764" s="33" t="s">
        <v>885</v>
      </c>
    </row>
    <row r="765" spans="11:13" x14ac:dyDescent="0.2">
      <c r="K765" s="39">
        <v>45325</v>
      </c>
      <c r="L765" s="39">
        <v>45325</v>
      </c>
      <c r="M765" s="33" t="s">
        <v>886</v>
      </c>
    </row>
    <row r="766" spans="11:13" x14ac:dyDescent="0.2">
      <c r="K766" s="39">
        <v>45326</v>
      </c>
      <c r="L766" s="39">
        <v>45326</v>
      </c>
      <c r="M766" s="33" t="s">
        <v>886</v>
      </c>
    </row>
    <row r="767" spans="11:13" x14ac:dyDescent="0.2">
      <c r="K767" s="39">
        <v>45327</v>
      </c>
      <c r="L767" s="39">
        <v>45327</v>
      </c>
      <c r="M767" s="33" t="s">
        <v>886</v>
      </c>
    </row>
    <row r="768" spans="11:13" x14ac:dyDescent="0.2">
      <c r="K768" s="39">
        <v>45328</v>
      </c>
      <c r="L768" s="39">
        <v>45328</v>
      </c>
      <c r="M768" s="33" t="s">
        <v>886</v>
      </c>
    </row>
    <row r="769" spans="11:13" x14ac:dyDescent="0.2">
      <c r="K769" s="39">
        <v>45329</v>
      </c>
      <c r="L769" s="39">
        <v>45329</v>
      </c>
      <c r="M769" s="33" t="s">
        <v>886</v>
      </c>
    </row>
    <row r="770" spans="11:13" x14ac:dyDescent="0.2">
      <c r="K770" s="39">
        <v>45330</v>
      </c>
      <c r="L770" s="39">
        <v>45330</v>
      </c>
      <c r="M770" s="33" t="s">
        <v>886</v>
      </c>
    </row>
    <row r="771" spans="11:13" x14ac:dyDescent="0.2">
      <c r="K771" s="39">
        <v>45331</v>
      </c>
      <c r="L771" s="39">
        <v>45331</v>
      </c>
      <c r="M771" s="33" t="s">
        <v>886</v>
      </c>
    </row>
    <row r="772" spans="11:13" x14ac:dyDescent="0.2">
      <c r="K772" s="39">
        <v>45332</v>
      </c>
      <c r="L772" s="39">
        <v>45332</v>
      </c>
      <c r="M772" s="33" t="s">
        <v>887</v>
      </c>
    </row>
    <row r="773" spans="11:13" x14ac:dyDescent="0.2">
      <c r="K773" s="39">
        <v>45333</v>
      </c>
      <c r="L773" s="39">
        <v>45333</v>
      </c>
      <c r="M773" s="33" t="s">
        <v>887</v>
      </c>
    </row>
    <row r="774" spans="11:13" x14ac:dyDescent="0.2">
      <c r="K774" s="39">
        <v>45334</v>
      </c>
      <c r="L774" s="39">
        <v>45334</v>
      </c>
      <c r="M774" s="33" t="s">
        <v>887</v>
      </c>
    </row>
    <row r="775" spans="11:13" x14ac:dyDescent="0.2">
      <c r="K775" s="39">
        <v>45335</v>
      </c>
      <c r="L775" s="39">
        <v>45335</v>
      </c>
      <c r="M775" s="33" t="s">
        <v>887</v>
      </c>
    </row>
    <row r="776" spans="11:13" x14ac:dyDescent="0.2">
      <c r="K776" s="39">
        <v>45336</v>
      </c>
      <c r="L776" s="39">
        <v>45336</v>
      </c>
      <c r="M776" s="33" t="s">
        <v>887</v>
      </c>
    </row>
    <row r="777" spans="11:13" x14ac:dyDescent="0.2">
      <c r="K777" s="39">
        <v>45337</v>
      </c>
      <c r="L777" s="39">
        <v>45337</v>
      </c>
      <c r="M777" s="33" t="s">
        <v>887</v>
      </c>
    </row>
    <row r="778" spans="11:13" x14ac:dyDescent="0.2">
      <c r="K778" s="39">
        <v>45338</v>
      </c>
      <c r="L778" s="39">
        <v>45338</v>
      </c>
      <c r="M778" s="33" t="s">
        <v>887</v>
      </c>
    </row>
    <row r="779" spans="11:13" x14ac:dyDescent="0.2">
      <c r="K779" s="39">
        <v>45339</v>
      </c>
      <c r="L779" s="39">
        <v>45339</v>
      </c>
      <c r="M779" s="33" t="s">
        <v>888</v>
      </c>
    </row>
    <row r="780" spans="11:13" x14ac:dyDescent="0.2">
      <c r="K780" s="39">
        <v>45340</v>
      </c>
      <c r="L780" s="39">
        <v>45340</v>
      </c>
      <c r="M780" s="33" t="s">
        <v>888</v>
      </c>
    </row>
    <row r="781" spans="11:13" x14ac:dyDescent="0.2">
      <c r="K781" s="39">
        <v>45341</v>
      </c>
      <c r="L781" s="39">
        <v>45341</v>
      </c>
      <c r="M781" s="33" t="s">
        <v>888</v>
      </c>
    </row>
    <row r="782" spans="11:13" x14ac:dyDescent="0.2">
      <c r="K782" s="39">
        <v>45342</v>
      </c>
      <c r="L782" s="39">
        <v>45342</v>
      </c>
      <c r="M782" s="33" t="s">
        <v>888</v>
      </c>
    </row>
    <row r="783" spans="11:13" x14ac:dyDescent="0.2">
      <c r="K783" s="39">
        <v>45343</v>
      </c>
      <c r="L783" s="39">
        <v>45343</v>
      </c>
      <c r="M783" s="33" t="s">
        <v>888</v>
      </c>
    </row>
    <row r="784" spans="11:13" x14ac:dyDescent="0.2">
      <c r="K784" s="39">
        <v>45344</v>
      </c>
      <c r="L784" s="39">
        <v>45344</v>
      </c>
      <c r="M784" s="33" t="s">
        <v>888</v>
      </c>
    </row>
    <row r="785" spans="11:13" x14ac:dyDescent="0.2">
      <c r="K785" s="39">
        <v>45345</v>
      </c>
      <c r="L785" s="39">
        <v>45345</v>
      </c>
      <c r="M785" s="33" t="s">
        <v>888</v>
      </c>
    </row>
    <row r="786" spans="11:13" x14ac:dyDescent="0.2">
      <c r="K786" s="39">
        <v>45346</v>
      </c>
      <c r="L786" s="39">
        <v>45346</v>
      </c>
      <c r="M786" s="33" t="s">
        <v>889</v>
      </c>
    </row>
    <row r="787" spans="11:13" x14ac:dyDescent="0.2">
      <c r="K787" s="39">
        <v>45347</v>
      </c>
      <c r="L787" s="39">
        <v>45347</v>
      </c>
      <c r="M787" s="33" t="s">
        <v>889</v>
      </c>
    </row>
    <row r="788" spans="11:13" x14ac:dyDescent="0.2">
      <c r="K788" s="39">
        <v>45348</v>
      </c>
      <c r="L788" s="39">
        <v>45348</v>
      </c>
      <c r="M788" s="33" t="s">
        <v>889</v>
      </c>
    </row>
    <row r="789" spans="11:13" x14ac:dyDescent="0.2">
      <c r="K789" s="39">
        <v>45349</v>
      </c>
      <c r="L789" s="39">
        <v>45349</v>
      </c>
      <c r="M789" s="33" t="s">
        <v>889</v>
      </c>
    </row>
    <row r="790" spans="11:13" x14ac:dyDescent="0.2">
      <c r="K790" s="39">
        <v>45350</v>
      </c>
      <c r="L790" s="39">
        <v>45350</v>
      </c>
      <c r="M790" s="33" t="s">
        <v>889</v>
      </c>
    </row>
    <row r="791" spans="11:13" x14ac:dyDescent="0.2">
      <c r="K791" s="39">
        <v>45351</v>
      </c>
      <c r="L791" s="39">
        <v>45351</v>
      </c>
      <c r="M791" s="33" t="s">
        <v>889</v>
      </c>
    </row>
    <row r="792" spans="11:13" x14ac:dyDescent="0.2">
      <c r="K792" s="39">
        <v>45352</v>
      </c>
      <c r="L792" s="39">
        <v>45352</v>
      </c>
      <c r="M792" s="33" t="s">
        <v>889</v>
      </c>
    </row>
    <row r="793" spans="11:13" x14ac:dyDescent="0.2">
      <c r="K793" s="39">
        <v>45353</v>
      </c>
      <c r="L793" s="39">
        <v>45353</v>
      </c>
      <c r="M793" s="33" t="s">
        <v>912</v>
      </c>
    </row>
    <row r="794" spans="11:13" x14ac:dyDescent="0.2">
      <c r="K794" s="39">
        <v>45354</v>
      </c>
      <c r="L794" s="39">
        <v>45354</v>
      </c>
      <c r="M794" s="33" t="s">
        <v>912</v>
      </c>
    </row>
    <row r="795" spans="11:13" x14ac:dyDescent="0.2">
      <c r="K795" s="39">
        <v>45355</v>
      </c>
      <c r="L795" s="39">
        <v>45355</v>
      </c>
      <c r="M795" s="33" t="s">
        <v>912</v>
      </c>
    </row>
    <row r="796" spans="11:13" x14ac:dyDescent="0.2">
      <c r="K796" s="39">
        <v>45356</v>
      </c>
      <c r="L796" s="39">
        <v>45356</v>
      </c>
      <c r="M796" s="33" t="s">
        <v>912</v>
      </c>
    </row>
    <row r="797" spans="11:13" x14ac:dyDescent="0.2">
      <c r="K797" s="39">
        <v>45357</v>
      </c>
      <c r="L797" s="39">
        <v>45357</v>
      </c>
      <c r="M797" s="33" t="s">
        <v>912</v>
      </c>
    </row>
    <row r="798" spans="11:13" x14ac:dyDescent="0.2">
      <c r="K798" s="39">
        <v>45358</v>
      </c>
      <c r="L798" s="39">
        <v>45358</v>
      </c>
      <c r="M798" s="33" t="s">
        <v>912</v>
      </c>
    </row>
    <row r="799" spans="11:13" x14ac:dyDescent="0.2">
      <c r="K799" s="39">
        <v>45359</v>
      </c>
      <c r="L799" s="39">
        <v>45359</v>
      </c>
      <c r="M799" s="33" t="s">
        <v>912</v>
      </c>
    </row>
    <row r="800" spans="11:13" x14ac:dyDescent="0.2">
      <c r="K800" s="39">
        <v>45360</v>
      </c>
      <c r="L800" s="39">
        <v>45360</v>
      </c>
      <c r="M800" s="33" t="s">
        <v>913</v>
      </c>
    </row>
    <row r="801" spans="11:13" x14ac:dyDescent="0.2">
      <c r="K801" s="39">
        <v>45361</v>
      </c>
      <c r="L801" s="39">
        <v>45361</v>
      </c>
      <c r="M801" s="33" t="s">
        <v>913</v>
      </c>
    </row>
    <row r="802" spans="11:13" x14ac:dyDescent="0.2">
      <c r="K802" s="39">
        <v>45362</v>
      </c>
      <c r="L802" s="39">
        <v>45362</v>
      </c>
      <c r="M802" s="33" t="s">
        <v>913</v>
      </c>
    </row>
    <row r="803" spans="11:13" x14ac:dyDescent="0.2">
      <c r="K803" s="39">
        <v>45363</v>
      </c>
      <c r="L803" s="39">
        <v>45363</v>
      </c>
      <c r="M803" s="33" t="s">
        <v>913</v>
      </c>
    </row>
    <row r="804" spans="11:13" x14ac:dyDescent="0.2">
      <c r="K804" s="39">
        <v>45364</v>
      </c>
      <c r="L804" s="39">
        <v>45364</v>
      </c>
      <c r="M804" s="33" t="s">
        <v>913</v>
      </c>
    </row>
    <row r="805" spans="11:13" x14ac:dyDescent="0.2">
      <c r="K805" s="39">
        <v>45365</v>
      </c>
      <c r="L805" s="39">
        <v>45365</v>
      </c>
      <c r="M805" s="33" t="s">
        <v>913</v>
      </c>
    </row>
    <row r="806" spans="11:13" x14ac:dyDescent="0.2">
      <c r="K806" s="39">
        <v>45366</v>
      </c>
      <c r="L806" s="39">
        <v>45366</v>
      </c>
      <c r="M806" s="33" t="s">
        <v>913</v>
      </c>
    </row>
    <row r="807" spans="11:13" x14ac:dyDescent="0.2">
      <c r="K807" s="39">
        <v>45367</v>
      </c>
      <c r="L807" s="39">
        <v>45367</v>
      </c>
      <c r="M807" s="33" t="s">
        <v>914</v>
      </c>
    </row>
    <row r="808" spans="11:13" x14ac:dyDescent="0.2">
      <c r="K808" s="39">
        <v>45368</v>
      </c>
      <c r="L808" s="39">
        <v>45368</v>
      </c>
      <c r="M808" s="33" t="s">
        <v>914</v>
      </c>
    </row>
    <row r="809" spans="11:13" x14ac:dyDescent="0.2">
      <c r="K809" s="39">
        <v>45369</v>
      </c>
      <c r="L809" s="39">
        <v>45369</v>
      </c>
      <c r="M809" s="33" t="s">
        <v>914</v>
      </c>
    </row>
    <row r="810" spans="11:13" x14ac:dyDescent="0.2">
      <c r="K810" s="39">
        <v>45370</v>
      </c>
      <c r="L810" s="39">
        <v>45370</v>
      </c>
      <c r="M810" s="33" t="s">
        <v>914</v>
      </c>
    </row>
    <row r="811" spans="11:13" x14ac:dyDescent="0.2">
      <c r="K811" s="39">
        <v>45371</v>
      </c>
      <c r="L811" s="39">
        <v>45371</v>
      </c>
      <c r="M811" s="33" t="s">
        <v>914</v>
      </c>
    </row>
    <row r="812" spans="11:13" x14ac:dyDescent="0.2">
      <c r="K812" s="39">
        <v>45372</v>
      </c>
      <c r="L812" s="39">
        <v>45372</v>
      </c>
      <c r="M812" s="33" t="s">
        <v>914</v>
      </c>
    </row>
    <row r="813" spans="11:13" x14ac:dyDescent="0.2">
      <c r="K813" s="39">
        <v>45373</v>
      </c>
      <c r="L813" s="39">
        <v>45373</v>
      </c>
      <c r="M813" s="33" t="s">
        <v>914</v>
      </c>
    </row>
    <row r="814" spans="11:13" x14ac:dyDescent="0.2">
      <c r="K814" s="39">
        <v>45374</v>
      </c>
      <c r="L814" s="39">
        <v>45374</v>
      </c>
      <c r="M814" s="33" t="s">
        <v>915</v>
      </c>
    </row>
    <row r="815" spans="11:13" x14ac:dyDescent="0.2">
      <c r="K815" s="39">
        <v>45375</v>
      </c>
      <c r="L815" s="39">
        <v>45375</v>
      </c>
      <c r="M815" s="33" t="s">
        <v>915</v>
      </c>
    </row>
    <row r="816" spans="11:13" x14ac:dyDescent="0.2">
      <c r="K816" s="39">
        <v>45376</v>
      </c>
      <c r="L816" s="39">
        <v>45376</v>
      </c>
      <c r="M816" s="33" t="s">
        <v>915</v>
      </c>
    </row>
    <row r="817" spans="11:13" x14ac:dyDescent="0.2">
      <c r="K817" s="39">
        <v>45377</v>
      </c>
      <c r="L817" s="39">
        <v>45377</v>
      </c>
      <c r="M817" s="33" t="s">
        <v>915</v>
      </c>
    </row>
    <row r="818" spans="11:13" x14ac:dyDescent="0.2">
      <c r="K818" s="39">
        <v>45378</v>
      </c>
      <c r="L818" s="39">
        <v>45378</v>
      </c>
      <c r="M818" s="33" t="s">
        <v>915</v>
      </c>
    </row>
    <row r="819" spans="11:13" x14ac:dyDescent="0.2">
      <c r="K819" s="39">
        <v>45379</v>
      </c>
      <c r="L819" s="39">
        <v>45379</v>
      </c>
      <c r="M819" s="33" t="s">
        <v>915</v>
      </c>
    </row>
    <row r="820" spans="11:13" x14ac:dyDescent="0.2">
      <c r="K820" s="39">
        <v>45380</v>
      </c>
      <c r="L820" s="39">
        <v>45380</v>
      </c>
      <c r="M820" s="33" t="s">
        <v>915</v>
      </c>
    </row>
    <row r="821" spans="11:13" x14ac:dyDescent="0.2">
      <c r="K821" s="39">
        <v>45381</v>
      </c>
      <c r="L821" s="39">
        <v>45381</v>
      </c>
      <c r="M821" s="33" t="s">
        <v>918</v>
      </c>
    </row>
    <row r="822" spans="11:13" x14ac:dyDescent="0.2">
      <c r="K822" s="39">
        <v>45382</v>
      </c>
      <c r="L822" s="39">
        <v>45382</v>
      </c>
      <c r="M822" s="33" t="s">
        <v>918</v>
      </c>
    </row>
    <row r="823" spans="11:13" x14ac:dyDescent="0.2">
      <c r="K823" s="39">
        <v>45383</v>
      </c>
      <c r="L823" s="39">
        <v>45383</v>
      </c>
      <c r="M823" s="33" t="s">
        <v>918</v>
      </c>
    </row>
    <row r="824" spans="11:13" x14ac:dyDescent="0.2">
      <c r="K824" s="39">
        <v>45384</v>
      </c>
      <c r="L824" s="39">
        <v>45384</v>
      </c>
      <c r="M824" s="33" t="s">
        <v>918</v>
      </c>
    </row>
    <row r="825" spans="11:13" x14ac:dyDescent="0.2">
      <c r="K825" s="39">
        <v>45385</v>
      </c>
      <c r="L825" s="39">
        <v>45385</v>
      </c>
      <c r="M825" s="33" t="s">
        <v>918</v>
      </c>
    </row>
    <row r="826" spans="11:13" x14ac:dyDescent="0.2">
      <c r="K826" s="39">
        <v>45386</v>
      </c>
      <c r="L826" s="39">
        <v>45386</v>
      </c>
      <c r="M826" s="33" t="s">
        <v>918</v>
      </c>
    </row>
    <row r="827" spans="11:13" x14ac:dyDescent="0.2">
      <c r="K827" s="39">
        <v>45387</v>
      </c>
      <c r="L827" s="39">
        <v>45387</v>
      </c>
      <c r="M827" s="33" t="s">
        <v>918</v>
      </c>
    </row>
    <row r="828" spans="11:13" x14ac:dyDescent="0.2">
      <c r="K828" s="39">
        <v>45388</v>
      </c>
      <c r="L828" s="39">
        <v>45388</v>
      </c>
      <c r="M828" s="33" t="s">
        <v>919</v>
      </c>
    </row>
    <row r="829" spans="11:13" x14ac:dyDescent="0.2">
      <c r="K829" s="39">
        <v>45389</v>
      </c>
      <c r="L829" s="39">
        <v>45389</v>
      </c>
      <c r="M829" s="33" t="s">
        <v>919</v>
      </c>
    </row>
    <row r="830" spans="11:13" x14ac:dyDescent="0.2">
      <c r="K830" s="39">
        <v>45390</v>
      </c>
      <c r="L830" s="39">
        <v>45390</v>
      </c>
      <c r="M830" s="33" t="s">
        <v>919</v>
      </c>
    </row>
    <row r="831" spans="11:13" x14ac:dyDescent="0.2">
      <c r="K831" s="39">
        <v>45391</v>
      </c>
      <c r="L831" s="39">
        <v>45391</v>
      </c>
      <c r="M831" s="33" t="s">
        <v>919</v>
      </c>
    </row>
    <row r="832" spans="11:13" x14ac:dyDescent="0.2">
      <c r="K832" s="39">
        <v>45392</v>
      </c>
      <c r="L832" s="39">
        <v>45392</v>
      </c>
      <c r="M832" s="33" t="s">
        <v>919</v>
      </c>
    </row>
    <row r="833" spans="11:13" x14ac:dyDescent="0.2">
      <c r="K833" s="39">
        <v>45393</v>
      </c>
      <c r="L833" s="39">
        <v>45393</v>
      </c>
      <c r="M833" s="33" t="s">
        <v>919</v>
      </c>
    </row>
    <row r="834" spans="11:13" x14ac:dyDescent="0.2">
      <c r="K834" s="39">
        <v>45394</v>
      </c>
      <c r="L834" s="39">
        <v>45394</v>
      </c>
      <c r="M834" s="33" t="s">
        <v>919</v>
      </c>
    </row>
    <row r="835" spans="11:13" x14ac:dyDescent="0.2">
      <c r="K835" s="39">
        <v>45395</v>
      </c>
      <c r="L835" s="39">
        <v>45395</v>
      </c>
      <c r="M835" s="33" t="s">
        <v>920</v>
      </c>
    </row>
    <row r="836" spans="11:13" x14ac:dyDescent="0.2">
      <c r="K836" s="39">
        <v>45396</v>
      </c>
      <c r="L836" s="39">
        <v>45396</v>
      </c>
      <c r="M836" s="33" t="s">
        <v>920</v>
      </c>
    </row>
    <row r="837" spans="11:13" x14ac:dyDescent="0.2">
      <c r="K837" s="39">
        <v>45397</v>
      </c>
      <c r="L837" s="39">
        <v>45397</v>
      </c>
      <c r="M837" s="33" t="s">
        <v>920</v>
      </c>
    </row>
    <row r="838" spans="11:13" x14ac:dyDescent="0.2">
      <c r="K838" s="39">
        <v>45398</v>
      </c>
      <c r="L838" s="39">
        <v>45398</v>
      </c>
      <c r="M838" s="33" t="s">
        <v>920</v>
      </c>
    </row>
    <row r="839" spans="11:13" x14ac:dyDescent="0.2">
      <c r="K839" s="39">
        <v>45399</v>
      </c>
      <c r="L839" s="39">
        <v>45399</v>
      </c>
      <c r="M839" s="33" t="s">
        <v>920</v>
      </c>
    </row>
    <row r="840" spans="11:13" x14ac:dyDescent="0.2">
      <c r="K840" s="39">
        <v>45400</v>
      </c>
      <c r="L840" s="39">
        <v>45400</v>
      </c>
      <c r="M840" s="33" t="s">
        <v>920</v>
      </c>
    </row>
    <row r="841" spans="11:13" x14ac:dyDescent="0.2">
      <c r="K841" s="39">
        <v>45401</v>
      </c>
      <c r="L841" s="39">
        <v>45401</v>
      </c>
      <c r="M841" s="33" t="s">
        <v>920</v>
      </c>
    </row>
    <row r="842" spans="11:13" x14ac:dyDescent="0.2">
      <c r="K842" s="39">
        <v>45402</v>
      </c>
      <c r="L842" s="39">
        <v>45402</v>
      </c>
      <c r="M842" s="33" t="s">
        <v>921</v>
      </c>
    </row>
    <row r="843" spans="11:13" x14ac:dyDescent="0.2">
      <c r="K843" s="39">
        <v>45403</v>
      </c>
      <c r="L843" s="39">
        <v>45403</v>
      </c>
      <c r="M843" s="33" t="s">
        <v>921</v>
      </c>
    </row>
    <row r="844" spans="11:13" x14ac:dyDescent="0.2">
      <c r="K844" s="39">
        <v>45404</v>
      </c>
      <c r="L844" s="39">
        <v>45404</v>
      </c>
      <c r="M844" s="33" t="s">
        <v>921</v>
      </c>
    </row>
    <row r="845" spans="11:13" x14ac:dyDescent="0.2">
      <c r="K845" s="39">
        <v>45405</v>
      </c>
      <c r="L845" s="39">
        <v>45405</v>
      </c>
      <c r="M845" s="33" t="s">
        <v>921</v>
      </c>
    </row>
    <row r="846" spans="11:13" x14ac:dyDescent="0.2">
      <c r="K846" s="39">
        <v>45406</v>
      </c>
      <c r="L846" s="39">
        <v>45406</v>
      </c>
      <c r="M846" s="33" t="s">
        <v>921</v>
      </c>
    </row>
    <row r="847" spans="11:13" x14ac:dyDescent="0.2">
      <c r="K847" s="39">
        <v>45407</v>
      </c>
      <c r="L847" s="39">
        <v>45407</v>
      </c>
      <c r="M847" s="33" t="s">
        <v>921</v>
      </c>
    </row>
    <row r="848" spans="11:13" x14ac:dyDescent="0.2">
      <c r="K848" s="39">
        <v>45408</v>
      </c>
      <c r="L848" s="39">
        <v>45408</v>
      </c>
      <c r="M848" s="33" t="s">
        <v>921</v>
      </c>
    </row>
    <row r="849" spans="11:13" x14ac:dyDescent="0.2">
      <c r="K849" s="39">
        <v>45409</v>
      </c>
      <c r="L849" s="39">
        <v>45409</v>
      </c>
      <c r="M849" s="33" t="s">
        <v>922</v>
      </c>
    </row>
    <row r="850" spans="11:13" x14ac:dyDescent="0.2">
      <c r="K850" s="39">
        <v>45410</v>
      </c>
      <c r="L850" s="39">
        <v>45410</v>
      </c>
      <c r="M850" s="33" t="s">
        <v>922</v>
      </c>
    </row>
    <row r="851" spans="11:13" x14ac:dyDescent="0.2">
      <c r="K851" s="39">
        <v>45411</v>
      </c>
      <c r="L851" s="39">
        <v>45411</v>
      </c>
      <c r="M851" s="33" t="s">
        <v>922</v>
      </c>
    </row>
    <row r="852" spans="11:13" x14ac:dyDescent="0.2">
      <c r="K852" s="39">
        <v>45412</v>
      </c>
      <c r="L852" s="39">
        <v>45412</v>
      </c>
      <c r="M852" s="33" t="s">
        <v>922</v>
      </c>
    </row>
    <row r="853" spans="11:13" x14ac:dyDescent="0.2">
      <c r="K853" s="39">
        <v>45413</v>
      </c>
      <c r="L853" s="39">
        <v>45413</v>
      </c>
      <c r="M853" s="33" t="s">
        <v>922</v>
      </c>
    </row>
    <row r="854" spans="11:13" x14ac:dyDescent="0.2">
      <c r="K854" s="39">
        <v>45414</v>
      </c>
      <c r="L854" s="39">
        <v>45414</v>
      </c>
      <c r="M854" s="33" t="s">
        <v>922</v>
      </c>
    </row>
    <row r="855" spans="11:13" x14ac:dyDescent="0.2">
      <c r="K855" s="39">
        <v>45415</v>
      </c>
      <c r="L855" s="39">
        <v>45415</v>
      </c>
      <c r="M855" s="33" t="s">
        <v>922</v>
      </c>
    </row>
    <row r="856" spans="11:13" x14ac:dyDescent="0.2">
      <c r="K856" s="39">
        <v>45416</v>
      </c>
      <c r="L856" s="39">
        <v>45416</v>
      </c>
      <c r="M856" s="33" t="s">
        <v>923</v>
      </c>
    </row>
    <row r="857" spans="11:13" x14ac:dyDescent="0.2">
      <c r="K857" s="39">
        <v>45417</v>
      </c>
      <c r="L857" s="39">
        <v>45417</v>
      </c>
      <c r="M857" s="33" t="s">
        <v>923</v>
      </c>
    </row>
    <row r="858" spans="11:13" x14ac:dyDescent="0.2">
      <c r="K858" s="39">
        <v>45418</v>
      </c>
      <c r="L858" s="39">
        <v>45418</v>
      </c>
      <c r="M858" s="33" t="s">
        <v>923</v>
      </c>
    </row>
    <row r="859" spans="11:13" x14ac:dyDescent="0.2">
      <c r="K859" s="39">
        <v>45419</v>
      </c>
      <c r="L859" s="39">
        <v>45419</v>
      </c>
      <c r="M859" s="33" t="s">
        <v>923</v>
      </c>
    </row>
    <row r="860" spans="11:13" x14ac:dyDescent="0.2">
      <c r="K860" s="39">
        <v>45420</v>
      </c>
      <c r="L860" s="39">
        <v>45420</v>
      </c>
      <c r="M860" s="33" t="s">
        <v>923</v>
      </c>
    </row>
    <row r="861" spans="11:13" x14ac:dyDescent="0.2">
      <c r="K861" s="39">
        <v>45421</v>
      </c>
      <c r="L861" s="39">
        <v>45421</v>
      </c>
      <c r="M861" s="33" t="s">
        <v>923</v>
      </c>
    </row>
    <row r="862" spans="11:13" x14ac:dyDescent="0.2">
      <c r="K862" s="39">
        <v>45422</v>
      </c>
      <c r="L862" s="39">
        <v>45422</v>
      </c>
      <c r="M862" s="33" t="s">
        <v>923</v>
      </c>
    </row>
    <row r="863" spans="11:13" x14ac:dyDescent="0.2">
      <c r="K863" s="39">
        <v>45423</v>
      </c>
      <c r="L863" s="39">
        <v>45423</v>
      </c>
      <c r="M863" s="33" t="s">
        <v>924</v>
      </c>
    </row>
    <row r="864" spans="11:13" x14ac:dyDescent="0.2">
      <c r="K864" s="39">
        <v>45424</v>
      </c>
      <c r="L864" s="39">
        <v>45424</v>
      </c>
      <c r="M864" s="33" t="s">
        <v>924</v>
      </c>
    </row>
    <row r="865" spans="11:13" x14ac:dyDescent="0.2">
      <c r="K865" s="39">
        <v>45425</v>
      </c>
      <c r="L865" s="39">
        <v>45425</v>
      </c>
      <c r="M865" s="33" t="s">
        <v>924</v>
      </c>
    </row>
    <row r="866" spans="11:13" x14ac:dyDescent="0.2">
      <c r="K866" s="39">
        <v>45426</v>
      </c>
      <c r="L866" s="39">
        <v>45426</v>
      </c>
      <c r="M866" s="33" t="s">
        <v>924</v>
      </c>
    </row>
    <row r="867" spans="11:13" x14ac:dyDescent="0.2">
      <c r="K867" s="39">
        <v>45427</v>
      </c>
      <c r="L867" s="39">
        <v>45427</v>
      </c>
      <c r="M867" s="33" t="s">
        <v>924</v>
      </c>
    </row>
    <row r="868" spans="11:13" x14ac:dyDescent="0.2">
      <c r="K868" s="39">
        <v>45428</v>
      </c>
      <c r="L868" s="39">
        <v>45428</v>
      </c>
      <c r="M868" s="33" t="s">
        <v>924</v>
      </c>
    </row>
    <row r="869" spans="11:13" x14ac:dyDescent="0.2">
      <c r="K869" s="39">
        <v>45429</v>
      </c>
      <c r="L869" s="39">
        <v>45429</v>
      </c>
      <c r="M869" s="33" t="s">
        <v>924</v>
      </c>
    </row>
    <row r="870" spans="11:13" x14ac:dyDescent="0.2">
      <c r="K870" s="39">
        <v>45430</v>
      </c>
      <c r="L870" s="39">
        <v>45430</v>
      </c>
      <c r="M870" s="33" t="s">
        <v>925</v>
      </c>
    </row>
    <row r="871" spans="11:13" x14ac:dyDescent="0.2">
      <c r="K871" s="39">
        <v>45431</v>
      </c>
      <c r="L871" s="39">
        <v>45431</v>
      </c>
      <c r="M871" s="33" t="s">
        <v>925</v>
      </c>
    </row>
    <row r="872" spans="11:13" x14ac:dyDescent="0.2">
      <c r="K872" s="39">
        <v>45432</v>
      </c>
      <c r="L872" s="39">
        <v>45432</v>
      </c>
      <c r="M872" s="33" t="s">
        <v>925</v>
      </c>
    </row>
    <row r="873" spans="11:13" x14ac:dyDescent="0.2">
      <c r="K873" s="39">
        <v>45433</v>
      </c>
      <c r="L873" s="39">
        <v>45433</v>
      </c>
      <c r="M873" s="33" t="s">
        <v>925</v>
      </c>
    </row>
    <row r="874" spans="11:13" x14ac:dyDescent="0.2">
      <c r="K874" s="39">
        <v>45434</v>
      </c>
      <c r="L874" s="39">
        <v>45434</v>
      </c>
      <c r="M874" s="33" t="s">
        <v>925</v>
      </c>
    </row>
    <row r="875" spans="11:13" x14ac:dyDescent="0.2">
      <c r="K875" s="39">
        <v>45435</v>
      </c>
      <c r="L875" s="39">
        <v>45435</v>
      </c>
      <c r="M875" s="33" t="s">
        <v>925</v>
      </c>
    </row>
    <row r="876" spans="11:13" x14ac:dyDescent="0.2">
      <c r="K876" s="39">
        <v>45436</v>
      </c>
      <c r="L876" s="39">
        <v>45436</v>
      </c>
      <c r="M876" s="33" t="s">
        <v>925</v>
      </c>
    </row>
    <row r="877" spans="11:13" x14ac:dyDescent="0.2">
      <c r="K877" s="39">
        <v>45437</v>
      </c>
      <c r="L877" s="39">
        <v>45437</v>
      </c>
      <c r="M877" s="33" t="s">
        <v>926</v>
      </c>
    </row>
    <row r="878" spans="11:13" x14ac:dyDescent="0.2">
      <c r="K878" s="39">
        <v>45438</v>
      </c>
      <c r="L878" s="39">
        <v>45438</v>
      </c>
      <c r="M878" s="33" t="s">
        <v>926</v>
      </c>
    </row>
    <row r="879" spans="11:13" x14ac:dyDescent="0.2">
      <c r="K879" s="39">
        <v>45439</v>
      </c>
      <c r="L879" s="39">
        <v>45439</v>
      </c>
      <c r="M879" s="33" t="s">
        <v>926</v>
      </c>
    </row>
    <row r="880" spans="11:13" x14ac:dyDescent="0.2">
      <c r="K880" s="39">
        <v>45440</v>
      </c>
      <c r="L880" s="39">
        <v>45440</v>
      </c>
      <c r="M880" s="33" t="s">
        <v>926</v>
      </c>
    </row>
    <row r="881" spans="11:13" x14ac:dyDescent="0.2">
      <c r="K881" s="39">
        <v>45441</v>
      </c>
      <c r="L881" s="39">
        <v>45441</v>
      </c>
      <c r="M881" s="33" t="s">
        <v>926</v>
      </c>
    </row>
    <row r="882" spans="11:13" x14ac:dyDescent="0.2">
      <c r="K882" s="39">
        <v>45442</v>
      </c>
      <c r="L882" s="39">
        <v>45442</v>
      </c>
      <c r="M882" s="33" t="s">
        <v>926</v>
      </c>
    </row>
    <row r="883" spans="11:13" x14ac:dyDescent="0.2">
      <c r="K883" s="39">
        <v>45443</v>
      </c>
      <c r="L883" s="39">
        <v>45443</v>
      </c>
      <c r="M883" s="33" t="s">
        <v>926</v>
      </c>
    </row>
    <row r="884" spans="11:13" x14ac:dyDescent="0.2">
      <c r="K884" s="39">
        <v>45444</v>
      </c>
      <c r="L884" s="39">
        <v>45444</v>
      </c>
      <c r="M884" s="33" t="s">
        <v>968</v>
      </c>
    </row>
    <row r="885" spans="11:13" x14ac:dyDescent="0.2">
      <c r="K885" s="39">
        <v>45445</v>
      </c>
      <c r="L885" s="39">
        <v>45445</v>
      </c>
      <c r="M885" s="33" t="s">
        <v>968</v>
      </c>
    </row>
    <row r="886" spans="11:13" x14ac:dyDescent="0.2">
      <c r="K886" s="39">
        <v>45446</v>
      </c>
      <c r="L886" s="39">
        <v>45446</v>
      </c>
      <c r="M886" s="33" t="s">
        <v>968</v>
      </c>
    </row>
    <row r="887" spans="11:13" x14ac:dyDescent="0.2">
      <c r="K887" s="39">
        <v>45447</v>
      </c>
      <c r="L887" s="39">
        <v>45447</v>
      </c>
      <c r="M887" s="33" t="s">
        <v>968</v>
      </c>
    </row>
    <row r="888" spans="11:13" x14ac:dyDescent="0.2">
      <c r="K888" s="39">
        <v>45448</v>
      </c>
      <c r="L888" s="39">
        <v>45448</v>
      </c>
      <c r="M888" s="33" t="s">
        <v>968</v>
      </c>
    </row>
    <row r="889" spans="11:13" x14ac:dyDescent="0.2">
      <c r="K889" s="39">
        <v>45449</v>
      </c>
      <c r="L889" s="39">
        <v>45449</v>
      </c>
      <c r="M889" s="33" t="s">
        <v>968</v>
      </c>
    </row>
    <row r="890" spans="11:13" x14ac:dyDescent="0.2">
      <c r="K890" s="39">
        <v>45450</v>
      </c>
      <c r="L890" s="39">
        <v>45450</v>
      </c>
      <c r="M890" s="33" t="s">
        <v>968</v>
      </c>
    </row>
    <row r="891" spans="11:13" x14ac:dyDescent="0.2">
      <c r="K891" s="39">
        <v>45451</v>
      </c>
      <c r="L891" s="39">
        <v>45451</v>
      </c>
      <c r="M891" s="33" t="s">
        <v>969</v>
      </c>
    </row>
    <row r="892" spans="11:13" x14ac:dyDescent="0.2">
      <c r="K892" s="39">
        <v>45452</v>
      </c>
      <c r="L892" s="39">
        <v>45452</v>
      </c>
      <c r="M892" s="33" t="s">
        <v>969</v>
      </c>
    </row>
    <row r="893" spans="11:13" x14ac:dyDescent="0.2">
      <c r="K893" s="39">
        <v>45453</v>
      </c>
      <c r="L893" s="39">
        <v>45453</v>
      </c>
      <c r="M893" s="33" t="s">
        <v>969</v>
      </c>
    </row>
    <row r="894" spans="11:13" x14ac:dyDescent="0.2">
      <c r="K894" s="39">
        <v>45454</v>
      </c>
      <c r="L894" s="39">
        <v>45454</v>
      </c>
      <c r="M894" s="33" t="s">
        <v>969</v>
      </c>
    </row>
    <row r="895" spans="11:13" x14ac:dyDescent="0.2">
      <c r="K895" s="39">
        <v>45455</v>
      </c>
      <c r="L895" s="39">
        <v>45455</v>
      </c>
      <c r="M895" s="33" t="s">
        <v>969</v>
      </c>
    </row>
    <row r="896" spans="11:13" x14ac:dyDescent="0.2">
      <c r="K896" s="39">
        <v>45456</v>
      </c>
      <c r="L896" s="39">
        <v>45456</v>
      </c>
      <c r="M896" s="33" t="s">
        <v>969</v>
      </c>
    </row>
    <row r="897" spans="11:13" x14ac:dyDescent="0.2">
      <c r="K897" s="39">
        <v>45457</v>
      </c>
      <c r="L897" s="39">
        <v>45457</v>
      </c>
      <c r="M897" s="33" t="s">
        <v>969</v>
      </c>
    </row>
    <row r="898" spans="11:13" x14ac:dyDescent="0.2">
      <c r="K898" s="39">
        <v>45458</v>
      </c>
      <c r="L898" s="39">
        <v>45458</v>
      </c>
      <c r="M898" s="33" t="s">
        <v>970</v>
      </c>
    </row>
    <row r="899" spans="11:13" x14ac:dyDescent="0.2">
      <c r="K899" s="39">
        <v>45459</v>
      </c>
      <c r="L899" s="39">
        <v>45459</v>
      </c>
      <c r="M899" s="33" t="s">
        <v>970</v>
      </c>
    </row>
    <row r="900" spans="11:13" x14ac:dyDescent="0.2">
      <c r="K900" s="39">
        <v>45460</v>
      </c>
      <c r="L900" s="39">
        <v>45460</v>
      </c>
      <c r="M900" s="33" t="s">
        <v>970</v>
      </c>
    </row>
    <row r="901" spans="11:13" x14ac:dyDescent="0.2">
      <c r="K901" s="39">
        <v>45461</v>
      </c>
      <c r="L901" s="39">
        <v>45461</v>
      </c>
      <c r="M901" s="33" t="s">
        <v>970</v>
      </c>
    </row>
    <row r="902" spans="11:13" x14ac:dyDescent="0.2">
      <c r="K902" s="39">
        <v>45462</v>
      </c>
      <c r="L902" s="39">
        <v>45462</v>
      </c>
      <c r="M902" s="33" t="s">
        <v>970</v>
      </c>
    </row>
    <row r="903" spans="11:13" x14ac:dyDescent="0.2">
      <c r="K903" s="39">
        <v>45463</v>
      </c>
      <c r="L903" s="39">
        <v>45463</v>
      </c>
      <c r="M903" s="33" t="s">
        <v>970</v>
      </c>
    </row>
    <row r="904" spans="11:13" x14ac:dyDescent="0.2">
      <c r="K904" s="39">
        <v>45464</v>
      </c>
      <c r="L904" s="39">
        <v>45464</v>
      </c>
      <c r="M904" s="33" t="s">
        <v>970</v>
      </c>
    </row>
    <row r="905" spans="11:13" x14ac:dyDescent="0.2">
      <c r="K905" s="39">
        <v>45465</v>
      </c>
      <c r="L905" s="39">
        <v>45465</v>
      </c>
      <c r="M905" s="33" t="s">
        <v>1210</v>
      </c>
    </row>
    <row r="906" spans="11:13" x14ac:dyDescent="0.2">
      <c r="K906" s="39">
        <v>45466</v>
      </c>
      <c r="L906" s="39">
        <v>45466</v>
      </c>
      <c r="M906" s="33" t="s">
        <v>1210</v>
      </c>
    </row>
    <row r="907" spans="11:13" x14ac:dyDescent="0.2">
      <c r="K907" s="39">
        <v>45467</v>
      </c>
      <c r="L907" s="39">
        <v>45467</v>
      </c>
      <c r="M907" s="33" t="s">
        <v>1210</v>
      </c>
    </row>
    <row r="908" spans="11:13" x14ac:dyDescent="0.2">
      <c r="K908" s="39">
        <v>45468</v>
      </c>
      <c r="L908" s="39">
        <v>45468</v>
      </c>
      <c r="M908" s="33" t="s">
        <v>1210</v>
      </c>
    </row>
    <row r="909" spans="11:13" x14ac:dyDescent="0.2">
      <c r="K909" s="39">
        <v>45469</v>
      </c>
      <c r="L909" s="39">
        <v>45469</v>
      </c>
      <c r="M909" s="33" t="s">
        <v>1210</v>
      </c>
    </row>
    <row r="910" spans="11:13" x14ac:dyDescent="0.2">
      <c r="K910" s="39">
        <v>45470</v>
      </c>
      <c r="L910" s="39">
        <v>45470</v>
      </c>
      <c r="M910" s="33" t="s">
        <v>1210</v>
      </c>
    </row>
    <row r="911" spans="11:13" x14ac:dyDescent="0.2">
      <c r="K911" s="39">
        <v>45471</v>
      </c>
      <c r="L911" s="39">
        <v>45471</v>
      </c>
      <c r="M911" s="33" t="s">
        <v>1210</v>
      </c>
    </row>
    <row r="912" spans="11:13" x14ac:dyDescent="0.2">
      <c r="K912" s="39">
        <v>45472</v>
      </c>
      <c r="L912" s="39">
        <v>45472</v>
      </c>
      <c r="M912" s="33" t="s">
        <v>1211</v>
      </c>
    </row>
    <row r="913" spans="11:13" x14ac:dyDescent="0.2">
      <c r="K913" s="39">
        <v>45473</v>
      </c>
      <c r="L913" s="39">
        <v>45473</v>
      </c>
      <c r="M913" s="33" t="s">
        <v>1211</v>
      </c>
    </row>
    <row r="914" spans="11:13" x14ac:dyDescent="0.2">
      <c r="K914" s="39">
        <v>45474</v>
      </c>
      <c r="L914" s="39">
        <v>45474</v>
      </c>
      <c r="M914" s="33" t="s">
        <v>1211</v>
      </c>
    </row>
    <row r="915" spans="11:13" x14ac:dyDescent="0.2">
      <c r="K915" s="39">
        <v>45475</v>
      </c>
      <c r="L915" s="39">
        <v>45475</v>
      </c>
      <c r="M915" s="33" t="s">
        <v>1211</v>
      </c>
    </row>
    <row r="916" spans="11:13" x14ac:dyDescent="0.2">
      <c r="K916" s="39">
        <v>45476</v>
      </c>
      <c r="L916" s="39">
        <v>45476</v>
      </c>
      <c r="M916" s="33" t="s">
        <v>1211</v>
      </c>
    </row>
    <row r="917" spans="11:13" x14ac:dyDescent="0.2">
      <c r="K917" s="39">
        <v>45477</v>
      </c>
      <c r="L917" s="39">
        <v>45477</v>
      </c>
      <c r="M917" s="33" t="s">
        <v>1211</v>
      </c>
    </row>
    <row r="918" spans="11:13" x14ac:dyDescent="0.2">
      <c r="K918" s="39">
        <v>45478</v>
      </c>
      <c r="L918" s="39">
        <v>45478</v>
      </c>
      <c r="M918" s="33" t="s">
        <v>1211</v>
      </c>
    </row>
    <row r="919" spans="11:13" x14ac:dyDescent="0.2">
      <c r="K919" s="39">
        <v>45479</v>
      </c>
      <c r="L919" s="39">
        <v>45479</v>
      </c>
      <c r="M919" s="33" t="s">
        <v>1212</v>
      </c>
    </row>
    <row r="920" spans="11:13" x14ac:dyDescent="0.2">
      <c r="K920" s="39">
        <v>45480</v>
      </c>
      <c r="L920" s="39">
        <v>45480</v>
      </c>
      <c r="M920" s="33" t="s">
        <v>1212</v>
      </c>
    </row>
    <row r="921" spans="11:13" x14ac:dyDescent="0.2">
      <c r="K921" s="39">
        <v>45481</v>
      </c>
      <c r="L921" s="39">
        <v>45481</v>
      </c>
      <c r="M921" s="33" t="s">
        <v>1212</v>
      </c>
    </row>
    <row r="922" spans="11:13" x14ac:dyDescent="0.2">
      <c r="K922" s="39">
        <v>45482</v>
      </c>
      <c r="L922" s="39">
        <v>45482</v>
      </c>
      <c r="M922" s="33" t="s">
        <v>1212</v>
      </c>
    </row>
    <row r="923" spans="11:13" x14ac:dyDescent="0.2">
      <c r="K923" s="39">
        <v>45483</v>
      </c>
      <c r="L923" s="39">
        <v>45483</v>
      </c>
      <c r="M923" s="33" t="s">
        <v>1212</v>
      </c>
    </row>
    <row r="924" spans="11:13" x14ac:dyDescent="0.2">
      <c r="K924" s="39">
        <v>45484</v>
      </c>
      <c r="L924" s="39">
        <v>45484</v>
      </c>
      <c r="M924" s="33" t="s">
        <v>1212</v>
      </c>
    </row>
    <row r="925" spans="11:13" x14ac:dyDescent="0.2">
      <c r="K925" s="39">
        <v>45485</v>
      </c>
      <c r="L925" s="39">
        <v>45485</v>
      </c>
      <c r="M925" s="33" t="s">
        <v>1212</v>
      </c>
    </row>
    <row r="926" spans="11:13" x14ac:dyDescent="0.2">
      <c r="K926" s="39">
        <v>45486</v>
      </c>
      <c r="L926" s="39">
        <v>45486</v>
      </c>
      <c r="M926" s="33" t="s">
        <v>1213</v>
      </c>
    </row>
    <row r="927" spans="11:13" x14ac:dyDescent="0.2">
      <c r="K927" s="39">
        <v>45487</v>
      </c>
      <c r="L927" s="39">
        <v>45487</v>
      </c>
      <c r="M927" s="33" t="s">
        <v>1213</v>
      </c>
    </row>
    <row r="928" spans="11:13" x14ac:dyDescent="0.2">
      <c r="K928" s="39">
        <v>45488</v>
      </c>
      <c r="L928" s="39">
        <v>45488</v>
      </c>
      <c r="M928" s="33" t="s">
        <v>1213</v>
      </c>
    </row>
    <row r="929" spans="11:13" x14ac:dyDescent="0.2">
      <c r="K929" s="39">
        <v>45489</v>
      </c>
      <c r="L929" s="39">
        <v>45489</v>
      </c>
      <c r="M929" s="33" t="s">
        <v>1213</v>
      </c>
    </row>
    <row r="930" spans="11:13" x14ac:dyDescent="0.2">
      <c r="K930" s="39">
        <v>45490</v>
      </c>
      <c r="L930" s="39">
        <v>45490</v>
      </c>
      <c r="M930" s="33" t="s">
        <v>1213</v>
      </c>
    </row>
    <row r="931" spans="11:13" x14ac:dyDescent="0.2">
      <c r="K931" s="39">
        <v>45491</v>
      </c>
      <c r="L931" s="39">
        <v>45491</v>
      </c>
      <c r="M931" s="33" t="s">
        <v>1213</v>
      </c>
    </row>
    <row r="932" spans="11:13" x14ac:dyDescent="0.2">
      <c r="K932" s="39">
        <v>45492</v>
      </c>
      <c r="L932" s="39">
        <v>45492</v>
      </c>
      <c r="M932" s="33" t="s">
        <v>1213</v>
      </c>
    </row>
    <row r="933" spans="11:13" x14ac:dyDescent="0.2">
      <c r="K933" s="39">
        <v>45493</v>
      </c>
      <c r="L933" s="39">
        <v>45493</v>
      </c>
      <c r="M933" s="33" t="s">
        <v>1214</v>
      </c>
    </row>
    <row r="934" spans="11:13" x14ac:dyDescent="0.2">
      <c r="K934" s="39">
        <v>45494</v>
      </c>
      <c r="L934" s="39">
        <v>45494</v>
      </c>
      <c r="M934" s="33" t="s">
        <v>1214</v>
      </c>
    </row>
    <row r="935" spans="11:13" x14ac:dyDescent="0.2">
      <c r="K935" s="39">
        <v>45495</v>
      </c>
      <c r="L935" s="39">
        <v>45495</v>
      </c>
      <c r="M935" s="33" t="s">
        <v>1214</v>
      </c>
    </row>
    <row r="936" spans="11:13" x14ac:dyDescent="0.2">
      <c r="K936" s="39">
        <v>45496</v>
      </c>
      <c r="L936" s="39">
        <v>45496</v>
      </c>
      <c r="M936" s="33" t="s">
        <v>1214</v>
      </c>
    </row>
    <row r="937" spans="11:13" x14ac:dyDescent="0.2">
      <c r="K937" s="39">
        <v>45497</v>
      </c>
      <c r="L937" s="39">
        <v>45497</v>
      </c>
      <c r="M937" s="33" t="s">
        <v>1214</v>
      </c>
    </row>
    <row r="938" spans="11:13" x14ac:dyDescent="0.2">
      <c r="K938" s="39">
        <v>45498</v>
      </c>
      <c r="L938" s="39">
        <v>45498</v>
      </c>
      <c r="M938" s="33" t="s">
        <v>1214</v>
      </c>
    </row>
    <row r="939" spans="11:13" x14ac:dyDescent="0.2">
      <c r="K939" s="39">
        <v>45499</v>
      </c>
      <c r="L939" s="39">
        <v>45499</v>
      </c>
      <c r="M939" s="33" t="s">
        <v>1214</v>
      </c>
    </row>
    <row r="940" spans="11:13" x14ac:dyDescent="0.2">
      <c r="K940" s="39">
        <v>45500</v>
      </c>
      <c r="L940" s="39">
        <v>45500</v>
      </c>
      <c r="M940" s="33" t="s">
        <v>1215</v>
      </c>
    </row>
    <row r="941" spans="11:13" x14ac:dyDescent="0.2">
      <c r="K941" s="39">
        <v>45501</v>
      </c>
      <c r="L941" s="39">
        <v>45501</v>
      </c>
      <c r="M941" s="33" t="s">
        <v>1215</v>
      </c>
    </row>
    <row r="942" spans="11:13" x14ac:dyDescent="0.2">
      <c r="K942" s="39">
        <v>45502</v>
      </c>
      <c r="L942" s="39">
        <v>45502</v>
      </c>
      <c r="M942" s="33" t="s">
        <v>1215</v>
      </c>
    </row>
    <row r="943" spans="11:13" x14ac:dyDescent="0.2">
      <c r="K943" s="39">
        <v>45503</v>
      </c>
      <c r="L943" s="39">
        <v>45503</v>
      </c>
      <c r="M943" s="33" t="s">
        <v>1215</v>
      </c>
    </row>
    <row r="944" spans="11:13" x14ac:dyDescent="0.2">
      <c r="K944" s="39">
        <v>45504</v>
      </c>
      <c r="L944" s="39">
        <v>45504</v>
      </c>
      <c r="M944" s="33" t="s">
        <v>1215</v>
      </c>
    </row>
    <row r="945" spans="11:13" x14ac:dyDescent="0.2">
      <c r="K945" s="39">
        <v>45505</v>
      </c>
      <c r="L945" s="39">
        <v>45505</v>
      </c>
      <c r="M945" s="33" t="s">
        <v>1215</v>
      </c>
    </row>
    <row r="946" spans="11:13" x14ac:dyDescent="0.2">
      <c r="K946" s="39">
        <v>45506</v>
      </c>
      <c r="L946" s="39">
        <v>45506</v>
      </c>
      <c r="M946" s="33" t="s">
        <v>1215</v>
      </c>
    </row>
    <row r="947" spans="11:13" x14ac:dyDescent="0.2">
      <c r="K947" s="39">
        <v>45507</v>
      </c>
      <c r="L947" s="39">
        <v>45507</v>
      </c>
      <c r="M947" s="33" t="s">
        <v>1216</v>
      </c>
    </row>
    <row r="948" spans="11:13" x14ac:dyDescent="0.2">
      <c r="K948" s="39">
        <v>45508</v>
      </c>
      <c r="L948" s="39">
        <v>45508</v>
      </c>
      <c r="M948" s="33" t="s">
        <v>1216</v>
      </c>
    </row>
    <row r="949" spans="11:13" x14ac:dyDescent="0.2">
      <c r="K949" s="39">
        <v>45509</v>
      </c>
      <c r="L949" s="39">
        <v>45509</v>
      </c>
      <c r="M949" s="33" t="s">
        <v>1216</v>
      </c>
    </row>
    <row r="950" spans="11:13" x14ac:dyDescent="0.2">
      <c r="K950" s="39">
        <v>45510</v>
      </c>
      <c r="L950" s="39">
        <v>45510</v>
      </c>
      <c r="M950" s="33" t="s">
        <v>1216</v>
      </c>
    </row>
    <row r="951" spans="11:13" x14ac:dyDescent="0.2">
      <c r="K951" s="39">
        <v>45511</v>
      </c>
      <c r="L951" s="39">
        <v>45511</v>
      </c>
      <c r="M951" s="33" t="s">
        <v>1216</v>
      </c>
    </row>
    <row r="952" spans="11:13" x14ac:dyDescent="0.2">
      <c r="K952" s="39">
        <v>45512</v>
      </c>
      <c r="L952" s="39">
        <v>45512</v>
      </c>
      <c r="M952" s="33" t="s">
        <v>1216</v>
      </c>
    </row>
    <row r="953" spans="11:13" x14ac:dyDescent="0.2">
      <c r="K953" s="39">
        <v>45513</v>
      </c>
      <c r="L953" s="39">
        <v>45513</v>
      </c>
      <c r="M953" s="33" t="s">
        <v>1216</v>
      </c>
    </row>
    <row r="954" spans="11:13" x14ac:dyDescent="0.2">
      <c r="K954" s="39">
        <v>45514</v>
      </c>
      <c r="L954" s="39">
        <v>45514</v>
      </c>
      <c r="M954" s="33" t="s">
        <v>1217</v>
      </c>
    </row>
    <row r="955" spans="11:13" x14ac:dyDescent="0.2">
      <c r="K955" s="39">
        <v>45515</v>
      </c>
      <c r="L955" s="39">
        <v>45515</v>
      </c>
      <c r="M955" s="33" t="s">
        <v>1217</v>
      </c>
    </row>
    <row r="956" spans="11:13" x14ac:dyDescent="0.2">
      <c r="K956" s="39">
        <v>45516</v>
      </c>
      <c r="L956" s="39">
        <v>45516</v>
      </c>
      <c r="M956" s="33" t="s">
        <v>1217</v>
      </c>
    </row>
    <row r="957" spans="11:13" x14ac:dyDescent="0.2">
      <c r="K957" s="39">
        <v>45517</v>
      </c>
      <c r="L957" s="39">
        <v>45517</v>
      </c>
      <c r="M957" s="33" t="s">
        <v>1217</v>
      </c>
    </row>
    <row r="958" spans="11:13" x14ac:dyDescent="0.2">
      <c r="K958" s="39">
        <v>45518</v>
      </c>
      <c r="L958" s="39">
        <v>45518</v>
      </c>
      <c r="M958" s="33" t="s">
        <v>1217</v>
      </c>
    </row>
    <row r="959" spans="11:13" x14ac:dyDescent="0.2">
      <c r="K959" s="39">
        <v>45519</v>
      </c>
      <c r="L959" s="39">
        <v>45519</v>
      </c>
      <c r="M959" s="33" t="s">
        <v>1217</v>
      </c>
    </row>
    <row r="960" spans="11:13" x14ac:dyDescent="0.2">
      <c r="K960" s="39">
        <v>45520</v>
      </c>
      <c r="L960" s="39">
        <v>45520</v>
      </c>
      <c r="M960" s="33" t="s">
        <v>1217</v>
      </c>
    </row>
    <row r="961" spans="11:13" x14ac:dyDescent="0.2">
      <c r="K961" s="39">
        <v>45521</v>
      </c>
      <c r="L961" s="39">
        <v>45521</v>
      </c>
      <c r="M961" s="33" t="s">
        <v>1218</v>
      </c>
    </row>
    <row r="962" spans="11:13" x14ac:dyDescent="0.2">
      <c r="K962" s="39">
        <v>45522</v>
      </c>
      <c r="L962" s="39">
        <v>45522</v>
      </c>
      <c r="M962" s="33" t="s">
        <v>1218</v>
      </c>
    </row>
    <row r="963" spans="11:13" x14ac:dyDescent="0.2">
      <c r="K963" s="39">
        <v>45523</v>
      </c>
      <c r="L963" s="39">
        <v>45523</v>
      </c>
      <c r="M963" s="33" t="s">
        <v>1218</v>
      </c>
    </row>
    <row r="964" spans="11:13" x14ac:dyDescent="0.2">
      <c r="K964" s="39">
        <v>45524</v>
      </c>
      <c r="L964" s="39">
        <v>45524</v>
      </c>
      <c r="M964" s="33" t="s">
        <v>1218</v>
      </c>
    </row>
    <row r="965" spans="11:13" x14ac:dyDescent="0.2">
      <c r="K965" s="39">
        <v>45525</v>
      </c>
      <c r="L965" s="39">
        <v>45525</v>
      </c>
      <c r="M965" s="33" t="s">
        <v>1218</v>
      </c>
    </row>
    <row r="966" spans="11:13" x14ac:dyDescent="0.2">
      <c r="K966" s="39">
        <v>45526</v>
      </c>
      <c r="L966" s="39">
        <v>45526</v>
      </c>
      <c r="M966" s="33" t="s">
        <v>1218</v>
      </c>
    </row>
    <row r="967" spans="11:13" x14ac:dyDescent="0.2">
      <c r="K967" s="39">
        <v>45527</v>
      </c>
      <c r="L967" s="39">
        <v>45527</v>
      </c>
      <c r="M967" s="33" t="s">
        <v>1218</v>
      </c>
    </row>
    <row r="968" spans="11:13" x14ac:dyDescent="0.2">
      <c r="K968" s="39">
        <v>45528</v>
      </c>
      <c r="L968" s="39">
        <v>45528</v>
      </c>
      <c r="M968" s="33" t="s">
        <v>1219</v>
      </c>
    </row>
    <row r="969" spans="11:13" x14ac:dyDescent="0.2">
      <c r="K969" s="39">
        <v>45529</v>
      </c>
      <c r="L969" s="39">
        <v>45529</v>
      </c>
      <c r="M969" s="33" t="s">
        <v>1219</v>
      </c>
    </row>
    <row r="970" spans="11:13" x14ac:dyDescent="0.2">
      <c r="K970" s="39">
        <v>45530</v>
      </c>
      <c r="L970" s="39">
        <v>45530</v>
      </c>
      <c r="M970" s="33" t="s">
        <v>1219</v>
      </c>
    </row>
    <row r="971" spans="11:13" x14ac:dyDescent="0.2">
      <c r="K971" s="39">
        <v>45531</v>
      </c>
      <c r="L971" s="39">
        <v>45531</v>
      </c>
      <c r="M971" s="33" t="s">
        <v>1219</v>
      </c>
    </row>
    <row r="972" spans="11:13" x14ac:dyDescent="0.2">
      <c r="K972" s="39">
        <v>45532</v>
      </c>
      <c r="L972" s="39">
        <v>45532</v>
      </c>
      <c r="M972" s="33" t="s">
        <v>1219</v>
      </c>
    </row>
    <row r="973" spans="11:13" x14ac:dyDescent="0.2">
      <c r="K973" s="39">
        <v>45533</v>
      </c>
      <c r="L973" s="39">
        <v>45533</v>
      </c>
      <c r="M973" s="33" t="s">
        <v>1219</v>
      </c>
    </row>
    <row r="974" spans="11:13" x14ac:dyDescent="0.2">
      <c r="K974" s="39">
        <v>45534</v>
      </c>
      <c r="L974" s="39">
        <v>45534</v>
      </c>
      <c r="M974" s="33" t="s">
        <v>1219</v>
      </c>
    </row>
    <row r="975" spans="11:13" x14ac:dyDescent="0.2">
      <c r="K975" s="39">
        <v>45535</v>
      </c>
      <c r="L975" s="39">
        <v>45535</v>
      </c>
      <c r="M975" s="33" t="s">
        <v>1220</v>
      </c>
    </row>
    <row r="976" spans="11:13" x14ac:dyDescent="0.2">
      <c r="K976" s="39">
        <v>45536</v>
      </c>
      <c r="L976" s="39">
        <v>45536</v>
      </c>
      <c r="M976" s="33" t="s">
        <v>1220</v>
      </c>
    </row>
    <row r="977" spans="11:13" x14ac:dyDescent="0.2">
      <c r="K977" s="39">
        <v>45537</v>
      </c>
      <c r="L977" s="39">
        <v>45537</v>
      </c>
      <c r="M977" s="33" t="s">
        <v>1220</v>
      </c>
    </row>
    <row r="978" spans="11:13" x14ac:dyDescent="0.2">
      <c r="K978" s="39">
        <v>45538</v>
      </c>
      <c r="L978" s="39">
        <v>45538</v>
      </c>
      <c r="M978" s="33" t="s">
        <v>1220</v>
      </c>
    </row>
    <row r="979" spans="11:13" x14ac:dyDescent="0.2">
      <c r="K979" s="39">
        <v>45539</v>
      </c>
      <c r="L979" s="39">
        <v>45539</v>
      </c>
      <c r="M979" s="33" t="s">
        <v>1220</v>
      </c>
    </row>
    <row r="980" spans="11:13" x14ac:dyDescent="0.2">
      <c r="K980" s="39">
        <v>45540</v>
      </c>
      <c r="L980" s="39">
        <v>45540</v>
      </c>
      <c r="M980" s="33" t="s">
        <v>1220</v>
      </c>
    </row>
    <row r="981" spans="11:13" x14ac:dyDescent="0.2">
      <c r="K981" s="39">
        <v>45541</v>
      </c>
      <c r="L981" s="39">
        <v>45541</v>
      </c>
      <c r="M981" s="33" t="s">
        <v>1220</v>
      </c>
    </row>
    <row r="982" spans="11:13" x14ac:dyDescent="0.2">
      <c r="K982" s="39">
        <v>45542</v>
      </c>
      <c r="L982" s="39">
        <v>45542</v>
      </c>
      <c r="M982" s="33" t="s">
        <v>1221</v>
      </c>
    </row>
    <row r="983" spans="11:13" x14ac:dyDescent="0.2">
      <c r="K983" s="39">
        <v>45543</v>
      </c>
      <c r="L983" s="39">
        <v>45543</v>
      </c>
      <c r="M983" s="33" t="s">
        <v>1221</v>
      </c>
    </row>
    <row r="984" spans="11:13" x14ac:dyDescent="0.2">
      <c r="K984" s="39">
        <v>45544</v>
      </c>
      <c r="L984" s="39">
        <v>45544</v>
      </c>
      <c r="M984" s="33" t="s">
        <v>1221</v>
      </c>
    </row>
    <row r="985" spans="11:13" x14ac:dyDescent="0.2">
      <c r="K985" s="39">
        <v>45545</v>
      </c>
      <c r="L985" s="39">
        <v>45545</v>
      </c>
      <c r="M985" s="33" t="s">
        <v>1221</v>
      </c>
    </row>
    <row r="986" spans="11:13" x14ac:dyDescent="0.2">
      <c r="K986" s="39">
        <v>45546</v>
      </c>
      <c r="L986" s="39">
        <v>45546</v>
      </c>
      <c r="M986" s="33" t="s">
        <v>1221</v>
      </c>
    </row>
    <row r="987" spans="11:13" x14ac:dyDescent="0.2">
      <c r="K987" s="39">
        <v>45547</v>
      </c>
      <c r="L987" s="39">
        <v>45547</v>
      </c>
      <c r="M987" s="33" t="s">
        <v>1221</v>
      </c>
    </row>
    <row r="988" spans="11:13" x14ac:dyDescent="0.2">
      <c r="K988" s="39">
        <v>45548</v>
      </c>
      <c r="L988" s="39">
        <v>45548</v>
      </c>
      <c r="M988" s="33" t="s">
        <v>1221</v>
      </c>
    </row>
    <row r="989" spans="11:13" x14ac:dyDescent="0.2">
      <c r="K989" s="39">
        <v>45549</v>
      </c>
      <c r="L989" s="39">
        <v>45549</v>
      </c>
      <c r="M989" s="33" t="s">
        <v>1222</v>
      </c>
    </row>
    <row r="990" spans="11:13" x14ac:dyDescent="0.2">
      <c r="K990" s="39">
        <v>45550</v>
      </c>
      <c r="L990" s="39">
        <v>45550</v>
      </c>
      <c r="M990" s="33" t="s">
        <v>1222</v>
      </c>
    </row>
    <row r="991" spans="11:13" x14ac:dyDescent="0.2">
      <c r="K991" s="39">
        <v>45551</v>
      </c>
      <c r="L991" s="39">
        <v>45551</v>
      </c>
      <c r="M991" s="33" t="s">
        <v>1222</v>
      </c>
    </row>
    <row r="992" spans="11:13" x14ac:dyDescent="0.2">
      <c r="K992" s="39">
        <v>45552</v>
      </c>
      <c r="L992" s="39">
        <v>45552</v>
      </c>
      <c r="M992" s="33" t="s">
        <v>1222</v>
      </c>
    </row>
    <row r="993" spans="11:13" x14ac:dyDescent="0.2">
      <c r="K993" s="39">
        <v>45553</v>
      </c>
      <c r="L993" s="39">
        <v>45553</v>
      </c>
      <c r="M993" s="33" t="s">
        <v>1222</v>
      </c>
    </row>
    <row r="994" spans="11:13" x14ac:dyDescent="0.2">
      <c r="K994" s="39">
        <v>45554</v>
      </c>
      <c r="L994" s="39">
        <v>45554</v>
      </c>
      <c r="M994" s="33" t="s">
        <v>1222</v>
      </c>
    </row>
    <row r="995" spans="11:13" x14ac:dyDescent="0.2">
      <c r="K995" s="39">
        <v>45555</v>
      </c>
      <c r="L995" s="39">
        <v>45555</v>
      </c>
      <c r="M995" s="33" t="s">
        <v>1222</v>
      </c>
    </row>
    <row r="996" spans="11:13" x14ac:dyDescent="0.2">
      <c r="K996" s="39">
        <v>45556</v>
      </c>
      <c r="L996" s="39">
        <v>45556</v>
      </c>
      <c r="M996" s="33" t="s">
        <v>1223</v>
      </c>
    </row>
    <row r="997" spans="11:13" x14ac:dyDescent="0.2">
      <c r="K997" s="39">
        <v>45557</v>
      </c>
      <c r="L997" s="39">
        <v>45557</v>
      </c>
      <c r="M997" s="33" t="s">
        <v>1223</v>
      </c>
    </row>
    <row r="998" spans="11:13" x14ac:dyDescent="0.2">
      <c r="K998" s="39">
        <v>45558</v>
      </c>
      <c r="L998" s="39">
        <v>45558</v>
      </c>
      <c r="M998" s="33" t="s">
        <v>1223</v>
      </c>
    </row>
    <row r="999" spans="11:13" x14ac:dyDescent="0.2">
      <c r="K999" s="39">
        <v>45559</v>
      </c>
      <c r="L999" s="39">
        <v>45559</v>
      </c>
      <c r="M999" s="33" t="s">
        <v>1223</v>
      </c>
    </row>
    <row r="1000" spans="11:13" x14ac:dyDescent="0.2">
      <c r="K1000" s="39">
        <v>45560</v>
      </c>
      <c r="L1000" s="39">
        <v>45560</v>
      </c>
      <c r="M1000" s="33" t="s">
        <v>1223</v>
      </c>
    </row>
    <row r="1001" spans="11:13" x14ac:dyDescent="0.2">
      <c r="K1001" s="39">
        <v>45561</v>
      </c>
      <c r="L1001" s="39">
        <v>45561</v>
      </c>
      <c r="M1001" s="33" t="s">
        <v>1223</v>
      </c>
    </row>
    <row r="1002" spans="11:13" x14ac:dyDescent="0.2">
      <c r="K1002" s="39">
        <v>45562</v>
      </c>
      <c r="L1002" s="39">
        <v>45562</v>
      </c>
      <c r="M1002" s="33" t="s">
        <v>1223</v>
      </c>
    </row>
    <row r="1003" spans="11:13" x14ac:dyDescent="0.2">
      <c r="K1003" s="39">
        <v>45563</v>
      </c>
      <c r="L1003" s="39">
        <v>45563</v>
      </c>
      <c r="M1003" s="33" t="s">
        <v>1224</v>
      </c>
    </row>
    <row r="1004" spans="11:13" x14ac:dyDescent="0.2">
      <c r="K1004" s="39">
        <v>45564</v>
      </c>
      <c r="L1004" s="39">
        <v>45564</v>
      </c>
      <c r="M1004" s="33" t="s">
        <v>1224</v>
      </c>
    </row>
    <row r="1005" spans="11:13" x14ac:dyDescent="0.2">
      <c r="K1005" s="39">
        <v>45565</v>
      </c>
      <c r="L1005" s="39">
        <v>45565</v>
      </c>
      <c r="M1005" s="33" t="s">
        <v>1224</v>
      </c>
    </row>
    <row r="1006" spans="11:13" x14ac:dyDescent="0.2">
      <c r="K1006" s="39">
        <v>45566</v>
      </c>
      <c r="L1006" s="39">
        <v>45566</v>
      </c>
      <c r="M1006" s="33" t="s">
        <v>1224</v>
      </c>
    </row>
    <row r="1007" spans="11:13" x14ac:dyDescent="0.2">
      <c r="K1007" s="39">
        <v>45567</v>
      </c>
      <c r="L1007" s="39">
        <v>45567</v>
      </c>
      <c r="M1007" s="33" t="s">
        <v>1224</v>
      </c>
    </row>
    <row r="1008" spans="11:13" x14ac:dyDescent="0.2">
      <c r="K1008" s="39">
        <v>45568</v>
      </c>
      <c r="L1008" s="39">
        <v>45568</v>
      </c>
      <c r="M1008" s="33" t="s">
        <v>1224</v>
      </c>
    </row>
    <row r="1009" spans="11:13" x14ac:dyDescent="0.2">
      <c r="K1009" s="39">
        <v>45569</v>
      </c>
      <c r="L1009" s="39">
        <v>45569</v>
      </c>
      <c r="M1009" s="33" t="s">
        <v>1224</v>
      </c>
    </row>
    <row r="1010" spans="11:13" x14ac:dyDescent="0.2">
      <c r="K1010" s="39">
        <v>45570</v>
      </c>
      <c r="L1010" s="39">
        <v>45570</v>
      </c>
      <c r="M1010" s="33" t="s">
        <v>2273</v>
      </c>
    </row>
    <row r="1011" spans="11:13" x14ac:dyDescent="0.2">
      <c r="K1011" s="39">
        <v>45571</v>
      </c>
      <c r="L1011" s="39">
        <v>45571</v>
      </c>
      <c r="M1011" s="33" t="s">
        <v>2273</v>
      </c>
    </row>
    <row r="1012" spans="11:13" x14ac:dyDescent="0.2">
      <c r="K1012" s="39">
        <v>45572</v>
      </c>
      <c r="L1012" s="39">
        <v>45572</v>
      </c>
      <c r="M1012" s="33" t="s">
        <v>2273</v>
      </c>
    </row>
    <row r="1013" spans="11:13" x14ac:dyDescent="0.2">
      <c r="K1013" s="39">
        <v>45573</v>
      </c>
      <c r="L1013" s="39">
        <v>45573</v>
      </c>
      <c r="M1013" s="33" t="s">
        <v>2273</v>
      </c>
    </row>
    <row r="1014" spans="11:13" x14ac:dyDescent="0.2">
      <c r="K1014" s="39">
        <v>45574</v>
      </c>
      <c r="L1014" s="39">
        <v>45574</v>
      </c>
      <c r="M1014" s="33" t="s">
        <v>2273</v>
      </c>
    </row>
    <row r="1015" spans="11:13" x14ac:dyDescent="0.2">
      <c r="K1015" s="39">
        <v>45575</v>
      </c>
      <c r="L1015" s="39">
        <v>45575</v>
      </c>
      <c r="M1015" s="33" t="s">
        <v>2273</v>
      </c>
    </row>
    <row r="1016" spans="11:13" x14ac:dyDescent="0.2">
      <c r="K1016" s="39">
        <v>45576</v>
      </c>
      <c r="L1016" s="39">
        <v>45576</v>
      </c>
      <c r="M1016" s="33" t="s">
        <v>2273</v>
      </c>
    </row>
    <row r="1017" spans="11:13" x14ac:dyDescent="0.2">
      <c r="K1017" s="39">
        <v>45577</v>
      </c>
      <c r="L1017" s="39">
        <v>45577</v>
      </c>
      <c r="M1017" s="33" t="s">
        <v>2274</v>
      </c>
    </row>
    <row r="1018" spans="11:13" x14ac:dyDescent="0.2">
      <c r="K1018" s="39">
        <v>45578</v>
      </c>
      <c r="L1018" s="39">
        <v>45578</v>
      </c>
      <c r="M1018" s="33" t="s">
        <v>2274</v>
      </c>
    </row>
    <row r="1019" spans="11:13" x14ac:dyDescent="0.2">
      <c r="K1019" s="39">
        <v>45579</v>
      </c>
      <c r="L1019" s="39">
        <v>45579</v>
      </c>
      <c r="M1019" s="33" t="s">
        <v>2274</v>
      </c>
    </row>
    <row r="1020" spans="11:13" x14ac:dyDescent="0.2">
      <c r="K1020" s="39">
        <v>45580</v>
      </c>
      <c r="L1020" s="39">
        <v>45580</v>
      </c>
      <c r="M1020" s="33" t="s">
        <v>2274</v>
      </c>
    </row>
    <row r="1021" spans="11:13" x14ac:dyDescent="0.2">
      <c r="K1021" s="39">
        <v>45581</v>
      </c>
      <c r="L1021" s="39">
        <v>45581</v>
      </c>
      <c r="M1021" s="33" t="s">
        <v>2274</v>
      </c>
    </row>
    <row r="1022" spans="11:13" x14ac:dyDescent="0.2">
      <c r="K1022" s="39">
        <v>45582</v>
      </c>
      <c r="L1022" s="39">
        <v>45582</v>
      </c>
      <c r="M1022" s="33" t="s">
        <v>2274</v>
      </c>
    </row>
    <row r="1023" spans="11:13" x14ac:dyDescent="0.2">
      <c r="K1023" s="39">
        <v>45583</v>
      </c>
      <c r="L1023" s="39">
        <v>45583</v>
      </c>
      <c r="M1023" s="33" t="s">
        <v>2274</v>
      </c>
    </row>
    <row r="1024" spans="11:13" x14ac:dyDescent="0.2">
      <c r="K1024" s="39">
        <v>45584</v>
      </c>
      <c r="L1024" s="39">
        <v>45584</v>
      </c>
      <c r="M1024" s="33" t="s">
        <v>2275</v>
      </c>
    </row>
    <row r="1025" spans="11:13" x14ac:dyDescent="0.2">
      <c r="K1025" s="39">
        <v>45585</v>
      </c>
      <c r="L1025" s="39">
        <v>45585</v>
      </c>
      <c r="M1025" s="33" t="s">
        <v>2275</v>
      </c>
    </row>
    <row r="1026" spans="11:13" x14ac:dyDescent="0.2">
      <c r="K1026" s="39">
        <v>45586</v>
      </c>
      <c r="L1026" s="39">
        <v>45586</v>
      </c>
      <c r="M1026" s="33" t="s">
        <v>2275</v>
      </c>
    </row>
    <row r="1027" spans="11:13" x14ac:dyDescent="0.2">
      <c r="K1027" s="39">
        <v>45587</v>
      </c>
      <c r="L1027" s="39">
        <v>45587</v>
      </c>
      <c r="M1027" s="33" t="s">
        <v>2275</v>
      </c>
    </row>
    <row r="1028" spans="11:13" x14ac:dyDescent="0.2">
      <c r="K1028" s="39">
        <v>45588</v>
      </c>
      <c r="L1028" s="39">
        <v>45588</v>
      </c>
      <c r="M1028" s="33" t="s">
        <v>2275</v>
      </c>
    </row>
    <row r="1029" spans="11:13" x14ac:dyDescent="0.2">
      <c r="K1029" s="39">
        <v>45589</v>
      </c>
      <c r="L1029" s="39">
        <v>45589</v>
      </c>
      <c r="M1029" s="33" t="s">
        <v>2275</v>
      </c>
    </row>
    <row r="1030" spans="11:13" x14ac:dyDescent="0.2">
      <c r="K1030" s="39">
        <v>45590</v>
      </c>
      <c r="L1030" s="39">
        <v>45590</v>
      </c>
      <c r="M1030" s="33" t="s">
        <v>2275</v>
      </c>
    </row>
    <row r="1031" spans="11:13" x14ac:dyDescent="0.2">
      <c r="K1031" s="39">
        <v>45591</v>
      </c>
      <c r="L1031" s="39">
        <v>45591</v>
      </c>
      <c r="M1031" s="33" t="s">
        <v>2276</v>
      </c>
    </row>
    <row r="1032" spans="11:13" x14ac:dyDescent="0.2">
      <c r="K1032" s="39">
        <v>45592</v>
      </c>
      <c r="L1032" s="39">
        <v>45592</v>
      </c>
      <c r="M1032" s="33" t="s">
        <v>2276</v>
      </c>
    </row>
    <row r="1033" spans="11:13" x14ac:dyDescent="0.2">
      <c r="K1033" s="39">
        <v>45593</v>
      </c>
      <c r="L1033" s="39">
        <v>45593</v>
      </c>
      <c r="M1033" s="33" t="s">
        <v>2276</v>
      </c>
    </row>
    <row r="1034" spans="11:13" x14ac:dyDescent="0.2">
      <c r="K1034" s="39">
        <v>45594</v>
      </c>
      <c r="L1034" s="39">
        <v>45594</v>
      </c>
      <c r="M1034" s="33" t="s">
        <v>2276</v>
      </c>
    </row>
    <row r="1035" spans="11:13" x14ac:dyDescent="0.2">
      <c r="K1035" s="39">
        <v>45595</v>
      </c>
      <c r="L1035" s="39">
        <v>45595</v>
      </c>
      <c r="M1035" s="33" t="s">
        <v>2276</v>
      </c>
    </row>
    <row r="1036" spans="11:13" x14ac:dyDescent="0.2">
      <c r="K1036" s="39">
        <v>45596</v>
      </c>
      <c r="L1036" s="39">
        <v>45596</v>
      </c>
      <c r="M1036" s="33" t="s">
        <v>2276</v>
      </c>
    </row>
    <row r="1037" spans="11:13" x14ac:dyDescent="0.2">
      <c r="K1037" s="39">
        <v>45597</v>
      </c>
      <c r="L1037" s="39">
        <v>45597</v>
      </c>
      <c r="M1037" s="33" t="s">
        <v>2276</v>
      </c>
    </row>
    <row r="1038" spans="11:13" x14ac:dyDescent="0.2">
      <c r="K1038" s="39">
        <v>45598</v>
      </c>
      <c r="L1038" s="39">
        <v>45598</v>
      </c>
      <c r="M1038" s="33" t="s">
        <v>2293</v>
      </c>
    </row>
    <row r="1039" spans="11:13" x14ac:dyDescent="0.2">
      <c r="K1039" s="39">
        <v>45599</v>
      </c>
      <c r="L1039" s="39">
        <v>45599</v>
      </c>
      <c r="M1039" s="33" t="s">
        <v>2293</v>
      </c>
    </row>
    <row r="1040" spans="11:13" x14ac:dyDescent="0.2">
      <c r="K1040" s="39">
        <v>45600</v>
      </c>
      <c r="L1040" s="39">
        <v>45600</v>
      </c>
      <c r="M1040" s="33" t="s">
        <v>2293</v>
      </c>
    </row>
    <row r="1041" spans="11:13" x14ac:dyDescent="0.2">
      <c r="K1041" s="39">
        <v>45601</v>
      </c>
      <c r="L1041" s="39">
        <v>45601</v>
      </c>
      <c r="M1041" s="33" t="s">
        <v>2293</v>
      </c>
    </row>
    <row r="1042" spans="11:13" x14ac:dyDescent="0.2">
      <c r="K1042" s="39">
        <v>45602</v>
      </c>
      <c r="L1042" s="39">
        <v>45602</v>
      </c>
      <c r="M1042" s="33" t="s">
        <v>2293</v>
      </c>
    </row>
    <row r="1043" spans="11:13" x14ac:dyDescent="0.2">
      <c r="K1043" s="39">
        <v>45603</v>
      </c>
      <c r="L1043" s="39">
        <v>45603</v>
      </c>
      <c r="M1043" s="33" t="s">
        <v>2293</v>
      </c>
    </row>
    <row r="1044" spans="11:13" x14ac:dyDescent="0.2">
      <c r="K1044" s="39">
        <v>45604</v>
      </c>
      <c r="L1044" s="39">
        <v>45604</v>
      </c>
      <c r="M1044" s="33" t="s">
        <v>2293</v>
      </c>
    </row>
    <row r="1045" spans="11:13" x14ac:dyDescent="0.2">
      <c r="K1045" s="39">
        <v>45605</v>
      </c>
      <c r="L1045" s="39">
        <v>45605</v>
      </c>
      <c r="M1045" s="33" t="s">
        <v>2294</v>
      </c>
    </row>
    <row r="1046" spans="11:13" x14ac:dyDescent="0.2">
      <c r="K1046" s="39">
        <v>45606</v>
      </c>
      <c r="L1046" s="39">
        <v>45606</v>
      </c>
      <c r="M1046" s="33" t="s">
        <v>2294</v>
      </c>
    </row>
    <row r="1047" spans="11:13" x14ac:dyDescent="0.2">
      <c r="K1047" s="39">
        <v>45607</v>
      </c>
      <c r="L1047" s="39">
        <v>45607</v>
      </c>
      <c r="M1047" s="33" t="s">
        <v>2294</v>
      </c>
    </row>
    <row r="1048" spans="11:13" x14ac:dyDescent="0.2">
      <c r="K1048" s="39">
        <v>45608</v>
      </c>
      <c r="L1048" s="39">
        <v>45608</v>
      </c>
      <c r="M1048" s="33" t="s">
        <v>2294</v>
      </c>
    </row>
    <row r="1049" spans="11:13" x14ac:dyDescent="0.2">
      <c r="K1049" s="39">
        <v>45609</v>
      </c>
      <c r="L1049" s="39">
        <v>45609</v>
      </c>
      <c r="M1049" s="33" t="s">
        <v>2294</v>
      </c>
    </row>
    <row r="1050" spans="11:13" x14ac:dyDescent="0.2">
      <c r="K1050" s="39">
        <v>45610</v>
      </c>
      <c r="L1050" s="39">
        <v>45610</v>
      </c>
      <c r="M1050" s="33" t="s">
        <v>2294</v>
      </c>
    </row>
    <row r="1051" spans="11:13" x14ac:dyDescent="0.2">
      <c r="K1051" s="39">
        <v>45611</v>
      </c>
      <c r="L1051" s="39">
        <v>45611</v>
      </c>
      <c r="M1051" s="33" t="s">
        <v>2294</v>
      </c>
    </row>
    <row r="1052" spans="11:13" x14ac:dyDescent="0.2">
      <c r="K1052" s="39">
        <v>45612</v>
      </c>
      <c r="L1052" s="39">
        <v>45612</v>
      </c>
      <c r="M1052" s="33" t="s">
        <v>2295</v>
      </c>
    </row>
    <row r="1053" spans="11:13" x14ac:dyDescent="0.2">
      <c r="K1053" s="39">
        <v>45613</v>
      </c>
      <c r="L1053" s="39">
        <v>45613</v>
      </c>
      <c r="M1053" s="33" t="s">
        <v>2295</v>
      </c>
    </row>
    <row r="1054" spans="11:13" x14ac:dyDescent="0.2">
      <c r="K1054" s="39">
        <v>45614</v>
      </c>
      <c r="L1054" s="39">
        <v>45614</v>
      </c>
      <c r="M1054" s="33" t="s">
        <v>2295</v>
      </c>
    </row>
    <row r="1055" spans="11:13" x14ac:dyDescent="0.2">
      <c r="K1055" s="39">
        <v>45615</v>
      </c>
      <c r="L1055" s="39">
        <v>45615</v>
      </c>
      <c r="M1055" s="33" t="s">
        <v>2295</v>
      </c>
    </row>
    <row r="1056" spans="11:13" x14ac:dyDescent="0.2">
      <c r="K1056" s="39">
        <v>45616</v>
      </c>
      <c r="L1056" s="39">
        <v>45616</v>
      </c>
      <c r="M1056" s="33" t="s">
        <v>2295</v>
      </c>
    </row>
    <row r="1057" spans="11:13" x14ac:dyDescent="0.2">
      <c r="K1057" s="39">
        <v>45617</v>
      </c>
      <c r="L1057" s="39">
        <v>45617</v>
      </c>
      <c r="M1057" s="33" t="s">
        <v>2295</v>
      </c>
    </row>
    <row r="1058" spans="11:13" x14ac:dyDescent="0.2">
      <c r="K1058" s="39">
        <v>45618</v>
      </c>
      <c r="L1058" s="39">
        <v>45618</v>
      </c>
      <c r="M1058" s="33" t="s">
        <v>2295</v>
      </c>
    </row>
    <row r="1059" spans="11:13" x14ac:dyDescent="0.2">
      <c r="K1059" s="39">
        <v>45619</v>
      </c>
      <c r="L1059" s="39">
        <v>45619</v>
      </c>
      <c r="M1059" s="33" t="s">
        <v>2296</v>
      </c>
    </row>
    <row r="1060" spans="11:13" x14ac:dyDescent="0.2">
      <c r="K1060" s="39">
        <v>45620</v>
      </c>
      <c r="L1060" s="39">
        <v>45620</v>
      </c>
      <c r="M1060" s="33" t="s">
        <v>2296</v>
      </c>
    </row>
    <row r="1061" spans="11:13" x14ac:dyDescent="0.2">
      <c r="K1061" s="39">
        <v>45621</v>
      </c>
      <c r="L1061" s="39">
        <v>45621</v>
      </c>
      <c r="M1061" s="33" t="s">
        <v>2296</v>
      </c>
    </row>
    <row r="1062" spans="11:13" x14ac:dyDescent="0.2">
      <c r="K1062" s="39">
        <v>45622</v>
      </c>
      <c r="L1062" s="39">
        <v>45622</v>
      </c>
      <c r="M1062" s="33" t="s">
        <v>2296</v>
      </c>
    </row>
    <row r="1063" spans="11:13" x14ac:dyDescent="0.2">
      <c r="K1063" s="39">
        <v>45623</v>
      </c>
      <c r="L1063" s="39">
        <v>45623</v>
      </c>
      <c r="M1063" s="33" t="s">
        <v>2296</v>
      </c>
    </row>
    <row r="1064" spans="11:13" x14ac:dyDescent="0.2">
      <c r="K1064" s="39">
        <v>45624</v>
      </c>
      <c r="L1064" s="39">
        <v>45624</v>
      </c>
      <c r="M1064" s="33" t="s">
        <v>2296</v>
      </c>
    </row>
    <row r="1065" spans="11:13" x14ac:dyDescent="0.2">
      <c r="K1065" s="39">
        <v>45625</v>
      </c>
      <c r="L1065" s="39">
        <v>45625</v>
      </c>
      <c r="M1065" s="33" t="s">
        <v>2296</v>
      </c>
    </row>
    <row r="1066" spans="11:13" x14ac:dyDescent="0.2">
      <c r="K1066" s="39">
        <v>45626</v>
      </c>
      <c r="L1066" s="39">
        <v>45626</v>
      </c>
      <c r="M1066" s="33" t="s">
        <v>2297</v>
      </c>
    </row>
    <row r="1067" spans="11:13" x14ac:dyDescent="0.2">
      <c r="K1067" s="39">
        <v>45627</v>
      </c>
      <c r="L1067" s="39">
        <v>45627</v>
      </c>
      <c r="M1067" s="33" t="s">
        <v>2297</v>
      </c>
    </row>
    <row r="1068" spans="11:13" x14ac:dyDescent="0.2">
      <c r="K1068" s="39">
        <v>45628</v>
      </c>
      <c r="L1068" s="39">
        <v>45628</v>
      </c>
      <c r="M1068" s="33" t="s">
        <v>2297</v>
      </c>
    </row>
    <row r="1069" spans="11:13" x14ac:dyDescent="0.2">
      <c r="K1069" s="39">
        <v>45629</v>
      </c>
      <c r="L1069" s="39">
        <v>45629</v>
      </c>
      <c r="M1069" s="33" t="s">
        <v>2297</v>
      </c>
    </row>
    <row r="1070" spans="11:13" x14ac:dyDescent="0.2">
      <c r="K1070" s="39">
        <v>45630</v>
      </c>
      <c r="L1070" s="39">
        <v>45630</v>
      </c>
      <c r="M1070" s="33" t="s">
        <v>2297</v>
      </c>
    </row>
    <row r="1071" spans="11:13" x14ac:dyDescent="0.2">
      <c r="K1071" s="39">
        <v>45631</v>
      </c>
      <c r="L1071" s="39">
        <v>45631</v>
      </c>
      <c r="M1071" s="33" t="s">
        <v>2297</v>
      </c>
    </row>
    <row r="1072" spans="11:13" x14ac:dyDescent="0.2">
      <c r="K1072" s="39">
        <v>45632</v>
      </c>
      <c r="L1072" s="39">
        <v>45632</v>
      </c>
      <c r="M1072" s="33" t="s">
        <v>2297</v>
      </c>
    </row>
    <row r="1073" spans="11:13" x14ac:dyDescent="0.2">
      <c r="K1073" s="39">
        <v>45633</v>
      </c>
      <c r="L1073" s="39">
        <v>45633</v>
      </c>
      <c r="M1073" s="33" t="s">
        <v>2298</v>
      </c>
    </row>
    <row r="1074" spans="11:13" x14ac:dyDescent="0.2">
      <c r="K1074" s="39">
        <v>45634</v>
      </c>
      <c r="L1074" s="39">
        <v>45634</v>
      </c>
      <c r="M1074" s="33" t="s">
        <v>2298</v>
      </c>
    </row>
    <row r="1075" spans="11:13" x14ac:dyDescent="0.2">
      <c r="K1075" s="39">
        <v>45635</v>
      </c>
      <c r="L1075" s="39">
        <v>45635</v>
      </c>
      <c r="M1075" s="33" t="s">
        <v>2298</v>
      </c>
    </row>
    <row r="1076" spans="11:13" x14ac:dyDescent="0.2">
      <c r="K1076" s="39">
        <v>45636</v>
      </c>
      <c r="L1076" s="39">
        <v>45636</v>
      </c>
      <c r="M1076" s="33" t="s">
        <v>2298</v>
      </c>
    </row>
    <row r="1077" spans="11:13" x14ac:dyDescent="0.2">
      <c r="K1077" s="39">
        <v>45637</v>
      </c>
      <c r="L1077" s="39">
        <v>45637</v>
      </c>
      <c r="M1077" s="33" t="s">
        <v>2298</v>
      </c>
    </row>
    <row r="1078" spans="11:13" x14ac:dyDescent="0.2">
      <c r="K1078" s="39">
        <v>45638</v>
      </c>
      <c r="L1078" s="39">
        <v>45638</v>
      </c>
      <c r="M1078" s="33" t="s">
        <v>2298</v>
      </c>
    </row>
    <row r="1079" spans="11:13" x14ac:dyDescent="0.2">
      <c r="K1079" s="39">
        <v>45639</v>
      </c>
      <c r="L1079" s="39">
        <v>45639</v>
      </c>
      <c r="M1079" s="33" t="s">
        <v>2298</v>
      </c>
    </row>
    <row r="1080" spans="11:13" x14ac:dyDescent="0.2">
      <c r="K1080" s="39">
        <v>45640</v>
      </c>
      <c r="L1080" s="39">
        <v>45640</v>
      </c>
      <c r="M1080" s="33" t="s">
        <v>2299</v>
      </c>
    </row>
    <row r="1081" spans="11:13" x14ac:dyDescent="0.2">
      <c r="K1081" s="39">
        <v>45641</v>
      </c>
      <c r="L1081" s="39">
        <v>45641</v>
      </c>
      <c r="M1081" s="33" t="s">
        <v>2299</v>
      </c>
    </row>
    <row r="1082" spans="11:13" x14ac:dyDescent="0.2">
      <c r="K1082" s="39">
        <v>45642</v>
      </c>
      <c r="L1082" s="39">
        <v>45642</v>
      </c>
      <c r="M1082" s="33" t="s">
        <v>2299</v>
      </c>
    </row>
    <row r="1083" spans="11:13" x14ac:dyDescent="0.2">
      <c r="K1083" s="39">
        <v>45643</v>
      </c>
      <c r="L1083" s="39">
        <v>45643</v>
      </c>
      <c r="M1083" s="33" t="s">
        <v>2299</v>
      </c>
    </row>
    <row r="1084" spans="11:13" x14ac:dyDescent="0.2">
      <c r="K1084" s="39">
        <v>45644</v>
      </c>
      <c r="L1084" s="39">
        <v>45644</v>
      </c>
      <c r="M1084" s="33" t="s">
        <v>2299</v>
      </c>
    </row>
    <row r="1085" spans="11:13" x14ac:dyDescent="0.2">
      <c r="K1085" s="39">
        <v>45645</v>
      </c>
      <c r="L1085" s="39">
        <v>45645</v>
      </c>
      <c r="M1085" s="33" t="s">
        <v>2299</v>
      </c>
    </row>
    <row r="1086" spans="11:13" x14ac:dyDescent="0.2">
      <c r="K1086" s="39">
        <v>45646</v>
      </c>
      <c r="L1086" s="39">
        <v>45646</v>
      </c>
      <c r="M1086" s="33" t="s">
        <v>2299</v>
      </c>
    </row>
    <row r="1087" spans="11:13" x14ac:dyDescent="0.2">
      <c r="K1087" s="39">
        <v>45647</v>
      </c>
      <c r="L1087" s="39">
        <v>45647</v>
      </c>
      <c r="M1087" s="33" t="s">
        <v>2300</v>
      </c>
    </row>
    <row r="1088" spans="11:13" x14ac:dyDescent="0.2">
      <c r="K1088" s="39">
        <v>45648</v>
      </c>
      <c r="L1088" s="39">
        <v>45648</v>
      </c>
      <c r="M1088" s="33" t="s">
        <v>2300</v>
      </c>
    </row>
    <row r="1089" spans="11:13" x14ac:dyDescent="0.2">
      <c r="K1089" s="39">
        <v>45649</v>
      </c>
      <c r="L1089" s="39">
        <v>45649</v>
      </c>
      <c r="M1089" s="33" t="s">
        <v>2300</v>
      </c>
    </row>
    <row r="1090" spans="11:13" x14ac:dyDescent="0.2">
      <c r="K1090" s="39">
        <v>45650</v>
      </c>
      <c r="L1090" s="39">
        <v>45650</v>
      </c>
      <c r="M1090" s="33" t="s">
        <v>2300</v>
      </c>
    </row>
    <row r="1091" spans="11:13" x14ac:dyDescent="0.2">
      <c r="K1091" s="39">
        <v>45651</v>
      </c>
      <c r="L1091" s="39">
        <v>45651</v>
      </c>
      <c r="M1091" s="33" t="s">
        <v>2300</v>
      </c>
    </row>
    <row r="1092" spans="11:13" x14ac:dyDescent="0.2">
      <c r="K1092" s="39">
        <v>45652</v>
      </c>
      <c r="L1092" s="39">
        <v>45652</v>
      </c>
      <c r="M1092" s="33" t="s">
        <v>2300</v>
      </c>
    </row>
    <row r="1093" spans="11:13" x14ac:dyDescent="0.2">
      <c r="K1093" s="39">
        <v>45653</v>
      </c>
      <c r="L1093" s="39">
        <v>45653</v>
      </c>
      <c r="M1093" s="33" t="s">
        <v>2300</v>
      </c>
    </row>
    <row r="1094" spans="11:13" x14ac:dyDescent="0.2">
      <c r="K1094" s="39">
        <v>45654</v>
      </c>
      <c r="L1094" s="39">
        <v>45654</v>
      </c>
      <c r="M1094" s="33" t="s">
        <v>2302</v>
      </c>
    </row>
    <row r="1095" spans="11:13" x14ac:dyDescent="0.2">
      <c r="K1095" s="39">
        <v>45655</v>
      </c>
      <c r="L1095" s="39">
        <v>45655</v>
      </c>
      <c r="M1095" s="33" t="s">
        <v>2302</v>
      </c>
    </row>
    <row r="1096" spans="11:13" x14ac:dyDescent="0.2">
      <c r="K1096" s="39">
        <v>45656</v>
      </c>
      <c r="L1096" s="39">
        <v>45656</v>
      </c>
      <c r="M1096" s="33" t="s">
        <v>2302</v>
      </c>
    </row>
    <row r="1097" spans="11:13" x14ac:dyDescent="0.2">
      <c r="K1097" s="39">
        <v>45657</v>
      </c>
      <c r="L1097" s="39">
        <v>45657</v>
      </c>
      <c r="M1097" s="33" t="s">
        <v>2302</v>
      </c>
    </row>
    <row r="1098" spans="11:13" x14ac:dyDescent="0.2">
      <c r="K1098" s="39">
        <v>45658</v>
      </c>
      <c r="L1098" s="39">
        <v>45658</v>
      </c>
      <c r="M1098" s="33" t="s">
        <v>2302</v>
      </c>
    </row>
    <row r="1099" spans="11:13" x14ac:dyDescent="0.2">
      <c r="K1099" s="39">
        <v>45659</v>
      </c>
      <c r="L1099" s="39">
        <v>45659</v>
      </c>
      <c r="M1099" s="33" t="s">
        <v>2302</v>
      </c>
    </row>
    <row r="1100" spans="11:13" x14ac:dyDescent="0.2">
      <c r="K1100" s="39">
        <v>45660</v>
      </c>
      <c r="L1100" s="39">
        <v>45660</v>
      </c>
      <c r="M1100" s="33" t="s">
        <v>2302</v>
      </c>
    </row>
    <row r="1101" spans="11:13" x14ac:dyDescent="0.2">
      <c r="K1101" s="39">
        <v>45661</v>
      </c>
      <c r="L1101" s="39">
        <v>45661</v>
      </c>
    </row>
    <row r="1102" spans="11:13" x14ac:dyDescent="0.2">
      <c r="K1102" s="39">
        <v>45662</v>
      </c>
      <c r="L1102" s="39">
        <v>45662</v>
      </c>
    </row>
    <row r="1103" spans="11:13" x14ac:dyDescent="0.2">
      <c r="K1103" s="39">
        <v>45663</v>
      </c>
      <c r="L1103" s="39">
        <v>45663</v>
      </c>
    </row>
    <row r="1104" spans="11:13" x14ac:dyDescent="0.2">
      <c r="K1104" s="39">
        <v>45664</v>
      </c>
      <c r="L1104" s="39">
        <v>45664</v>
      </c>
    </row>
    <row r="1105" spans="11:12" x14ac:dyDescent="0.2">
      <c r="K1105" s="39">
        <v>45665</v>
      </c>
      <c r="L1105" s="39">
        <v>45665</v>
      </c>
    </row>
    <row r="1106" spans="11:12" x14ac:dyDescent="0.2">
      <c r="K1106" s="39">
        <v>45666</v>
      </c>
      <c r="L1106" s="39">
        <v>45666</v>
      </c>
    </row>
    <row r="1107" spans="11:12" x14ac:dyDescent="0.2">
      <c r="K1107" s="39">
        <v>45667</v>
      </c>
      <c r="L1107" s="39">
        <v>45667</v>
      </c>
    </row>
    <row r="1108" spans="11:12" x14ac:dyDescent="0.2">
      <c r="K1108" s="39">
        <v>45668</v>
      </c>
      <c r="L1108" s="39">
        <v>45668</v>
      </c>
    </row>
    <row r="1109" spans="11:12" x14ac:dyDescent="0.2">
      <c r="K1109" s="39">
        <v>45669</v>
      </c>
      <c r="L1109" s="39">
        <v>45669</v>
      </c>
    </row>
    <row r="1110" spans="11:12" x14ac:dyDescent="0.2">
      <c r="K1110" s="39">
        <v>45670</v>
      </c>
      <c r="L1110" s="39">
        <v>45670</v>
      </c>
    </row>
    <row r="1111" spans="11:12" x14ac:dyDescent="0.2">
      <c r="K1111" s="39">
        <v>45671</v>
      </c>
      <c r="L1111" s="39">
        <v>45671</v>
      </c>
    </row>
    <row r="1112" spans="11:12" x14ac:dyDescent="0.2">
      <c r="K1112" s="39">
        <v>45672</v>
      </c>
      <c r="L1112" s="39">
        <v>45672</v>
      </c>
    </row>
    <row r="1113" spans="11:12" x14ac:dyDescent="0.2">
      <c r="K1113" s="39">
        <v>45673</v>
      </c>
      <c r="L1113" s="39">
        <v>45673</v>
      </c>
    </row>
    <row r="1114" spans="11:12" x14ac:dyDescent="0.2">
      <c r="K1114" s="39">
        <v>45674</v>
      </c>
      <c r="L1114" s="39">
        <v>45674</v>
      </c>
    </row>
    <row r="1115" spans="11:12" x14ac:dyDescent="0.2">
      <c r="K1115" s="39">
        <v>45675</v>
      </c>
      <c r="L1115" s="39">
        <v>45675</v>
      </c>
    </row>
    <row r="1116" spans="11:12" x14ac:dyDescent="0.2">
      <c r="K1116" s="39">
        <v>45676</v>
      </c>
      <c r="L1116" s="39">
        <v>45676</v>
      </c>
    </row>
    <row r="1117" spans="11:12" x14ac:dyDescent="0.2">
      <c r="K1117" s="39">
        <v>45677</v>
      </c>
      <c r="L1117" s="39">
        <v>45677</v>
      </c>
    </row>
    <row r="1118" spans="11:12" x14ac:dyDescent="0.2">
      <c r="K1118" s="39">
        <v>45678</v>
      </c>
      <c r="L1118" s="39">
        <v>45678</v>
      </c>
    </row>
    <row r="1119" spans="11:12" x14ac:dyDescent="0.2">
      <c r="K1119" s="39">
        <v>45679</v>
      </c>
      <c r="L1119" s="39">
        <v>45679</v>
      </c>
    </row>
    <row r="1120" spans="11:12" x14ac:dyDescent="0.2">
      <c r="K1120" s="39">
        <v>45680</v>
      </c>
      <c r="L1120" s="39">
        <v>45680</v>
      </c>
    </row>
    <row r="1121" spans="11:12" x14ac:dyDescent="0.2">
      <c r="K1121" s="39">
        <v>45681</v>
      </c>
      <c r="L1121" s="39">
        <v>45681</v>
      </c>
    </row>
    <row r="1122" spans="11:12" x14ac:dyDescent="0.2">
      <c r="K1122" s="39">
        <v>45682</v>
      </c>
      <c r="L1122" s="39">
        <v>45682</v>
      </c>
    </row>
    <row r="1123" spans="11:12" x14ac:dyDescent="0.2">
      <c r="K1123" s="39">
        <v>45683</v>
      </c>
      <c r="L1123" s="39">
        <v>45683</v>
      </c>
    </row>
    <row r="1124" spans="11:12" x14ac:dyDescent="0.2">
      <c r="K1124" s="39">
        <v>45684</v>
      </c>
      <c r="L1124" s="39">
        <v>45684</v>
      </c>
    </row>
    <row r="1125" spans="11:12" x14ac:dyDescent="0.2">
      <c r="K1125" s="39">
        <v>45685</v>
      </c>
      <c r="L1125" s="39">
        <v>45685</v>
      </c>
    </row>
    <row r="1126" spans="11:12" x14ac:dyDescent="0.2">
      <c r="K1126" s="39">
        <v>45686</v>
      </c>
      <c r="L1126" s="39">
        <v>45686</v>
      </c>
    </row>
    <row r="1127" spans="11:12" x14ac:dyDescent="0.2">
      <c r="K1127" s="39">
        <v>45687</v>
      </c>
      <c r="L1127" s="39">
        <v>45687</v>
      </c>
    </row>
    <row r="1128" spans="11:12" x14ac:dyDescent="0.2">
      <c r="K1128" s="39">
        <v>45688</v>
      </c>
      <c r="L1128" s="39">
        <v>45688</v>
      </c>
    </row>
    <row r="1129" spans="11:12" x14ac:dyDescent="0.2">
      <c r="K1129" s="39">
        <v>45689</v>
      </c>
      <c r="L1129" s="39">
        <v>45689</v>
      </c>
    </row>
    <row r="1130" spans="11:12" x14ac:dyDescent="0.2">
      <c r="K1130" s="39">
        <v>45690</v>
      </c>
      <c r="L1130" s="39">
        <v>45690</v>
      </c>
    </row>
    <row r="1131" spans="11:12" x14ac:dyDescent="0.2">
      <c r="K1131" s="39">
        <v>45691</v>
      </c>
      <c r="L1131" s="39">
        <v>45691</v>
      </c>
    </row>
    <row r="1132" spans="11:12" x14ac:dyDescent="0.2">
      <c r="K1132" s="39">
        <v>45692</v>
      </c>
      <c r="L1132" s="39">
        <v>45692</v>
      </c>
    </row>
    <row r="1133" spans="11:12" x14ac:dyDescent="0.2">
      <c r="K1133" s="39">
        <v>45693</v>
      </c>
      <c r="L1133" s="39">
        <v>45693</v>
      </c>
    </row>
    <row r="1134" spans="11:12" x14ac:dyDescent="0.2">
      <c r="K1134" s="39">
        <v>45694</v>
      </c>
      <c r="L1134" s="39">
        <v>45694</v>
      </c>
    </row>
    <row r="1135" spans="11:12" x14ac:dyDescent="0.2">
      <c r="K1135" s="39">
        <v>45695</v>
      </c>
      <c r="L1135" s="39">
        <v>45695</v>
      </c>
    </row>
    <row r="1136" spans="11:12" x14ac:dyDescent="0.2">
      <c r="K1136" s="39">
        <v>45696</v>
      </c>
      <c r="L1136" s="39">
        <v>45696</v>
      </c>
    </row>
    <row r="1137" spans="11:12" x14ac:dyDescent="0.2">
      <c r="K1137" s="39">
        <v>45697</v>
      </c>
      <c r="L1137" s="39">
        <v>45697</v>
      </c>
    </row>
    <row r="1138" spans="11:12" x14ac:dyDescent="0.2">
      <c r="K1138" s="39">
        <v>45698</v>
      </c>
      <c r="L1138" s="39">
        <v>45698</v>
      </c>
    </row>
    <row r="1139" spans="11:12" x14ac:dyDescent="0.2">
      <c r="K1139" s="39">
        <v>45699</v>
      </c>
      <c r="L1139" s="39">
        <v>45699</v>
      </c>
    </row>
    <row r="1140" spans="11:12" x14ac:dyDescent="0.2">
      <c r="K1140" s="39">
        <v>45700</v>
      </c>
      <c r="L1140" s="39">
        <v>45700</v>
      </c>
    </row>
    <row r="1141" spans="11:12" x14ac:dyDescent="0.2">
      <c r="K1141" s="39">
        <v>45701</v>
      </c>
      <c r="L1141" s="39">
        <v>45701</v>
      </c>
    </row>
    <row r="1142" spans="11:12" x14ac:dyDescent="0.2">
      <c r="K1142" s="39">
        <v>45702</v>
      </c>
      <c r="L1142" s="39">
        <v>45702</v>
      </c>
    </row>
    <row r="1143" spans="11:12" x14ac:dyDescent="0.2">
      <c r="K1143" s="39">
        <v>45703</v>
      </c>
      <c r="L1143" s="39">
        <v>45703</v>
      </c>
    </row>
    <row r="1144" spans="11:12" x14ac:dyDescent="0.2">
      <c r="K1144" s="39">
        <v>45704</v>
      </c>
      <c r="L1144" s="39">
        <v>45704</v>
      </c>
    </row>
    <row r="1145" spans="11:12" x14ac:dyDescent="0.2">
      <c r="K1145" s="39">
        <v>45705</v>
      </c>
      <c r="L1145" s="39">
        <v>45705</v>
      </c>
    </row>
    <row r="1146" spans="11:12" x14ac:dyDescent="0.2">
      <c r="K1146" s="39">
        <v>45706</v>
      </c>
      <c r="L1146" s="39">
        <v>45706</v>
      </c>
    </row>
    <row r="1147" spans="11:12" x14ac:dyDescent="0.2">
      <c r="K1147" s="39">
        <v>45707</v>
      </c>
      <c r="L1147" s="39">
        <v>45707</v>
      </c>
    </row>
    <row r="1148" spans="11:12" x14ac:dyDescent="0.2">
      <c r="K1148" s="39">
        <v>45708</v>
      </c>
      <c r="L1148" s="39">
        <v>45708</v>
      </c>
    </row>
    <row r="1149" spans="11:12" x14ac:dyDescent="0.2">
      <c r="K1149" s="39">
        <v>45709</v>
      </c>
      <c r="L1149" s="39">
        <v>45709</v>
      </c>
    </row>
    <row r="1150" spans="11:12" x14ac:dyDescent="0.2">
      <c r="K1150" s="39">
        <v>45710</v>
      </c>
      <c r="L1150" s="39">
        <v>45710</v>
      </c>
    </row>
    <row r="1151" spans="11:12" x14ac:dyDescent="0.2">
      <c r="K1151" s="39">
        <v>45711</v>
      </c>
      <c r="L1151" s="39">
        <v>45711</v>
      </c>
    </row>
    <row r="1152" spans="11:12" x14ac:dyDescent="0.2">
      <c r="K1152" s="39">
        <v>45712</v>
      </c>
      <c r="L1152" s="39">
        <v>45712</v>
      </c>
    </row>
    <row r="1153" spans="11:12" x14ac:dyDescent="0.2">
      <c r="K1153" s="39">
        <v>45713</v>
      </c>
      <c r="L1153" s="39">
        <v>45713</v>
      </c>
    </row>
    <row r="1154" spans="11:12" x14ac:dyDescent="0.2">
      <c r="K1154" s="39">
        <v>45714</v>
      </c>
      <c r="L1154" s="39">
        <v>45714</v>
      </c>
    </row>
    <row r="1155" spans="11:12" x14ac:dyDescent="0.2">
      <c r="K1155" s="39">
        <v>45715</v>
      </c>
      <c r="L1155" s="39">
        <v>45715</v>
      </c>
    </row>
    <row r="1156" spans="11:12" x14ac:dyDescent="0.2">
      <c r="K1156" s="39">
        <v>45716</v>
      </c>
      <c r="L1156" s="39">
        <v>45716</v>
      </c>
    </row>
    <row r="1157" spans="11:12" x14ac:dyDescent="0.2">
      <c r="K1157" s="39">
        <v>45717</v>
      </c>
      <c r="L1157" s="39">
        <v>45717</v>
      </c>
    </row>
    <row r="1158" spans="11:12" x14ac:dyDescent="0.2">
      <c r="K1158" s="39">
        <v>45718</v>
      </c>
      <c r="L1158" s="39">
        <v>45718</v>
      </c>
    </row>
    <row r="1159" spans="11:12" x14ac:dyDescent="0.2">
      <c r="K1159" s="39">
        <v>45719</v>
      </c>
      <c r="L1159" s="39">
        <v>45719</v>
      </c>
    </row>
    <row r="1160" spans="11:12" x14ac:dyDescent="0.2">
      <c r="K1160" s="39">
        <v>45720</v>
      </c>
      <c r="L1160" s="39">
        <v>45720</v>
      </c>
    </row>
    <row r="1161" spans="11:12" x14ac:dyDescent="0.2">
      <c r="K1161" s="39">
        <v>45721</v>
      </c>
      <c r="L1161" s="39">
        <v>45721</v>
      </c>
    </row>
    <row r="1162" spans="11:12" x14ac:dyDescent="0.2">
      <c r="K1162" s="39">
        <v>45722</v>
      </c>
      <c r="L1162" s="39">
        <v>45722</v>
      </c>
    </row>
    <row r="1163" spans="11:12" x14ac:dyDescent="0.2">
      <c r="K1163" s="39">
        <v>45723</v>
      </c>
      <c r="L1163" s="39">
        <v>45723</v>
      </c>
    </row>
    <row r="1164" spans="11:12" x14ac:dyDescent="0.2">
      <c r="K1164" s="39">
        <v>45724</v>
      </c>
      <c r="L1164" s="39">
        <v>45724</v>
      </c>
    </row>
    <row r="1165" spans="11:12" x14ac:dyDescent="0.2">
      <c r="K1165" s="39">
        <v>45725</v>
      </c>
      <c r="L1165" s="39">
        <v>45725</v>
      </c>
    </row>
    <row r="1166" spans="11:12" x14ac:dyDescent="0.2">
      <c r="K1166" s="39">
        <v>45726</v>
      </c>
      <c r="L1166" s="39">
        <v>45726</v>
      </c>
    </row>
    <row r="1167" spans="11:12" x14ac:dyDescent="0.2">
      <c r="K1167" s="39">
        <v>45727</v>
      </c>
      <c r="L1167" s="39">
        <v>45727</v>
      </c>
    </row>
    <row r="1168" spans="11:12" x14ac:dyDescent="0.2">
      <c r="K1168" s="39">
        <v>45728</v>
      </c>
      <c r="L1168" s="39">
        <v>45728</v>
      </c>
    </row>
    <row r="1169" spans="11:12" x14ac:dyDescent="0.2">
      <c r="K1169" s="39">
        <v>45729</v>
      </c>
      <c r="L1169" s="39">
        <v>45729</v>
      </c>
    </row>
    <row r="1170" spans="11:12" x14ac:dyDescent="0.2">
      <c r="K1170" s="39">
        <v>45730</v>
      </c>
      <c r="L1170" s="39">
        <v>45730</v>
      </c>
    </row>
    <row r="1171" spans="11:12" x14ac:dyDescent="0.2">
      <c r="K1171" s="39">
        <v>45731</v>
      </c>
      <c r="L1171" s="39">
        <v>45731</v>
      </c>
    </row>
    <row r="1172" spans="11:12" x14ac:dyDescent="0.2">
      <c r="K1172" s="39">
        <v>45732</v>
      </c>
      <c r="L1172" s="39">
        <v>45732</v>
      </c>
    </row>
    <row r="1173" spans="11:12" x14ac:dyDescent="0.2">
      <c r="K1173" s="39">
        <v>45733</v>
      </c>
      <c r="L1173" s="39">
        <v>45733</v>
      </c>
    </row>
    <row r="1174" spans="11:12" x14ac:dyDescent="0.2">
      <c r="K1174" s="39">
        <v>45734</v>
      </c>
      <c r="L1174" s="39">
        <v>45734</v>
      </c>
    </row>
    <row r="1175" spans="11:12" x14ac:dyDescent="0.2">
      <c r="K1175" s="39">
        <v>45735</v>
      </c>
      <c r="L1175" s="39">
        <v>45735</v>
      </c>
    </row>
    <row r="1176" spans="11:12" x14ac:dyDescent="0.2">
      <c r="K1176" s="39">
        <v>45736</v>
      </c>
      <c r="L1176" s="39">
        <v>45736</v>
      </c>
    </row>
    <row r="1177" spans="11:12" x14ac:dyDescent="0.2">
      <c r="K1177" s="39">
        <v>45737</v>
      </c>
      <c r="L1177" s="39">
        <v>45737</v>
      </c>
    </row>
    <row r="1178" spans="11:12" x14ac:dyDescent="0.2">
      <c r="K1178" s="39">
        <v>45738</v>
      </c>
      <c r="L1178" s="39">
        <v>45738</v>
      </c>
    </row>
    <row r="1179" spans="11:12" x14ac:dyDescent="0.2">
      <c r="K1179" s="39">
        <v>45739</v>
      </c>
      <c r="L1179" s="39">
        <v>45739</v>
      </c>
    </row>
    <row r="1180" spans="11:12" x14ac:dyDescent="0.2">
      <c r="K1180" s="39">
        <v>45740</v>
      </c>
      <c r="L1180" s="39">
        <v>45740</v>
      </c>
    </row>
    <row r="1181" spans="11:12" x14ac:dyDescent="0.2">
      <c r="K1181" s="39">
        <v>45741</v>
      </c>
      <c r="L1181" s="39">
        <v>45741</v>
      </c>
    </row>
    <row r="1182" spans="11:12" x14ac:dyDescent="0.2">
      <c r="K1182" s="39">
        <v>45742</v>
      </c>
      <c r="L1182" s="39">
        <v>45742</v>
      </c>
    </row>
    <row r="1183" spans="11:12" x14ac:dyDescent="0.2">
      <c r="K1183" s="39">
        <v>45743</v>
      </c>
      <c r="L1183" s="39">
        <v>45743</v>
      </c>
    </row>
    <row r="1184" spans="11:12" x14ac:dyDescent="0.2">
      <c r="K1184" s="39">
        <v>45744</v>
      </c>
      <c r="L1184" s="39">
        <v>45744</v>
      </c>
    </row>
    <row r="1185" spans="11:12" x14ac:dyDescent="0.2">
      <c r="K1185" s="39">
        <v>45745</v>
      </c>
      <c r="L1185" s="39">
        <v>45745</v>
      </c>
    </row>
    <row r="1186" spans="11:12" x14ac:dyDescent="0.2">
      <c r="K1186" s="39">
        <v>45746</v>
      </c>
      <c r="L1186" s="39">
        <v>45746</v>
      </c>
    </row>
    <row r="1187" spans="11:12" x14ac:dyDescent="0.2">
      <c r="K1187" s="39">
        <v>45747</v>
      </c>
      <c r="L1187" s="39">
        <v>45747</v>
      </c>
    </row>
    <row r="1188" spans="11:12" x14ac:dyDescent="0.2">
      <c r="K1188" s="39">
        <v>45748</v>
      </c>
      <c r="L1188" s="39">
        <v>45748</v>
      </c>
    </row>
    <row r="1189" spans="11:12" x14ac:dyDescent="0.2">
      <c r="K1189" s="39">
        <v>45749</v>
      </c>
      <c r="L1189" s="39">
        <v>45749</v>
      </c>
    </row>
    <row r="1190" spans="11:12" x14ac:dyDescent="0.2">
      <c r="K1190" s="39">
        <v>45750</v>
      </c>
      <c r="L1190" s="39">
        <v>45750</v>
      </c>
    </row>
    <row r="1191" spans="11:12" x14ac:dyDescent="0.2">
      <c r="K1191" s="39">
        <v>45751</v>
      </c>
      <c r="L1191" s="39">
        <v>45751</v>
      </c>
    </row>
    <row r="1192" spans="11:12" x14ac:dyDescent="0.2">
      <c r="K1192" s="39">
        <v>45752</v>
      </c>
      <c r="L1192" s="39">
        <v>45752</v>
      </c>
    </row>
    <row r="1193" spans="11:12" x14ac:dyDescent="0.2">
      <c r="K1193" s="39">
        <v>45753</v>
      </c>
      <c r="L1193" s="39">
        <v>45753</v>
      </c>
    </row>
    <row r="1194" spans="11:12" x14ac:dyDescent="0.2">
      <c r="K1194" s="39">
        <v>45754</v>
      </c>
      <c r="L1194" s="39">
        <v>45754</v>
      </c>
    </row>
    <row r="1195" spans="11:12" x14ac:dyDescent="0.2">
      <c r="K1195" s="39">
        <v>45755</v>
      </c>
      <c r="L1195" s="39">
        <v>45755</v>
      </c>
    </row>
    <row r="1196" spans="11:12" x14ac:dyDescent="0.2">
      <c r="K1196" s="39">
        <v>45756</v>
      </c>
      <c r="L1196" s="39">
        <v>45756</v>
      </c>
    </row>
    <row r="1197" spans="11:12" x14ac:dyDescent="0.2">
      <c r="K1197" s="39">
        <v>45757</v>
      </c>
      <c r="L1197" s="39">
        <v>45757</v>
      </c>
    </row>
    <row r="1198" spans="11:12" x14ac:dyDescent="0.2">
      <c r="K1198" s="39">
        <v>45758</v>
      </c>
      <c r="L1198" s="39">
        <v>45758</v>
      </c>
    </row>
    <row r="1199" spans="11:12" x14ac:dyDescent="0.2">
      <c r="K1199" s="39">
        <v>45759</v>
      </c>
      <c r="L1199" s="39">
        <v>45759</v>
      </c>
    </row>
    <row r="1200" spans="11:12" x14ac:dyDescent="0.2">
      <c r="K1200" s="39">
        <v>45760</v>
      </c>
      <c r="L1200" s="39">
        <v>45760</v>
      </c>
    </row>
    <row r="1201" spans="11:12" x14ac:dyDescent="0.2">
      <c r="K1201" s="39">
        <v>45761</v>
      </c>
      <c r="L1201" s="39">
        <v>45761</v>
      </c>
    </row>
    <row r="1202" spans="11:12" x14ac:dyDescent="0.2">
      <c r="K1202" s="39">
        <v>45762</v>
      </c>
      <c r="L1202" s="39">
        <v>45762</v>
      </c>
    </row>
    <row r="1203" spans="11:12" x14ac:dyDescent="0.2">
      <c r="K1203" s="39">
        <v>45763</v>
      </c>
      <c r="L1203" s="39">
        <v>45763</v>
      </c>
    </row>
    <row r="1204" spans="11:12" x14ac:dyDescent="0.2">
      <c r="K1204" s="39">
        <v>45764</v>
      </c>
      <c r="L1204" s="39">
        <v>45764</v>
      </c>
    </row>
    <row r="1205" spans="11:12" x14ac:dyDescent="0.2">
      <c r="K1205" s="39">
        <v>45765</v>
      </c>
      <c r="L1205" s="39">
        <v>45765</v>
      </c>
    </row>
    <row r="1206" spans="11:12" x14ac:dyDescent="0.2">
      <c r="K1206" s="39">
        <v>45766</v>
      </c>
      <c r="L1206" s="39">
        <v>45766</v>
      </c>
    </row>
    <row r="1207" spans="11:12" x14ac:dyDescent="0.2">
      <c r="K1207" s="39">
        <v>45767</v>
      </c>
      <c r="L1207" s="39">
        <v>45767</v>
      </c>
    </row>
    <row r="1208" spans="11:12" x14ac:dyDescent="0.2">
      <c r="K1208" s="39">
        <v>45768</v>
      </c>
      <c r="L1208" s="39">
        <v>45768</v>
      </c>
    </row>
    <row r="1209" spans="11:12" x14ac:dyDescent="0.2">
      <c r="K1209" s="39">
        <v>45769</v>
      </c>
      <c r="L1209" s="39">
        <v>45769</v>
      </c>
    </row>
    <row r="1210" spans="11:12" x14ac:dyDescent="0.2">
      <c r="K1210" s="39">
        <v>45770</v>
      </c>
      <c r="L1210" s="39">
        <v>45770</v>
      </c>
    </row>
    <row r="1211" spans="11:12" x14ac:dyDescent="0.2">
      <c r="K1211" s="39">
        <v>45771</v>
      </c>
      <c r="L1211" s="39">
        <v>45771</v>
      </c>
    </row>
    <row r="1212" spans="11:12" x14ac:dyDescent="0.2">
      <c r="K1212" s="39">
        <v>45772</v>
      </c>
      <c r="L1212" s="39">
        <v>45772</v>
      </c>
    </row>
    <row r="1213" spans="11:12" x14ac:dyDescent="0.2">
      <c r="K1213" s="39">
        <v>45773</v>
      </c>
      <c r="L1213" s="39">
        <v>45773</v>
      </c>
    </row>
    <row r="1214" spans="11:12" x14ac:dyDescent="0.2">
      <c r="K1214" s="39">
        <v>45774</v>
      </c>
      <c r="L1214" s="39">
        <v>45774</v>
      </c>
    </row>
    <row r="1215" spans="11:12" x14ac:dyDescent="0.2">
      <c r="K1215" s="39">
        <v>45775</v>
      </c>
      <c r="L1215" s="39">
        <v>45775</v>
      </c>
    </row>
    <row r="1216" spans="11:12" x14ac:dyDescent="0.2">
      <c r="K1216" s="39">
        <v>45776</v>
      </c>
      <c r="L1216" s="39">
        <v>45776</v>
      </c>
    </row>
    <row r="1217" spans="11:12" x14ac:dyDescent="0.2">
      <c r="K1217" s="39">
        <v>45777</v>
      </c>
      <c r="L1217" s="39">
        <v>45777</v>
      </c>
    </row>
    <row r="1218" spans="11:12" x14ac:dyDescent="0.2">
      <c r="K1218" s="39">
        <v>45778</v>
      </c>
      <c r="L1218" s="39">
        <v>45778</v>
      </c>
    </row>
    <row r="1219" spans="11:12" x14ac:dyDescent="0.2">
      <c r="K1219" s="39">
        <v>45779</v>
      </c>
      <c r="L1219" s="39">
        <v>45779</v>
      </c>
    </row>
    <row r="1220" spans="11:12" x14ac:dyDescent="0.2">
      <c r="K1220" s="39">
        <v>45780</v>
      </c>
      <c r="L1220" s="39">
        <v>45780</v>
      </c>
    </row>
    <row r="1221" spans="11:12" x14ac:dyDescent="0.2">
      <c r="K1221" s="39">
        <v>45781</v>
      </c>
      <c r="L1221" s="39">
        <v>45781</v>
      </c>
    </row>
    <row r="1222" spans="11:12" x14ac:dyDescent="0.2">
      <c r="K1222" s="39">
        <v>45782</v>
      </c>
      <c r="L1222" s="39">
        <v>45782</v>
      </c>
    </row>
    <row r="1223" spans="11:12" x14ac:dyDescent="0.2">
      <c r="K1223" s="39">
        <v>45783</v>
      </c>
      <c r="L1223" s="39">
        <v>45783</v>
      </c>
    </row>
    <row r="1224" spans="11:12" x14ac:dyDescent="0.2">
      <c r="K1224" s="39">
        <v>45784</v>
      </c>
      <c r="L1224" s="39">
        <v>45784</v>
      </c>
    </row>
    <row r="1225" spans="11:12" x14ac:dyDescent="0.2">
      <c r="K1225" s="39">
        <v>45785</v>
      </c>
      <c r="L1225" s="39">
        <v>45785</v>
      </c>
    </row>
    <row r="1226" spans="11:12" x14ac:dyDescent="0.2">
      <c r="K1226" s="39">
        <v>45786</v>
      </c>
      <c r="L1226" s="39">
        <v>45786</v>
      </c>
    </row>
    <row r="1227" spans="11:12" x14ac:dyDescent="0.2">
      <c r="K1227" s="39">
        <v>45787</v>
      </c>
      <c r="L1227" s="39">
        <v>45787</v>
      </c>
    </row>
    <row r="1228" spans="11:12" x14ac:dyDescent="0.2">
      <c r="K1228" s="39">
        <v>45788</v>
      </c>
      <c r="L1228" s="39">
        <v>45788</v>
      </c>
    </row>
    <row r="1229" spans="11:12" x14ac:dyDescent="0.2">
      <c r="K1229" s="39">
        <v>45789</v>
      </c>
      <c r="L1229" s="39">
        <v>45789</v>
      </c>
    </row>
    <row r="1230" spans="11:12" x14ac:dyDescent="0.2">
      <c r="K1230" s="39">
        <v>45790</v>
      </c>
      <c r="L1230" s="39">
        <v>45790</v>
      </c>
    </row>
    <row r="1231" spans="11:12" x14ac:dyDescent="0.2">
      <c r="K1231" s="39">
        <v>45791</v>
      </c>
      <c r="L1231" s="39">
        <v>45791</v>
      </c>
    </row>
    <row r="1232" spans="11:12" x14ac:dyDescent="0.2">
      <c r="K1232" s="39">
        <v>45792</v>
      </c>
      <c r="L1232" s="39">
        <v>45792</v>
      </c>
    </row>
    <row r="1233" spans="11:12" x14ac:dyDescent="0.2">
      <c r="K1233" s="39">
        <v>45793</v>
      </c>
      <c r="L1233" s="39">
        <v>45793</v>
      </c>
    </row>
    <row r="1234" spans="11:12" x14ac:dyDescent="0.2">
      <c r="K1234" s="39">
        <v>45794</v>
      </c>
      <c r="L1234" s="39">
        <v>45794</v>
      </c>
    </row>
    <row r="1235" spans="11:12" x14ac:dyDescent="0.2">
      <c r="K1235" s="39">
        <v>45795</v>
      </c>
      <c r="L1235" s="39">
        <v>45795</v>
      </c>
    </row>
    <row r="1236" spans="11:12" x14ac:dyDescent="0.2">
      <c r="K1236" s="39">
        <v>45796</v>
      </c>
      <c r="L1236" s="39">
        <v>45796</v>
      </c>
    </row>
    <row r="1237" spans="11:12" x14ac:dyDescent="0.2">
      <c r="K1237" s="39">
        <v>45797</v>
      </c>
      <c r="L1237" s="39">
        <v>45797</v>
      </c>
    </row>
    <row r="1238" spans="11:12" x14ac:dyDescent="0.2">
      <c r="K1238" s="39">
        <v>45798</v>
      </c>
      <c r="L1238" s="39">
        <v>45798</v>
      </c>
    </row>
    <row r="1239" spans="11:12" x14ac:dyDescent="0.2">
      <c r="K1239" s="39">
        <v>45799</v>
      </c>
      <c r="L1239" s="39">
        <v>45799</v>
      </c>
    </row>
    <row r="1240" spans="11:12" x14ac:dyDescent="0.2">
      <c r="K1240" s="39">
        <v>45800</v>
      </c>
      <c r="L1240" s="39">
        <v>45800</v>
      </c>
    </row>
    <row r="1241" spans="11:12" x14ac:dyDescent="0.2">
      <c r="K1241" s="39">
        <v>45801</v>
      </c>
      <c r="L1241" s="39">
        <v>45801</v>
      </c>
    </row>
    <row r="1242" spans="11:12" x14ac:dyDescent="0.2">
      <c r="K1242" s="39">
        <v>45802</v>
      </c>
      <c r="L1242" s="39">
        <v>45802</v>
      </c>
    </row>
    <row r="1243" spans="11:12" x14ac:dyDescent="0.2">
      <c r="K1243" s="39">
        <v>45803</v>
      </c>
      <c r="L1243" s="39">
        <v>45803</v>
      </c>
    </row>
    <row r="1244" spans="11:12" x14ac:dyDescent="0.2">
      <c r="K1244" s="39">
        <v>45804</v>
      </c>
      <c r="L1244" s="39">
        <v>45804</v>
      </c>
    </row>
    <row r="1245" spans="11:12" x14ac:dyDescent="0.2">
      <c r="K1245" s="39">
        <v>45805</v>
      </c>
      <c r="L1245" s="39">
        <v>45805</v>
      </c>
    </row>
    <row r="1246" spans="11:12" x14ac:dyDescent="0.2">
      <c r="K1246" s="39">
        <v>45806</v>
      </c>
      <c r="L1246" s="39">
        <v>45806</v>
      </c>
    </row>
    <row r="1247" spans="11:12" x14ac:dyDescent="0.2">
      <c r="K1247" s="39">
        <v>45807</v>
      </c>
      <c r="L1247" s="39">
        <v>45807</v>
      </c>
    </row>
    <row r="1248" spans="11:12" x14ac:dyDescent="0.2">
      <c r="K1248" s="39">
        <v>45808</v>
      </c>
      <c r="L1248" s="39">
        <v>45808</v>
      </c>
    </row>
    <row r="1249" spans="11:12" x14ac:dyDescent="0.2">
      <c r="K1249" s="39">
        <v>45809</v>
      </c>
      <c r="L1249" s="39">
        <v>45809</v>
      </c>
    </row>
    <row r="1250" spans="11:12" x14ac:dyDescent="0.2">
      <c r="K1250" s="39">
        <v>45810</v>
      </c>
      <c r="L1250" s="39">
        <v>45810</v>
      </c>
    </row>
    <row r="1251" spans="11:12" x14ac:dyDescent="0.2">
      <c r="K1251" s="39">
        <v>45811</v>
      </c>
      <c r="L1251" s="39">
        <v>45811</v>
      </c>
    </row>
    <row r="1252" spans="11:12" x14ac:dyDescent="0.2">
      <c r="K1252" s="39">
        <v>45812</v>
      </c>
      <c r="L1252" s="39">
        <v>45812</v>
      </c>
    </row>
    <row r="1253" spans="11:12" x14ac:dyDescent="0.2">
      <c r="K1253" s="39">
        <v>45813</v>
      </c>
      <c r="L1253" s="39">
        <v>45813</v>
      </c>
    </row>
    <row r="1254" spans="11:12" x14ac:dyDescent="0.2">
      <c r="K1254" s="39">
        <v>45814</v>
      </c>
      <c r="L1254" s="39">
        <v>45814</v>
      </c>
    </row>
    <row r="1255" spans="11:12" x14ac:dyDescent="0.2">
      <c r="K1255" s="39">
        <v>45815</v>
      </c>
      <c r="L1255" s="39">
        <v>45815</v>
      </c>
    </row>
    <row r="1256" spans="11:12" x14ac:dyDescent="0.2">
      <c r="K1256" s="39">
        <v>45816</v>
      </c>
      <c r="L1256" s="39">
        <v>45816</v>
      </c>
    </row>
    <row r="1257" spans="11:12" x14ac:dyDescent="0.2">
      <c r="K1257" s="39">
        <v>45817</v>
      </c>
      <c r="L1257" s="39">
        <v>45817</v>
      </c>
    </row>
    <row r="1258" spans="11:12" x14ac:dyDescent="0.2">
      <c r="K1258" s="39">
        <v>45818</v>
      </c>
      <c r="L1258" s="39">
        <v>45818</v>
      </c>
    </row>
    <row r="1259" spans="11:12" x14ac:dyDescent="0.2">
      <c r="K1259" s="39">
        <v>45819</v>
      </c>
      <c r="L1259" s="39">
        <v>45819</v>
      </c>
    </row>
    <row r="1260" spans="11:12" x14ac:dyDescent="0.2">
      <c r="K1260" s="39">
        <v>45820</v>
      </c>
      <c r="L1260" s="39">
        <v>45820</v>
      </c>
    </row>
    <row r="1261" spans="11:12" x14ac:dyDescent="0.2">
      <c r="K1261" s="39">
        <v>45821</v>
      </c>
      <c r="L1261" s="39">
        <v>45821</v>
      </c>
    </row>
    <row r="1262" spans="11:12" x14ac:dyDescent="0.2">
      <c r="K1262" s="39">
        <v>45822</v>
      </c>
      <c r="L1262" s="39">
        <v>45822</v>
      </c>
    </row>
    <row r="1263" spans="11:12" x14ac:dyDescent="0.2">
      <c r="K1263" s="39">
        <v>45823</v>
      </c>
      <c r="L1263" s="39">
        <v>45823</v>
      </c>
    </row>
    <row r="1264" spans="11:12" x14ac:dyDescent="0.2">
      <c r="K1264" s="39">
        <v>45824</v>
      </c>
      <c r="L1264" s="39">
        <v>45824</v>
      </c>
    </row>
    <row r="1265" spans="11:12" x14ac:dyDescent="0.2">
      <c r="K1265" s="39">
        <v>45825</v>
      </c>
      <c r="L1265" s="39">
        <v>45825</v>
      </c>
    </row>
    <row r="1266" spans="11:12" x14ac:dyDescent="0.2">
      <c r="K1266" s="39">
        <v>45826</v>
      </c>
      <c r="L1266" s="39">
        <v>45826</v>
      </c>
    </row>
    <row r="1267" spans="11:12" x14ac:dyDescent="0.2">
      <c r="K1267" s="39">
        <v>45827</v>
      </c>
      <c r="L1267" s="39">
        <v>45827</v>
      </c>
    </row>
    <row r="1268" spans="11:12" x14ac:dyDescent="0.2">
      <c r="K1268" s="39">
        <v>45828</v>
      </c>
      <c r="L1268" s="39">
        <v>45828</v>
      </c>
    </row>
    <row r="1269" spans="11:12" x14ac:dyDescent="0.2">
      <c r="K1269" s="39">
        <v>45829</v>
      </c>
      <c r="L1269" s="39">
        <v>45829</v>
      </c>
    </row>
    <row r="1270" spans="11:12" x14ac:dyDescent="0.2">
      <c r="K1270" s="39">
        <v>45830</v>
      </c>
      <c r="L1270" s="39">
        <v>45830</v>
      </c>
    </row>
    <row r="1271" spans="11:12" x14ac:dyDescent="0.2">
      <c r="K1271" s="39">
        <v>45831</v>
      </c>
      <c r="L1271" s="39">
        <v>45831</v>
      </c>
    </row>
    <row r="1272" spans="11:12" x14ac:dyDescent="0.2">
      <c r="K1272" s="39">
        <v>45832</v>
      </c>
      <c r="L1272" s="39">
        <v>45832</v>
      </c>
    </row>
    <row r="1273" spans="11:12" x14ac:dyDescent="0.2">
      <c r="K1273" s="39">
        <v>45833</v>
      </c>
      <c r="L1273" s="39">
        <v>45833</v>
      </c>
    </row>
    <row r="1274" spans="11:12" x14ac:dyDescent="0.2">
      <c r="K1274" s="39">
        <v>45834</v>
      </c>
      <c r="L1274" s="39">
        <v>45834</v>
      </c>
    </row>
    <row r="1275" spans="11:12" x14ac:dyDescent="0.2">
      <c r="K1275" s="39">
        <v>45835</v>
      </c>
      <c r="L1275" s="39">
        <v>45835</v>
      </c>
    </row>
    <row r="1276" spans="11:12" x14ac:dyDescent="0.2">
      <c r="K1276" s="39">
        <v>45836</v>
      </c>
      <c r="L1276" s="39">
        <v>45836</v>
      </c>
    </row>
    <row r="1277" spans="11:12" x14ac:dyDescent="0.2">
      <c r="K1277" s="39">
        <v>45837</v>
      </c>
      <c r="L1277" s="39">
        <v>45837</v>
      </c>
    </row>
    <row r="1278" spans="11:12" x14ac:dyDescent="0.2">
      <c r="K1278" s="39">
        <v>45838</v>
      </c>
      <c r="L1278" s="39">
        <v>45838</v>
      </c>
    </row>
    <row r="1279" spans="11:12" x14ac:dyDescent="0.2">
      <c r="K1279" s="39">
        <v>45839</v>
      </c>
      <c r="L1279" s="39">
        <v>45839</v>
      </c>
    </row>
    <row r="1280" spans="11:12" x14ac:dyDescent="0.2">
      <c r="K1280" s="39">
        <v>45840</v>
      </c>
      <c r="L1280" s="39">
        <v>45840</v>
      </c>
    </row>
    <row r="1281" spans="11:12" x14ac:dyDescent="0.2">
      <c r="K1281" s="39">
        <v>45841</v>
      </c>
      <c r="L1281" s="39">
        <v>45841</v>
      </c>
    </row>
    <row r="1282" spans="11:12" x14ac:dyDescent="0.2">
      <c r="K1282" s="39">
        <v>45842</v>
      </c>
      <c r="L1282" s="39">
        <v>45842</v>
      </c>
    </row>
    <row r="1283" spans="11:12" x14ac:dyDescent="0.2">
      <c r="K1283" s="39">
        <v>45843</v>
      </c>
      <c r="L1283" s="39">
        <v>45843</v>
      </c>
    </row>
    <row r="1284" spans="11:12" x14ac:dyDescent="0.2">
      <c r="K1284" s="39">
        <v>45844</v>
      </c>
      <c r="L1284" s="39">
        <v>45844</v>
      </c>
    </row>
    <row r="1285" spans="11:12" x14ac:dyDescent="0.2">
      <c r="K1285" s="39">
        <v>45845</v>
      </c>
      <c r="L1285" s="39">
        <v>45845</v>
      </c>
    </row>
    <row r="1286" spans="11:12" x14ac:dyDescent="0.2">
      <c r="K1286" s="39">
        <v>45846</v>
      </c>
      <c r="L1286" s="39">
        <v>45846</v>
      </c>
    </row>
    <row r="1287" spans="11:12" x14ac:dyDescent="0.2">
      <c r="K1287" s="39">
        <v>45847</v>
      </c>
      <c r="L1287" s="39">
        <v>45847</v>
      </c>
    </row>
    <row r="1288" spans="11:12" x14ac:dyDescent="0.2">
      <c r="K1288" s="39">
        <v>45848</v>
      </c>
      <c r="L1288" s="39">
        <v>45848</v>
      </c>
    </row>
    <row r="1289" spans="11:12" x14ac:dyDescent="0.2">
      <c r="K1289" s="39">
        <v>45849</v>
      </c>
      <c r="L1289" s="39">
        <v>45849</v>
      </c>
    </row>
    <row r="1290" spans="11:12" x14ac:dyDescent="0.2">
      <c r="K1290" s="39">
        <v>45850</v>
      </c>
      <c r="L1290" s="39">
        <v>45850</v>
      </c>
    </row>
    <row r="1291" spans="11:12" x14ac:dyDescent="0.2">
      <c r="K1291" s="39">
        <v>45851</v>
      </c>
      <c r="L1291" s="39">
        <v>45851</v>
      </c>
    </row>
    <row r="1292" spans="11:12" x14ac:dyDescent="0.2">
      <c r="K1292" s="39">
        <v>45852</v>
      </c>
      <c r="L1292" s="39">
        <v>45852</v>
      </c>
    </row>
    <row r="1293" spans="11:12" x14ac:dyDescent="0.2">
      <c r="K1293" s="39">
        <v>45853</v>
      </c>
      <c r="L1293" s="39">
        <v>45853</v>
      </c>
    </row>
    <row r="1294" spans="11:12" x14ac:dyDescent="0.2">
      <c r="K1294" s="39">
        <v>45854</v>
      </c>
      <c r="L1294" s="39">
        <v>45854</v>
      </c>
    </row>
    <row r="1295" spans="11:12" x14ac:dyDescent="0.2">
      <c r="K1295" s="39">
        <v>45855</v>
      </c>
      <c r="L1295" s="39">
        <v>45855</v>
      </c>
    </row>
    <row r="1296" spans="11:12" x14ac:dyDescent="0.2">
      <c r="K1296" s="39">
        <v>45856</v>
      </c>
      <c r="L1296" s="39">
        <v>45856</v>
      </c>
    </row>
    <row r="1297" spans="11:12" x14ac:dyDescent="0.2">
      <c r="K1297" s="39">
        <v>45857</v>
      </c>
      <c r="L1297" s="39">
        <v>45857</v>
      </c>
    </row>
    <row r="1298" spans="11:12" x14ac:dyDescent="0.2">
      <c r="K1298" s="39">
        <v>45858</v>
      </c>
      <c r="L1298" s="39">
        <v>45858</v>
      </c>
    </row>
    <row r="1299" spans="11:12" x14ac:dyDescent="0.2">
      <c r="K1299" s="39">
        <v>45859</v>
      </c>
      <c r="L1299" s="39">
        <v>45859</v>
      </c>
    </row>
    <row r="1300" spans="11:12" x14ac:dyDescent="0.2">
      <c r="K1300" s="39">
        <v>45860</v>
      </c>
      <c r="L1300" s="39">
        <v>45860</v>
      </c>
    </row>
    <row r="1301" spans="11:12" x14ac:dyDescent="0.2">
      <c r="K1301" s="39">
        <v>45861</v>
      </c>
      <c r="L1301" s="39">
        <v>45861</v>
      </c>
    </row>
    <row r="1302" spans="11:12" x14ac:dyDescent="0.2">
      <c r="K1302" s="39">
        <v>45862</v>
      </c>
      <c r="L1302" s="39">
        <v>45862</v>
      </c>
    </row>
    <row r="1303" spans="11:12" x14ac:dyDescent="0.2">
      <c r="K1303" s="39">
        <v>45863</v>
      </c>
      <c r="L1303" s="39">
        <v>45863</v>
      </c>
    </row>
    <row r="1304" spans="11:12" x14ac:dyDescent="0.2">
      <c r="K1304" s="39">
        <v>45864</v>
      </c>
      <c r="L1304" s="39">
        <v>45864</v>
      </c>
    </row>
    <row r="1305" spans="11:12" x14ac:dyDescent="0.2">
      <c r="K1305" s="39">
        <v>45865</v>
      </c>
      <c r="L1305" s="39">
        <v>45865</v>
      </c>
    </row>
    <row r="1306" spans="11:12" x14ac:dyDescent="0.2">
      <c r="K1306" s="39">
        <v>45866</v>
      </c>
      <c r="L1306" s="39">
        <v>45866</v>
      </c>
    </row>
    <row r="1307" spans="11:12" x14ac:dyDescent="0.2">
      <c r="K1307" s="39">
        <v>45867</v>
      </c>
      <c r="L1307" s="39">
        <v>45867</v>
      </c>
    </row>
    <row r="1308" spans="11:12" x14ac:dyDescent="0.2">
      <c r="K1308" s="39">
        <v>45868</v>
      </c>
      <c r="L1308" s="39">
        <v>45868</v>
      </c>
    </row>
    <row r="1309" spans="11:12" x14ac:dyDescent="0.2">
      <c r="K1309" s="39">
        <v>45869</v>
      </c>
      <c r="L1309" s="39">
        <v>45869</v>
      </c>
    </row>
    <row r="1310" spans="11:12" x14ac:dyDescent="0.2">
      <c r="K1310" s="39">
        <v>45870</v>
      </c>
      <c r="L1310" s="39">
        <v>45870</v>
      </c>
    </row>
    <row r="1311" spans="11:12" x14ac:dyDescent="0.2">
      <c r="K1311" s="39">
        <v>45871</v>
      </c>
      <c r="L1311" s="39">
        <v>45871</v>
      </c>
    </row>
    <row r="1312" spans="11:12" x14ac:dyDescent="0.2">
      <c r="K1312" s="39">
        <v>45872</v>
      </c>
      <c r="L1312" s="39">
        <v>45872</v>
      </c>
    </row>
    <row r="1313" spans="11:12" x14ac:dyDescent="0.2">
      <c r="K1313" s="39">
        <v>45873</v>
      </c>
      <c r="L1313" s="39">
        <v>45873</v>
      </c>
    </row>
    <row r="1314" spans="11:12" x14ac:dyDescent="0.2">
      <c r="K1314" s="39">
        <v>45874</v>
      </c>
      <c r="L1314" s="39">
        <v>45874</v>
      </c>
    </row>
    <row r="1315" spans="11:12" x14ac:dyDescent="0.2">
      <c r="K1315" s="39">
        <v>45875</v>
      </c>
      <c r="L1315" s="39">
        <v>45875</v>
      </c>
    </row>
    <row r="1316" spans="11:12" x14ac:dyDescent="0.2">
      <c r="K1316" s="39">
        <v>45876</v>
      </c>
      <c r="L1316" s="39">
        <v>45876</v>
      </c>
    </row>
    <row r="1317" spans="11:12" x14ac:dyDescent="0.2">
      <c r="K1317" s="39">
        <v>45877</v>
      </c>
      <c r="L1317" s="39">
        <v>45877</v>
      </c>
    </row>
    <row r="1318" spans="11:12" x14ac:dyDescent="0.2">
      <c r="K1318" s="39">
        <v>45878</v>
      </c>
      <c r="L1318" s="39">
        <v>45878</v>
      </c>
    </row>
    <row r="1319" spans="11:12" x14ac:dyDescent="0.2">
      <c r="K1319" s="39">
        <v>45879</v>
      </c>
      <c r="L1319" s="39">
        <v>45879</v>
      </c>
    </row>
    <row r="1320" spans="11:12" x14ac:dyDescent="0.2">
      <c r="K1320" s="39">
        <v>45880</v>
      </c>
      <c r="L1320" s="39">
        <v>45880</v>
      </c>
    </row>
    <row r="1321" spans="11:12" x14ac:dyDescent="0.2">
      <c r="K1321" s="39">
        <v>45881</v>
      </c>
      <c r="L1321" s="39">
        <v>45881</v>
      </c>
    </row>
    <row r="1322" spans="11:12" x14ac:dyDescent="0.2">
      <c r="K1322" s="39">
        <v>45882</v>
      </c>
      <c r="L1322" s="39">
        <v>45882</v>
      </c>
    </row>
    <row r="1323" spans="11:12" x14ac:dyDescent="0.2">
      <c r="K1323" s="39">
        <v>45883</v>
      </c>
      <c r="L1323" s="39">
        <v>45883</v>
      </c>
    </row>
    <row r="1324" spans="11:12" x14ac:dyDescent="0.2">
      <c r="K1324" s="39">
        <v>45884</v>
      </c>
      <c r="L1324" s="39">
        <v>45884</v>
      </c>
    </row>
    <row r="1325" spans="11:12" x14ac:dyDescent="0.2">
      <c r="K1325" s="39">
        <v>45885</v>
      </c>
      <c r="L1325" s="39">
        <v>45885</v>
      </c>
    </row>
    <row r="1326" spans="11:12" x14ac:dyDescent="0.2">
      <c r="K1326" s="39">
        <v>45886</v>
      </c>
      <c r="L1326" s="39">
        <v>45886</v>
      </c>
    </row>
    <row r="1327" spans="11:12" x14ac:dyDescent="0.2">
      <c r="K1327" s="39">
        <v>45887</v>
      </c>
      <c r="L1327" s="39">
        <v>45887</v>
      </c>
    </row>
    <row r="1328" spans="11:12" x14ac:dyDescent="0.2">
      <c r="K1328" s="39">
        <v>45888</v>
      </c>
      <c r="L1328" s="39">
        <v>45888</v>
      </c>
    </row>
    <row r="1329" spans="11:12" x14ac:dyDescent="0.2">
      <c r="K1329" s="39">
        <v>45889</v>
      </c>
      <c r="L1329" s="39">
        <v>45889</v>
      </c>
    </row>
    <row r="1330" spans="11:12" x14ac:dyDescent="0.2">
      <c r="K1330" s="39">
        <v>45890</v>
      </c>
      <c r="L1330" s="39">
        <v>45890</v>
      </c>
    </row>
    <row r="1331" spans="11:12" x14ac:dyDescent="0.2">
      <c r="K1331" s="39">
        <v>45891</v>
      </c>
      <c r="L1331" s="39">
        <v>45891</v>
      </c>
    </row>
    <row r="1332" spans="11:12" x14ac:dyDescent="0.2">
      <c r="K1332" s="39">
        <v>45892</v>
      </c>
      <c r="L1332" s="39">
        <v>45892</v>
      </c>
    </row>
    <row r="1333" spans="11:12" x14ac:dyDescent="0.2">
      <c r="K1333" s="39">
        <v>45893</v>
      </c>
      <c r="L1333" s="39">
        <v>45893</v>
      </c>
    </row>
    <row r="1334" spans="11:12" x14ac:dyDescent="0.2">
      <c r="K1334" s="39">
        <v>45894</v>
      </c>
      <c r="L1334" s="39">
        <v>45894</v>
      </c>
    </row>
    <row r="1335" spans="11:12" x14ac:dyDescent="0.2">
      <c r="K1335" s="39">
        <v>45895</v>
      </c>
      <c r="L1335" s="39">
        <v>45895</v>
      </c>
    </row>
    <row r="1336" spans="11:12" x14ac:dyDescent="0.2">
      <c r="K1336" s="39">
        <v>45896</v>
      </c>
      <c r="L1336" s="39">
        <v>45896</v>
      </c>
    </row>
    <row r="1337" spans="11:12" x14ac:dyDescent="0.2">
      <c r="K1337" s="39">
        <v>45897</v>
      </c>
      <c r="L1337" s="39">
        <v>45897</v>
      </c>
    </row>
    <row r="1338" spans="11:12" x14ac:dyDescent="0.2">
      <c r="K1338" s="39">
        <v>45898</v>
      </c>
      <c r="L1338" s="39">
        <v>45898</v>
      </c>
    </row>
    <row r="1339" spans="11:12" x14ac:dyDescent="0.2">
      <c r="K1339" s="39">
        <v>45899</v>
      </c>
      <c r="L1339" s="39">
        <v>45899</v>
      </c>
    </row>
    <row r="1340" spans="11:12" x14ac:dyDescent="0.2">
      <c r="K1340" s="39">
        <v>45900</v>
      </c>
      <c r="L1340" s="39">
        <v>45900</v>
      </c>
    </row>
    <row r="1341" spans="11:12" x14ac:dyDescent="0.2">
      <c r="K1341" s="39">
        <v>45901</v>
      </c>
      <c r="L1341" s="39">
        <v>45901</v>
      </c>
    </row>
    <row r="1342" spans="11:12" x14ac:dyDescent="0.2">
      <c r="K1342" s="39">
        <v>45902</v>
      </c>
      <c r="L1342" s="39">
        <v>45902</v>
      </c>
    </row>
    <row r="1343" spans="11:12" x14ac:dyDescent="0.2">
      <c r="K1343" s="39">
        <v>45903</v>
      </c>
      <c r="L1343" s="39">
        <v>45903</v>
      </c>
    </row>
    <row r="1344" spans="11:12" x14ac:dyDescent="0.2">
      <c r="K1344" s="39">
        <v>45904</v>
      </c>
      <c r="L1344" s="39">
        <v>45904</v>
      </c>
    </row>
    <row r="1345" spans="11:12" x14ac:dyDescent="0.2">
      <c r="K1345" s="39">
        <v>45905</v>
      </c>
      <c r="L1345" s="39">
        <v>45905</v>
      </c>
    </row>
    <row r="1346" spans="11:12" x14ac:dyDescent="0.2">
      <c r="K1346" s="39">
        <v>45906</v>
      </c>
      <c r="L1346" s="39">
        <v>45906</v>
      </c>
    </row>
    <row r="1347" spans="11:12" x14ac:dyDescent="0.2">
      <c r="K1347" s="39">
        <v>45907</v>
      </c>
      <c r="L1347" s="39">
        <v>45907</v>
      </c>
    </row>
    <row r="1348" spans="11:12" x14ac:dyDescent="0.2">
      <c r="K1348" s="39">
        <v>45908</v>
      </c>
      <c r="L1348" s="39">
        <v>45908</v>
      </c>
    </row>
    <row r="1349" spans="11:12" x14ac:dyDescent="0.2">
      <c r="K1349" s="39">
        <v>45909</v>
      </c>
      <c r="L1349" s="39">
        <v>45909</v>
      </c>
    </row>
    <row r="1350" spans="11:12" x14ac:dyDescent="0.2">
      <c r="K1350" s="39">
        <v>45910</v>
      </c>
      <c r="L1350" s="39">
        <v>45910</v>
      </c>
    </row>
    <row r="1351" spans="11:12" x14ac:dyDescent="0.2">
      <c r="K1351" s="39">
        <v>45911</v>
      </c>
      <c r="L1351" s="39">
        <v>45911</v>
      </c>
    </row>
    <row r="1352" spans="11:12" x14ac:dyDescent="0.2">
      <c r="K1352" s="39">
        <v>45912</v>
      </c>
      <c r="L1352" s="39">
        <v>45912</v>
      </c>
    </row>
    <row r="1353" spans="11:12" x14ac:dyDescent="0.2">
      <c r="K1353" s="39">
        <v>45913</v>
      </c>
      <c r="L1353" s="39">
        <v>45913</v>
      </c>
    </row>
    <row r="1354" spans="11:12" x14ac:dyDescent="0.2">
      <c r="K1354" s="39">
        <v>45914</v>
      </c>
      <c r="L1354" s="39">
        <v>45914</v>
      </c>
    </row>
    <row r="1355" spans="11:12" x14ac:dyDescent="0.2">
      <c r="K1355" s="39">
        <v>45915</v>
      </c>
      <c r="L1355" s="39">
        <v>45915</v>
      </c>
    </row>
    <row r="1356" spans="11:12" x14ac:dyDescent="0.2">
      <c r="K1356" s="39">
        <v>45916</v>
      </c>
      <c r="L1356" s="39">
        <v>45916</v>
      </c>
    </row>
    <row r="1357" spans="11:12" x14ac:dyDescent="0.2">
      <c r="K1357" s="39">
        <v>45917</v>
      </c>
      <c r="L1357" s="39">
        <v>45917</v>
      </c>
    </row>
    <row r="1358" spans="11:12" x14ac:dyDescent="0.2">
      <c r="K1358" s="39">
        <v>45918</v>
      </c>
      <c r="L1358" s="39">
        <v>45918</v>
      </c>
    </row>
    <row r="1359" spans="11:12" x14ac:dyDescent="0.2">
      <c r="K1359" s="39">
        <v>45919</v>
      </c>
      <c r="L1359" s="39">
        <v>45919</v>
      </c>
    </row>
    <row r="1360" spans="11:12" x14ac:dyDescent="0.2">
      <c r="K1360" s="39">
        <v>45920</v>
      </c>
      <c r="L1360" s="39">
        <v>45920</v>
      </c>
    </row>
    <row r="1361" spans="11:12" x14ac:dyDescent="0.2">
      <c r="K1361" s="39">
        <v>45921</v>
      </c>
      <c r="L1361" s="39">
        <v>45921</v>
      </c>
    </row>
    <row r="1362" spans="11:12" x14ac:dyDescent="0.2">
      <c r="K1362" s="39">
        <v>45922</v>
      </c>
      <c r="L1362" s="39">
        <v>45922</v>
      </c>
    </row>
    <row r="1363" spans="11:12" x14ac:dyDescent="0.2">
      <c r="K1363" s="39">
        <v>45923</v>
      </c>
      <c r="L1363" s="39">
        <v>45923</v>
      </c>
    </row>
    <row r="1364" spans="11:12" x14ac:dyDescent="0.2">
      <c r="K1364" s="39">
        <v>45924</v>
      </c>
      <c r="L1364" s="39">
        <v>45924</v>
      </c>
    </row>
    <row r="1365" spans="11:12" x14ac:dyDescent="0.2">
      <c r="K1365" s="39">
        <v>45925</v>
      </c>
      <c r="L1365" s="39">
        <v>45925</v>
      </c>
    </row>
    <row r="1366" spans="11:12" x14ac:dyDescent="0.2">
      <c r="K1366" s="39">
        <v>45926</v>
      </c>
      <c r="L1366" s="39">
        <v>45926</v>
      </c>
    </row>
    <row r="1367" spans="11:12" x14ac:dyDescent="0.2">
      <c r="K1367" s="39">
        <v>45927</v>
      </c>
      <c r="L1367" s="39">
        <v>45927</v>
      </c>
    </row>
    <row r="1368" spans="11:12" x14ac:dyDescent="0.2">
      <c r="K1368" s="39">
        <v>45928</v>
      </c>
      <c r="L1368" s="39">
        <v>45928</v>
      </c>
    </row>
    <row r="1369" spans="11:12" x14ac:dyDescent="0.2">
      <c r="K1369" s="39">
        <v>45929</v>
      </c>
      <c r="L1369" s="39">
        <v>45929</v>
      </c>
    </row>
    <row r="1370" spans="11:12" x14ac:dyDescent="0.2">
      <c r="K1370" s="39">
        <v>45930</v>
      </c>
      <c r="L1370" s="39">
        <v>45930</v>
      </c>
    </row>
    <row r="1371" spans="11:12" x14ac:dyDescent="0.2">
      <c r="K1371" s="39">
        <v>45931</v>
      </c>
      <c r="L1371" s="39">
        <v>45931</v>
      </c>
    </row>
    <row r="1372" spans="11:12" x14ac:dyDescent="0.2">
      <c r="K1372" s="39">
        <v>45932</v>
      </c>
      <c r="L1372" s="39">
        <v>45932</v>
      </c>
    </row>
    <row r="1373" spans="11:12" x14ac:dyDescent="0.2">
      <c r="K1373" s="39">
        <v>45933</v>
      </c>
      <c r="L1373" s="39">
        <v>45933</v>
      </c>
    </row>
    <row r="1374" spans="11:12" x14ac:dyDescent="0.2">
      <c r="K1374" s="39">
        <v>45934</v>
      </c>
      <c r="L1374" s="39">
        <v>45934</v>
      </c>
    </row>
    <row r="1375" spans="11:12" x14ac:dyDescent="0.2">
      <c r="K1375" s="39">
        <v>45935</v>
      </c>
      <c r="L1375" s="39">
        <v>45935</v>
      </c>
    </row>
    <row r="1376" spans="11:12" x14ac:dyDescent="0.2">
      <c r="K1376" s="39">
        <v>45936</v>
      </c>
      <c r="L1376" s="39">
        <v>45936</v>
      </c>
    </row>
    <row r="1377" spans="11:12" x14ac:dyDescent="0.2">
      <c r="K1377" s="39">
        <v>45937</v>
      </c>
      <c r="L1377" s="39">
        <v>45937</v>
      </c>
    </row>
    <row r="1378" spans="11:12" x14ac:dyDescent="0.2">
      <c r="K1378" s="39">
        <v>45938</v>
      </c>
      <c r="L1378" s="39">
        <v>45938</v>
      </c>
    </row>
    <row r="1379" spans="11:12" x14ac:dyDescent="0.2">
      <c r="K1379" s="39">
        <v>45939</v>
      </c>
      <c r="L1379" s="39">
        <v>45939</v>
      </c>
    </row>
    <row r="1380" spans="11:12" x14ac:dyDescent="0.2">
      <c r="K1380" s="39">
        <v>45940</v>
      </c>
      <c r="L1380" s="39">
        <v>45940</v>
      </c>
    </row>
    <row r="1381" spans="11:12" x14ac:dyDescent="0.2">
      <c r="K1381" s="39">
        <v>45941</v>
      </c>
      <c r="L1381" s="39">
        <v>45941</v>
      </c>
    </row>
    <row r="1382" spans="11:12" x14ac:dyDescent="0.2">
      <c r="K1382" s="39">
        <v>45942</v>
      </c>
      <c r="L1382" s="39">
        <v>45942</v>
      </c>
    </row>
    <row r="1383" spans="11:12" x14ac:dyDescent="0.2">
      <c r="K1383" s="39">
        <v>45943</v>
      </c>
      <c r="L1383" s="39">
        <v>45943</v>
      </c>
    </row>
    <row r="1384" spans="11:12" x14ac:dyDescent="0.2">
      <c r="K1384" s="39">
        <v>45944</v>
      </c>
      <c r="L1384" s="39">
        <v>45944</v>
      </c>
    </row>
    <row r="1385" spans="11:12" x14ac:dyDescent="0.2">
      <c r="K1385" s="39">
        <v>45945</v>
      </c>
      <c r="L1385" s="39">
        <v>45945</v>
      </c>
    </row>
    <row r="1386" spans="11:12" x14ac:dyDescent="0.2">
      <c r="K1386" s="39">
        <v>45946</v>
      </c>
      <c r="L1386" s="39">
        <v>45946</v>
      </c>
    </row>
    <row r="1387" spans="11:12" x14ac:dyDescent="0.2">
      <c r="K1387" s="39">
        <v>45947</v>
      </c>
      <c r="L1387" s="39">
        <v>45947</v>
      </c>
    </row>
    <row r="1388" spans="11:12" x14ac:dyDescent="0.2">
      <c r="K1388" s="39">
        <v>45948</v>
      </c>
      <c r="L1388" s="39">
        <v>45948</v>
      </c>
    </row>
    <row r="1389" spans="11:12" x14ac:dyDescent="0.2">
      <c r="K1389" s="39">
        <v>45949</v>
      </c>
      <c r="L1389" s="39">
        <v>45949</v>
      </c>
    </row>
    <row r="1390" spans="11:12" x14ac:dyDescent="0.2">
      <c r="K1390" s="39">
        <v>45950</v>
      </c>
      <c r="L1390" s="39">
        <v>45950</v>
      </c>
    </row>
    <row r="1391" spans="11:12" x14ac:dyDescent="0.2">
      <c r="K1391" s="39">
        <v>45951</v>
      </c>
      <c r="L1391" s="39">
        <v>45951</v>
      </c>
    </row>
    <row r="1392" spans="11:12" x14ac:dyDescent="0.2">
      <c r="K1392" s="39">
        <v>45952</v>
      </c>
      <c r="L1392" s="39">
        <v>45952</v>
      </c>
    </row>
    <row r="1393" spans="11:12" x14ac:dyDescent="0.2">
      <c r="K1393" s="39">
        <v>45953</v>
      </c>
      <c r="L1393" s="39">
        <v>45953</v>
      </c>
    </row>
    <row r="1394" spans="11:12" x14ac:dyDescent="0.2">
      <c r="K1394" s="39">
        <v>45954</v>
      </c>
      <c r="L1394" s="39">
        <v>45954</v>
      </c>
    </row>
    <row r="1395" spans="11:12" x14ac:dyDescent="0.2">
      <c r="K1395" s="39">
        <v>45955</v>
      </c>
      <c r="L1395" s="39">
        <v>45955</v>
      </c>
    </row>
    <row r="1396" spans="11:12" x14ac:dyDescent="0.2">
      <c r="K1396" s="39">
        <v>45956</v>
      </c>
      <c r="L1396" s="39">
        <v>45956</v>
      </c>
    </row>
    <row r="1397" spans="11:12" x14ac:dyDescent="0.2">
      <c r="K1397" s="39">
        <v>45957</v>
      </c>
      <c r="L1397" s="39">
        <v>45957</v>
      </c>
    </row>
    <row r="1398" spans="11:12" x14ac:dyDescent="0.2">
      <c r="K1398" s="39">
        <v>45958</v>
      </c>
      <c r="L1398" s="39">
        <v>45958</v>
      </c>
    </row>
    <row r="1399" spans="11:12" x14ac:dyDescent="0.2">
      <c r="K1399" s="39">
        <v>45959</v>
      </c>
      <c r="L1399" s="39">
        <v>45959</v>
      </c>
    </row>
    <row r="1400" spans="11:12" x14ac:dyDescent="0.2">
      <c r="K1400" s="39">
        <v>45960</v>
      </c>
      <c r="L1400" s="39">
        <v>45960</v>
      </c>
    </row>
    <row r="1401" spans="11:12" x14ac:dyDescent="0.2">
      <c r="K1401" s="39">
        <v>45961</v>
      </c>
      <c r="L1401" s="39">
        <v>45961</v>
      </c>
    </row>
    <row r="1402" spans="11:12" x14ac:dyDescent="0.2">
      <c r="K1402" s="39">
        <v>45962</v>
      </c>
      <c r="L1402" s="39">
        <v>45962</v>
      </c>
    </row>
    <row r="1403" spans="11:12" x14ac:dyDescent="0.2">
      <c r="K1403" s="39">
        <v>45963</v>
      </c>
      <c r="L1403" s="39">
        <v>45963</v>
      </c>
    </row>
    <row r="1404" spans="11:12" x14ac:dyDescent="0.2">
      <c r="K1404" s="39">
        <v>45964</v>
      </c>
      <c r="L1404" s="39">
        <v>45964</v>
      </c>
    </row>
    <row r="1405" spans="11:12" x14ac:dyDescent="0.2">
      <c r="K1405" s="39">
        <v>45965</v>
      </c>
      <c r="L1405" s="39">
        <v>45965</v>
      </c>
    </row>
    <row r="1406" spans="11:12" x14ac:dyDescent="0.2">
      <c r="K1406" s="39">
        <v>45966</v>
      </c>
      <c r="L1406" s="39">
        <v>45966</v>
      </c>
    </row>
    <row r="1407" spans="11:12" x14ac:dyDescent="0.2">
      <c r="K1407" s="39">
        <v>45967</v>
      </c>
      <c r="L1407" s="39">
        <v>45967</v>
      </c>
    </row>
    <row r="1408" spans="11:12" x14ac:dyDescent="0.2">
      <c r="K1408" s="39">
        <v>45968</v>
      </c>
      <c r="L1408" s="39">
        <v>45968</v>
      </c>
    </row>
    <row r="1409" spans="11:12" x14ac:dyDescent="0.2">
      <c r="K1409" s="39">
        <v>45969</v>
      </c>
      <c r="L1409" s="39">
        <v>45969</v>
      </c>
    </row>
    <row r="1410" spans="11:12" x14ac:dyDescent="0.2">
      <c r="K1410" s="39">
        <v>45970</v>
      </c>
      <c r="L1410" s="39">
        <v>45970</v>
      </c>
    </row>
    <row r="1411" spans="11:12" x14ac:dyDescent="0.2">
      <c r="K1411" s="39">
        <v>45971</v>
      </c>
      <c r="L1411" s="39">
        <v>45971</v>
      </c>
    </row>
    <row r="1412" spans="11:12" x14ac:dyDescent="0.2">
      <c r="K1412" s="39">
        <v>45972</v>
      </c>
      <c r="L1412" s="39">
        <v>45972</v>
      </c>
    </row>
    <row r="1413" spans="11:12" x14ac:dyDescent="0.2">
      <c r="K1413" s="39">
        <v>45973</v>
      </c>
      <c r="L1413" s="39">
        <v>45973</v>
      </c>
    </row>
    <row r="1414" spans="11:12" x14ac:dyDescent="0.2">
      <c r="K1414" s="39">
        <v>45974</v>
      </c>
      <c r="L1414" s="39">
        <v>45974</v>
      </c>
    </row>
    <row r="1415" spans="11:12" x14ac:dyDescent="0.2">
      <c r="K1415" s="39">
        <v>45975</v>
      </c>
      <c r="L1415" s="39">
        <v>45975</v>
      </c>
    </row>
    <row r="1416" spans="11:12" x14ac:dyDescent="0.2">
      <c r="K1416" s="39">
        <v>45976</v>
      </c>
      <c r="L1416" s="39">
        <v>45976</v>
      </c>
    </row>
    <row r="1417" spans="11:12" x14ac:dyDescent="0.2">
      <c r="K1417" s="39">
        <v>45977</v>
      </c>
      <c r="L1417" s="39">
        <v>45977</v>
      </c>
    </row>
    <row r="1418" spans="11:12" x14ac:dyDescent="0.2">
      <c r="K1418" s="39">
        <v>45978</v>
      </c>
      <c r="L1418" s="39">
        <v>45978</v>
      </c>
    </row>
    <row r="1419" spans="11:12" x14ac:dyDescent="0.2">
      <c r="K1419" s="39">
        <v>45979</v>
      </c>
      <c r="L1419" s="39">
        <v>45979</v>
      </c>
    </row>
    <row r="1420" spans="11:12" x14ac:dyDescent="0.2">
      <c r="K1420" s="39">
        <v>45980</v>
      </c>
      <c r="L1420" s="39">
        <v>45980</v>
      </c>
    </row>
    <row r="1421" spans="11:12" x14ac:dyDescent="0.2">
      <c r="K1421" s="39">
        <v>45981</v>
      </c>
      <c r="L1421" s="39">
        <v>45981</v>
      </c>
    </row>
    <row r="1422" spans="11:12" x14ac:dyDescent="0.2">
      <c r="K1422" s="39">
        <v>45982</v>
      </c>
      <c r="L1422" s="39">
        <v>45982</v>
      </c>
    </row>
    <row r="1423" spans="11:12" x14ac:dyDescent="0.2">
      <c r="K1423" s="39">
        <v>45983</v>
      </c>
      <c r="L1423" s="39">
        <v>45983</v>
      </c>
    </row>
    <row r="1424" spans="11:12" x14ac:dyDescent="0.2">
      <c r="K1424" s="39">
        <v>45984</v>
      </c>
      <c r="L1424" s="39">
        <v>45984</v>
      </c>
    </row>
    <row r="1425" spans="11:12" x14ac:dyDescent="0.2">
      <c r="K1425" s="39">
        <v>45985</v>
      </c>
      <c r="L1425" s="39">
        <v>45985</v>
      </c>
    </row>
    <row r="1426" spans="11:12" x14ac:dyDescent="0.2">
      <c r="K1426" s="39">
        <v>45986</v>
      </c>
      <c r="L1426" s="39">
        <v>45986</v>
      </c>
    </row>
    <row r="1427" spans="11:12" x14ac:dyDescent="0.2">
      <c r="K1427" s="39">
        <v>45987</v>
      </c>
      <c r="L1427" s="39">
        <v>45987</v>
      </c>
    </row>
    <row r="1428" spans="11:12" x14ac:dyDescent="0.2">
      <c r="K1428" s="39">
        <v>45988</v>
      </c>
      <c r="L1428" s="39">
        <v>45988</v>
      </c>
    </row>
    <row r="1429" spans="11:12" x14ac:dyDescent="0.2">
      <c r="K1429" s="39">
        <v>45989</v>
      </c>
      <c r="L1429" s="39">
        <v>45989</v>
      </c>
    </row>
    <row r="1430" spans="11:12" x14ac:dyDescent="0.2">
      <c r="K1430" s="39">
        <v>45990</v>
      </c>
      <c r="L1430" s="39">
        <v>45990</v>
      </c>
    </row>
    <row r="1431" spans="11:12" x14ac:dyDescent="0.2">
      <c r="K1431" s="39">
        <v>45991</v>
      </c>
      <c r="L1431" s="39">
        <v>45991</v>
      </c>
    </row>
    <row r="1432" spans="11:12" x14ac:dyDescent="0.2">
      <c r="K1432" s="39">
        <v>45992</v>
      </c>
      <c r="L1432" s="39">
        <v>45992</v>
      </c>
    </row>
    <row r="1433" spans="11:12" x14ac:dyDescent="0.2">
      <c r="K1433" s="39">
        <v>45993</v>
      </c>
      <c r="L1433" s="39">
        <v>45993</v>
      </c>
    </row>
    <row r="1434" spans="11:12" x14ac:dyDescent="0.2">
      <c r="K1434" s="39">
        <v>45994</v>
      </c>
      <c r="L1434" s="39">
        <v>45994</v>
      </c>
    </row>
    <row r="1435" spans="11:12" x14ac:dyDescent="0.2">
      <c r="K1435" s="39">
        <v>45995</v>
      </c>
      <c r="L1435" s="39">
        <v>45995</v>
      </c>
    </row>
    <row r="1436" spans="11:12" x14ac:dyDescent="0.2">
      <c r="K1436" s="39">
        <v>45996</v>
      </c>
      <c r="L1436" s="39">
        <v>45996</v>
      </c>
    </row>
    <row r="1437" spans="11:12" x14ac:dyDescent="0.2">
      <c r="K1437" s="39">
        <v>45997</v>
      </c>
      <c r="L1437" s="39">
        <v>45997</v>
      </c>
    </row>
    <row r="1438" spans="11:12" x14ac:dyDescent="0.2">
      <c r="K1438" s="39">
        <v>45998</v>
      </c>
      <c r="L1438" s="39">
        <v>45998</v>
      </c>
    </row>
    <row r="1439" spans="11:12" x14ac:dyDescent="0.2">
      <c r="K1439" s="39">
        <v>45999</v>
      </c>
      <c r="L1439" s="39">
        <v>45999</v>
      </c>
    </row>
    <row r="1440" spans="11:12" x14ac:dyDescent="0.2">
      <c r="K1440" s="39">
        <v>46000</v>
      </c>
      <c r="L1440" s="39">
        <v>46000</v>
      </c>
    </row>
    <row r="1441" spans="11:12" x14ac:dyDescent="0.2">
      <c r="K1441" s="39">
        <v>46001</v>
      </c>
      <c r="L1441" s="39">
        <v>46001</v>
      </c>
    </row>
    <row r="1442" spans="11:12" x14ac:dyDescent="0.2">
      <c r="K1442" s="39">
        <v>46002</v>
      </c>
      <c r="L1442" s="39">
        <v>46002</v>
      </c>
    </row>
    <row r="1443" spans="11:12" x14ac:dyDescent="0.2">
      <c r="K1443" s="39">
        <v>46003</v>
      </c>
      <c r="L1443" s="39">
        <v>46003</v>
      </c>
    </row>
    <row r="1444" spans="11:12" x14ac:dyDescent="0.2">
      <c r="K1444" s="39">
        <v>46004</v>
      </c>
      <c r="L1444" s="39">
        <v>46004</v>
      </c>
    </row>
    <row r="1445" spans="11:12" x14ac:dyDescent="0.2">
      <c r="K1445" s="39">
        <v>46005</v>
      </c>
      <c r="L1445" s="39">
        <v>46005</v>
      </c>
    </row>
    <row r="1446" spans="11:12" x14ac:dyDescent="0.2">
      <c r="K1446" s="39">
        <v>46006</v>
      </c>
      <c r="L1446" s="39">
        <v>46006</v>
      </c>
    </row>
    <row r="1447" spans="11:12" x14ac:dyDescent="0.2">
      <c r="K1447" s="39">
        <v>46007</v>
      </c>
      <c r="L1447" s="39">
        <v>46007</v>
      </c>
    </row>
    <row r="1448" spans="11:12" x14ac:dyDescent="0.2">
      <c r="K1448" s="39">
        <v>46008</v>
      </c>
      <c r="L1448" s="39">
        <v>46008</v>
      </c>
    </row>
    <row r="1449" spans="11:12" x14ac:dyDescent="0.2">
      <c r="K1449" s="39">
        <v>46009</v>
      </c>
      <c r="L1449" s="39">
        <v>46009</v>
      </c>
    </row>
    <row r="1450" spans="11:12" x14ac:dyDescent="0.2">
      <c r="K1450" s="39">
        <v>46010</v>
      </c>
      <c r="L1450" s="39">
        <v>46010</v>
      </c>
    </row>
    <row r="1451" spans="11:12" x14ac:dyDescent="0.2">
      <c r="K1451" s="39">
        <v>46011</v>
      </c>
      <c r="L1451" s="39">
        <v>46011</v>
      </c>
    </row>
    <row r="1452" spans="11:12" x14ac:dyDescent="0.2">
      <c r="K1452" s="39">
        <v>46012</v>
      </c>
      <c r="L1452" s="39">
        <v>46012</v>
      </c>
    </row>
    <row r="1453" spans="11:12" x14ac:dyDescent="0.2">
      <c r="K1453" s="39">
        <v>46013</v>
      </c>
      <c r="L1453" s="39">
        <v>46013</v>
      </c>
    </row>
    <row r="1454" spans="11:12" x14ac:dyDescent="0.2">
      <c r="K1454" s="39">
        <v>46014</v>
      </c>
      <c r="L1454" s="39">
        <v>46014</v>
      </c>
    </row>
    <row r="1455" spans="11:12" x14ac:dyDescent="0.2">
      <c r="K1455" s="39">
        <v>46015</v>
      </c>
      <c r="L1455" s="39">
        <v>46015</v>
      </c>
    </row>
    <row r="1456" spans="11:12" x14ac:dyDescent="0.2">
      <c r="K1456" s="39">
        <v>46016</v>
      </c>
      <c r="L1456" s="39">
        <v>46016</v>
      </c>
    </row>
    <row r="1457" spans="11:12" x14ac:dyDescent="0.2">
      <c r="K1457" s="39">
        <v>46017</v>
      </c>
      <c r="L1457" s="39">
        <v>46017</v>
      </c>
    </row>
    <row r="1458" spans="11:12" x14ac:dyDescent="0.2">
      <c r="K1458" s="39">
        <v>46018</v>
      </c>
      <c r="L1458" s="39">
        <v>46018</v>
      </c>
    </row>
    <row r="1459" spans="11:12" x14ac:dyDescent="0.2">
      <c r="K1459" s="39">
        <v>46019</v>
      </c>
      <c r="L1459" s="39">
        <v>46019</v>
      </c>
    </row>
    <row r="1460" spans="11:12" x14ac:dyDescent="0.2">
      <c r="K1460" s="39">
        <v>46020</v>
      </c>
      <c r="L1460" s="39">
        <v>46020</v>
      </c>
    </row>
    <row r="1461" spans="11:12" x14ac:dyDescent="0.2">
      <c r="K1461" s="39">
        <v>46021</v>
      </c>
      <c r="L1461" s="39">
        <v>46021</v>
      </c>
    </row>
    <row r="1462" spans="11:12" x14ac:dyDescent="0.2">
      <c r="K1462" s="39">
        <v>46022</v>
      </c>
      <c r="L1462" s="39">
        <v>46022</v>
      </c>
    </row>
    <row r="1463" spans="11:12" x14ac:dyDescent="0.2">
      <c r="K1463" s="39">
        <v>46023</v>
      </c>
      <c r="L1463" s="39">
        <v>46023</v>
      </c>
    </row>
    <row r="1464" spans="11:12" x14ac:dyDescent="0.2">
      <c r="K1464" s="39">
        <v>46024</v>
      </c>
      <c r="L1464" s="39">
        <v>46024</v>
      </c>
    </row>
    <row r="1465" spans="11:12" x14ac:dyDescent="0.2">
      <c r="K1465" s="39">
        <v>46025</v>
      </c>
      <c r="L1465" s="39">
        <v>46025</v>
      </c>
    </row>
    <row r="1466" spans="11:12" x14ac:dyDescent="0.2">
      <c r="K1466" s="39">
        <v>46026</v>
      </c>
      <c r="L1466" s="39">
        <v>46026</v>
      </c>
    </row>
    <row r="1467" spans="11:12" x14ac:dyDescent="0.2">
      <c r="K1467" s="39">
        <v>46027</v>
      </c>
      <c r="L1467" s="39">
        <v>46027</v>
      </c>
    </row>
    <row r="1468" spans="11:12" x14ac:dyDescent="0.2">
      <c r="K1468" s="39">
        <v>46028</v>
      </c>
      <c r="L1468" s="39">
        <v>46028</v>
      </c>
    </row>
    <row r="1469" spans="11:12" x14ac:dyDescent="0.2">
      <c r="K1469" s="39">
        <v>46029</v>
      </c>
      <c r="L1469" s="39">
        <v>46029</v>
      </c>
    </row>
    <row r="1470" spans="11:12" x14ac:dyDescent="0.2">
      <c r="K1470" s="39">
        <v>46030</v>
      </c>
      <c r="L1470" s="39">
        <v>46030</v>
      </c>
    </row>
    <row r="1471" spans="11:12" x14ac:dyDescent="0.2">
      <c r="K1471" s="39">
        <v>46031</v>
      </c>
      <c r="L1471" s="39">
        <v>46031</v>
      </c>
    </row>
    <row r="1472" spans="11:12" x14ac:dyDescent="0.2">
      <c r="K1472" s="39">
        <v>46032</v>
      </c>
      <c r="L1472" s="39">
        <v>46032</v>
      </c>
    </row>
    <row r="1473" spans="11:12" x14ac:dyDescent="0.2">
      <c r="K1473" s="39">
        <v>46033</v>
      </c>
      <c r="L1473" s="39">
        <v>46033</v>
      </c>
    </row>
    <row r="1474" spans="11:12" x14ac:dyDescent="0.2">
      <c r="K1474" s="39">
        <v>46034</v>
      </c>
      <c r="L1474" s="39">
        <v>46034</v>
      </c>
    </row>
    <row r="1475" spans="11:12" x14ac:dyDescent="0.2">
      <c r="K1475" s="39">
        <v>46035</v>
      </c>
      <c r="L1475" s="39">
        <v>46035</v>
      </c>
    </row>
    <row r="1476" spans="11:12" x14ac:dyDescent="0.2">
      <c r="K1476" s="39">
        <v>46036</v>
      </c>
      <c r="L1476" s="39">
        <v>46036</v>
      </c>
    </row>
    <row r="1477" spans="11:12" x14ac:dyDescent="0.2">
      <c r="K1477" s="39">
        <v>46037</v>
      </c>
      <c r="L1477" s="39">
        <v>46037</v>
      </c>
    </row>
    <row r="1478" spans="11:12" x14ac:dyDescent="0.2">
      <c r="K1478" s="39">
        <v>46038</v>
      </c>
      <c r="L1478" s="39">
        <v>46038</v>
      </c>
    </row>
    <row r="1479" spans="11:12" x14ac:dyDescent="0.2">
      <c r="K1479" s="39">
        <v>46039</v>
      </c>
      <c r="L1479" s="39">
        <v>46039</v>
      </c>
    </row>
    <row r="1480" spans="11:12" x14ac:dyDescent="0.2">
      <c r="K1480" s="39">
        <v>46040</v>
      </c>
      <c r="L1480" s="39">
        <v>46040</v>
      </c>
    </row>
    <row r="1481" spans="11:12" x14ac:dyDescent="0.2">
      <c r="K1481" s="39">
        <v>46041</v>
      </c>
      <c r="L1481" s="39">
        <v>46041</v>
      </c>
    </row>
    <row r="1482" spans="11:12" x14ac:dyDescent="0.2">
      <c r="K1482" s="39">
        <v>46042</v>
      </c>
      <c r="L1482" s="39">
        <v>46042</v>
      </c>
    </row>
    <row r="1483" spans="11:12" x14ac:dyDescent="0.2">
      <c r="K1483" s="39">
        <v>46043</v>
      </c>
      <c r="L1483" s="39">
        <v>46043</v>
      </c>
    </row>
    <row r="1484" spans="11:12" x14ac:dyDescent="0.2">
      <c r="K1484" s="39">
        <v>46044</v>
      </c>
      <c r="L1484" s="39">
        <v>46044</v>
      </c>
    </row>
    <row r="1485" spans="11:12" x14ac:dyDescent="0.2">
      <c r="K1485" s="39">
        <v>46045</v>
      </c>
      <c r="L1485" s="39">
        <v>46045</v>
      </c>
    </row>
    <row r="1486" spans="11:12" x14ac:dyDescent="0.2">
      <c r="K1486" s="39">
        <v>46046</v>
      </c>
      <c r="L1486" s="39">
        <v>46046</v>
      </c>
    </row>
    <row r="1487" spans="11:12" x14ac:dyDescent="0.2">
      <c r="K1487" s="39">
        <v>46047</v>
      </c>
      <c r="L1487" s="39">
        <v>46047</v>
      </c>
    </row>
    <row r="1488" spans="11:12" x14ac:dyDescent="0.2">
      <c r="K1488" s="39">
        <v>46048</v>
      </c>
      <c r="L1488" s="39">
        <v>46048</v>
      </c>
    </row>
    <row r="1489" spans="11:12" x14ac:dyDescent="0.2">
      <c r="K1489" s="39">
        <v>46049</v>
      </c>
      <c r="L1489" s="39">
        <v>46049</v>
      </c>
    </row>
    <row r="1490" spans="11:12" x14ac:dyDescent="0.2">
      <c r="K1490" s="39">
        <v>46050</v>
      </c>
      <c r="L1490" s="39">
        <v>46050</v>
      </c>
    </row>
    <row r="1491" spans="11:12" x14ac:dyDescent="0.2">
      <c r="K1491" s="39">
        <v>46051</v>
      </c>
      <c r="L1491" s="39">
        <v>46051</v>
      </c>
    </row>
    <row r="1492" spans="11:12" x14ac:dyDescent="0.2">
      <c r="K1492" s="39">
        <v>46052</v>
      </c>
      <c r="L1492" s="39">
        <v>46052</v>
      </c>
    </row>
    <row r="1493" spans="11:12" x14ac:dyDescent="0.2">
      <c r="K1493" s="39">
        <v>46053</v>
      </c>
      <c r="L1493" s="39">
        <v>46053</v>
      </c>
    </row>
    <row r="1494" spans="11:12" x14ac:dyDescent="0.2">
      <c r="K1494" s="39">
        <v>46054</v>
      </c>
      <c r="L1494" s="39">
        <v>46054</v>
      </c>
    </row>
    <row r="1495" spans="11:12" x14ac:dyDescent="0.2">
      <c r="K1495" s="39">
        <v>46055</v>
      </c>
      <c r="L1495" s="39">
        <v>46055</v>
      </c>
    </row>
    <row r="1496" spans="11:12" x14ac:dyDescent="0.2">
      <c r="K1496" s="39">
        <v>46056</v>
      </c>
      <c r="L1496" s="39">
        <v>46056</v>
      </c>
    </row>
    <row r="1497" spans="11:12" x14ac:dyDescent="0.2">
      <c r="K1497" s="39">
        <v>46057</v>
      </c>
      <c r="L1497" s="39">
        <v>46057</v>
      </c>
    </row>
    <row r="1498" spans="11:12" x14ac:dyDescent="0.2">
      <c r="K1498" s="39">
        <v>46058</v>
      </c>
      <c r="L1498" s="39">
        <v>46058</v>
      </c>
    </row>
    <row r="1499" spans="11:12" x14ac:dyDescent="0.2">
      <c r="K1499" s="39">
        <v>46059</v>
      </c>
      <c r="L1499" s="39">
        <v>46059</v>
      </c>
    </row>
    <row r="1500" spans="11:12" x14ac:dyDescent="0.2">
      <c r="K1500" s="39">
        <v>46060</v>
      </c>
      <c r="L1500" s="39">
        <v>46060</v>
      </c>
    </row>
    <row r="1501" spans="11:12" x14ac:dyDescent="0.2">
      <c r="K1501" s="39">
        <v>46061</v>
      </c>
      <c r="L1501" s="39">
        <v>46061</v>
      </c>
    </row>
    <row r="1502" spans="11:12" x14ac:dyDescent="0.2">
      <c r="K1502" s="39">
        <v>46062</v>
      </c>
      <c r="L1502" s="39">
        <v>46062</v>
      </c>
    </row>
    <row r="1503" spans="11:12" x14ac:dyDescent="0.2">
      <c r="K1503" s="39">
        <v>46063</v>
      </c>
      <c r="L1503" s="39">
        <v>46063</v>
      </c>
    </row>
    <row r="1504" spans="11:12" x14ac:dyDescent="0.2">
      <c r="K1504" s="39">
        <v>46064</v>
      </c>
      <c r="L1504" s="39">
        <v>46064</v>
      </c>
    </row>
    <row r="1505" spans="11:12" x14ac:dyDescent="0.2">
      <c r="K1505" s="39">
        <v>46065</v>
      </c>
      <c r="L1505" s="39">
        <v>46065</v>
      </c>
    </row>
    <row r="1506" spans="11:12" x14ac:dyDescent="0.2">
      <c r="K1506" s="39">
        <v>46066</v>
      </c>
      <c r="L1506" s="39">
        <v>46066</v>
      </c>
    </row>
    <row r="1507" spans="11:12" x14ac:dyDescent="0.2">
      <c r="K1507" s="39">
        <v>46067</v>
      </c>
      <c r="L1507" s="39">
        <v>46067</v>
      </c>
    </row>
    <row r="1508" spans="11:12" x14ac:dyDescent="0.2">
      <c r="K1508" s="39">
        <v>46068</v>
      </c>
      <c r="L1508" s="39">
        <v>46068</v>
      </c>
    </row>
    <row r="1509" spans="11:12" x14ac:dyDescent="0.2">
      <c r="K1509" s="39">
        <v>46069</v>
      </c>
      <c r="L1509" s="39">
        <v>46069</v>
      </c>
    </row>
    <row r="1510" spans="11:12" x14ac:dyDescent="0.2">
      <c r="K1510" s="39">
        <v>46070</v>
      </c>
      <c r="L1510" s="39">
        <v>46070</v>
      </c>
    </row>
    <row r="1511" spans="11:12" x14ac:dyDescent="0.2">
      <c r="K1511" s="39">
        <v>46071</v>
      </c>
      <c r="L1511" s="39">
        <v>46071</v>
      </c>
    </row>
    <row r="1512" spans="11:12" x14ac:dyDescent="0.2">
      <c r="K1512" s="39">
        <v>46072</v>
      </c>
      <c r="L1512" s="39">
        <v>46072</v>
      </c>
    </row>
    <row r="1513" spans="11:12" x14ac:dyDescent="0.2">
      <c r="K1513" s="39">
        <v>46073</v>
      </c>
      <c r="L1513" s="39">
        <v>46073</v>
      </c>
    </row>
    <row r="1514" spans="11:12" x14ac:dyDescent="0.2">
      <c r="K1514" s="39">
        <v>46074</v>
      </c>
      <c r="L1514" s="39">
        <v>46074</v>
      </c>
    </row>
    <row r="1515" spans="11:12" x14ac:dyDescent="0.2">
      <c r="K1515" s="39">
        <v>46075</v>
      </c>
      <c r="L1515" s="39">
        <v>46075</v>
      </c>
    </row>
    <row r="1516" spans="11:12" x14ac:dyDescent="0.2">
      <c r="K1516" s="39">
        <v>46076</v>
      </c>
      <c r="L1516" s="39">
        <v>46076</v>
      </c>
    </row>
    <row r="1517" spans="11:12" x14ac:dyDescent="0.2">
      <c r="K1517" s="39">
        <v>46077</v>
      </c>
      <c r="L1517" s="39">
        <v>46077</v>
      </c>
    </row>
    <row r="1518" spans="11:12" x14ac:dyDescent="0.2">
      <c r="K1518" s="39">
        <v>46078</v>
      </c>
      <c r="L1518" s="39">
        <v>46078</v>
      </c>
    </row>
    <row r="1519" spans="11:12" x14ac:dyDescent="0.2">
      <c r="K1519" s="39">
        <v>46079</v>
      </c>
      <c r="L1519" s="39">
        <v>46079</v>
      </c>
    </row>
    <row r="1520" spans="11:12" x14ac:dyDescent="0.2">
      <c r="K1520" s="39">
        <v>46080</v>
      </c>
      <c r="L1520" s="39">
        <v>46080</v>
      </c>
    </row>
    <row r="1521" spans="11:12" x14ac:dyDescent="0.2">
      <c r="K1521" s="39">
        <v>46081</v>
      </c>
      <c r="L1521" s="39">
        <v>46081</v>
      </c>
    </row>
    <row r="1522" spans="11:12" x14ac:dyDescent="0.2">
      <c r="K1522" s="39">
        <v>46082</v>
      </c>
      <c r="L1522" s="39">
        <v>46082</v>
      </c>
    </row>
    <row r="1523" spans="11:12" x14ac:dyDescent="0.2">
      <c r="K1523" s="39">
        <v>46083</v>
      </c>
      <c r="L1523" s="39">
        <v>46083</v>
      </c>
    </row>
    <row r="1524" spans="11:12" x14ac:dyDescent="0.2">
      <c r="K1524" s="39">
        <v>46084</v>
      </c>
      <c r="L1524" s="39">
        <v>46084</v>
      </c>
    </row>
    <row r="1525" spans="11:12" x14ac:dyDescent="0.2">
      <c r="K1525" s="39">
        <v>46085</v>
      </c>
      <c r="L1525" s="39">
        <v>46085</v>
      </c>
    </row>
    <row r="1526" spans="11:12" x14ac:dyDescent="0.2">
      <c r="K1526" s="39">
        <v>46086</v>
      </c>
      <c r="L1526" s="39">
        <v>46086</v>
      </c>
    </row>
    <row r="1527" spans="11:12" x14ac:dyDescent="0.2">
      <c r="K1527" s="39">
        <v>46087</v>
      </c>
      <c r="L1527" s="39">
        <v>46087</v>
      </c>
    </row>
    <row r="1528" spans="11:12" x14ac:dyDescent="0.2">
      <c r="K1528" s="39">
        <v>46088</v>
      </c>
      <c r="L1528" s="39">
        <v>46088</v>
      </c>
    </row>
    <row r="1529" spans="11:12" x14ac:dyDescent="0.2">
      <c r="K1529" s="39">
        <v>46089</v>
      </c>
      <c r="L1529" s="39">
        <v>46089</v>
      </c>
    </row>
    <row r="1530" spans="11:12" x14ac:dyDescent="0.2">
      <c r="K1530" s="39">
        <v>46090</v>
      </c>
      <c r="L1530" s="39">
        <v>46090</v>
      </c>
    </row>
    <row r="1531" spans="11:12" x14ac:dyDescent="0.2">
      <c r="K1531" s="39">
        <v>46091</v>
      </c>
      <c r="L1531" s="39">
        <v>46091</v>
      </c>
    </row>
    <row r="1532" spans="11:12" x14ac:dyDescent="0.2">
      <c r="K1532" s="39">
        <v>46092</v>
      </c>
      <c r="L1532" s="39">
        <v>46092</v>
      </c>
    </row>
    <row r="1533" spans="11:12" x14ac:dyDescent="0.2">
      <c r="K1533" s="39">
        <v>46093</v>
      </c>
      <c r="L1533" s="39">
        <v>46093</v>
      </c>
    </row>
    <row r="1534" spans="11:12" x14ac:dyDescent="0.2">
      <c r="K1534" s="39">
        <v>46094</v>
      </c>
      <c r="L1534" s="39">
        <v>46094</v>
      </c>
    </row>
    <row r="1535" spans="11:12" x14ac:dyDescent="0.2">
      <c r="K1535" s="39">
        <v>46095</v>
      </c>
      <c r="L1535" s="39">
        <v>46095</v>
      </c>
    </row>
    <row r="1536" spans="11:12" x14ac:dyDescent="0.2">
      <c r="K1536" s="39">
        <v>46096</v>
      </c>
      <c r="L1536" s="39">
        <v>46096</v>
      </c>
    </row>
    <row r="1537" spans="11:12" x14ac:dyDescent="0.2">
      <c r="K1537" s="39">
        <v>46097</v>
      </c>
      <c r="L1537" s="39">
        <v>46097</v>
      </c>
    </row>
    <row r="1538" spans="11:12" x14ac:dyDescent="0.2">
      <c r="K1538" s="39">
        <v>46098</v>
      </c>
      <c r="L1538" s="39">
        <v>46098</v>
      </c>
    </row>
    <row r="1539" spans="11:12" x14ac:dyDescent="0.2">
      <c r="K1539" s="39">
        <v>46099</v>
      </c>
      <c r="L1539" s="39">
        <v>46099</v>
      </c>
    </row>
    <row r="1540" spans="11:12" x14ac:dyDescent="0.2">
      <c r="K1540" s="39">
        <v>46100</v>
      </c>
      <c r="L1540" s="39">
        <v>46100</v>
      </c>
    </row>
    <row r="1541" spans="11:12" x14ac:dyDescent="0.2">
      <c r="K1541" s="39">
        <v>46101</v>
      </c>
      <c r="L1541" s="39">
        <v>46101</v>
      </c>
    </row>
    <row r="1542" spans="11:12" x14ac:dyDescent="0.2">
      <c r="K1542" s="39">
        <v>46102</v>
      </c>
      <c r="L1542" s="39">
        <v>46102</v>
      </c>
    </row>
    <row r="1543" spans="11:12" x14ac:dyDescent="0.2">
      <c r="K1543" s="39">
        <v>46103</v>
      </c>
      <c r="L1543" s="39">
        <v>46103</v>
      </c>
    </row>
    <row r="1544" spans="11:12" x14ac:dyDescent="0.2">
      <c r="K1544" s="39">
        <v>46104</v>
      </c>
      <c r="L1544" s="39">
        <v>46104</v>
      </c>
    </row>
    <row r="1545" spans="11:12" x14ac:dyDescent="0.2">
      <c r="K1545" s="39">
        <v>46105</v>
      </c>
      <c r="L1545" s="39">
        <v>46105</v>
      </c>
    </row>
    <row r="1546" spans="11:12" x14ac:dyDescent="0.2">
      <c r="K1546" s="39">
        <v>46106</v>
      </c>
      <c r="L1546" s="39">
        <v>46106</v>
      </c>
    </row>
    <row r="1547" spans="11:12" x14ac:dyDescent="0.2">
      <c r="K1547" s="39">
        <v>46107</v>
      </c>
      <c r="L1547" s="39">
        <v>46107</v>
      </c>
    </row>
    <row r="1548" spans="11:12" x14ac:dyDescent="0.2">
      <c r="K1548" s="39">
        <v>46108</v>
      </c>
      <c r="L1548" s="39">
        <v>46108</v>
      </c>
    </row>
    <row r="1549" spans="11:12" x14ac:dyDescent="0.2">
      <c r="K1549" s="39">
        <v>46109</v>
      </c>
      <c r="L1549" s="39">
        <v>46109</v>
      </c>
    </row>
    <row r="1550" spans="11:12" x14ac:dyDescent="0.2">
      <c r="K1550" s="39">
        <v>46110</v>
      </c>
      <c r="L1550" s="39">
        <v>46110</v>
      </c>
    </row>
    <row r="1551" spans="11:12" x14ac:dyDescent="0.2">
      <c r="K1551" s="39">
        <v>46111</v>
      </c>
      <c r="L1551" s="39">
        <v>46111</v>
      </c>
    </row>
    <row r="1552" spans="11:12" x14ac:dyDescent="0.2">
      <c r="K1552" s="39">
        <v>46112</v>
      </c>
      <c r="L1552" s="39">
        <v>46112</v>
      </c>
    </row>
    <row r="1553" spans="11:12" x14ac:dyDescent="0.2">
      <c r="K1553" s="39">
        <v>46113</v>
      </c>
      <c r="L1553" s="39">
        <v>46113</v>
      </c>
    </row>
    <row r="1554" spans="11:12" x14ac:dyDescent="0.2">
      <c r="K1554" s="39">
        <v>46114</v>
      </c>
      <c r="L1554" s="39">
        <v>46114</v>
      </c>
    </row>
    <row r="1555" spans="11:12" x14ac:dyDescent="0.2">
      <c r="K1555" s="39">
        <v>46115</v>
      </c>
      <c r="L1555" s="39">
        <v>46115</v>
      </c>
    </row>
    <row r="1556" spans="11:12" x14ac:dyDescent="0.2">
      <c r="K1556" s="39">
        <v>46116</v>
      </c>
      <c r="L1556" s="39">
        <v>46116</v>
      </c>
    </row>
    <row r="1557" spans="11:12" x14ac:dyDescent="0.2">
      <c r="K1557" s="39">
        <v>46117</v>
      </c>
      <c r="L1557" s="39">
        <v>46117</v>
      </c>
    </row>
    <row r="1558" spans="11:12" x14ac:dyDescent="0.2">
      <c r="K1558" s="39">
        <v>46118</v>
      </c>
      <c r="L1558" s="39">
        <v>46118</v>
      </c>
    </row>
    <row r="1559" spans="11:12" x14ac:dyDescent="0.2">
      <c r="K1559" s="39">
        <v>46119</v>
      </c>
      <c r="L1559" s="39">
        <v>46119</v>
      </c>
    </row>
    <row r="1560" spans="11:12" x14ac:dyDescent="0.2">
      <c r="K1560" s="39">
        <v>46120</v>
      </c>
      <c r="L1560" s="39">
        <v>46120</v>
      </c>
    </row>
    <row r="1561" spans="11:12" x14ac:dyDescent="0.2">
      <c r="K1561" s="39">
        <v>46121</v>
      </c>
      <c r="L1561" s="39">
        <v>46121</v>
      </c>
    </row>
    <row r="1562" spans="11:12" x14ac:dyDescent="0.2">
      <c r="K1562" s="39">
        <v>46122</v>
      </c>
      <c r="L1562" s="39">
        <v>46122</v>
      </c>
    </row>
    <row r="1563" spans="11:12" x14ac:dyDescent="0.2">
      <c r="K1563" s="39">
        <v>46123</v>
      </c>
      <c r="L1563" s="39">
        <v>46123</v>
      </c>
    </row>
    <row r="1564" spans="11:12" x14ac:dyDescent="0.2">
      <c r="K1564" s="39">
        <v>46124</v>
      </c>
      <c r="L1564" s="39">
        <v>46124</v>
      </c>
    </row>
    <row r="1565" spans="11:12" x14ac:dyDescent="0.2">
      <c r="K1565" s="39">
        <v>46125</v>
      </c>
      <c r="L1565" s="39">
        <v>46125</v>
      </c>
    </row>
    <row r="1566" spans="11:12" x14ac:dyDescent="0.2">
      <c r="K1566" s="39">
        <v>46126</v>
      </c>
      <c r="L1566" s="39">
        <v>46126</v>
      </c>
    </row>
    <row r="1567" spans="11:12" x14ac:dyDescent="0.2">
      <c r="K1567" s="39">
        <v>46127</v>
      </c>
      <c r="L1567" s="39">
        <v>46127</v>
      </c>
    </row>
    <row r="1568" spans="11:12" x14ac:dyDescent="0.2">
      <c r="K1568" s="39">
        <v>46128</v>
      </c>
      <c r="L1568" s="39">
        <v>46128</v>
      </c>
    </row>
    <row r="1569" spans="11:12" x14ac:dyDescent="0.2">
      <c r="K1569" s="39">
        <v>46129</v>
      </c>
      <c r="L1569" s="39">
        <v>46129</v>
      </c>
    </row>
    <row r="1570" spans="11:12" x14ac:dyDescent="0.2">
      <c r="K1570" s="39">
        <v>46130</v>
      </c>
      <c r="L1570" s="39">
        <v>46130</v>
      </c>
    </row>
    <row r="1571" spans="11:12" x14ac:dyDescent="0.2">
      <c r="K1571" s="39">
        <v>46131</v>
      </c>
      <c r="L1571" s="39">
        <v>46131</v>
      </c>
    </row>
    <row r="1572" spans="11:12" x14ac:dyDescent="0.2">
      <c r="K1572" s="39">
        <v>46132</v>
      </c>
      <c r="L1572" s="39">
        <v>46132</v>
      </c>
    </row>
    <row r="1573" spans="11:12" x14ac:dyDescent="0.2">
      <c r="K1573" s="39">
        <v>46133</v>
      </c>
      <c r="L1573" s="39">
        <v>46133</v>
      </c>
    </row>
    <row r="1574" spans="11:12" x14ac:dyDescent="0.2">
      <c r="K1574" s="39">
        <v>46134</v>
      </c>
      <c r="L1574" s="39">
        <v>46134</v>
      </c>
    </row>
    <row r="1575" spans="11:12" x14ac:dyDescent="0.2">
      <c r="K1575" s="39">
        <v>46135</v>
      </c>
      <c r="L1575" s="39">
        <v>46135</v>
      </c>
    </row>
    <row r="1576" spans="11:12" x14ac:dyDescent="0.2">
      <c r="K1576" s="39">
        <v>46136</v>
      </c>
      <c r="L1576" s="39">
        <v>46136</v>
      </c>
    </row>
    <row r="1577" spans="11:12" x14ac:dyDescent="0.2">
      <c r="K1577" s="39">
        <v>46137</v>
      </c>
      <c r="L1577" s="39">
        <v>46137</v>
      </c>
    </row>
    <row r="1578" spans="11:12" x14ac:dyDescent="0.2">
      <c r="K1578" s="39">
        <v>46138</v>
      </c>
      <c r="L1578" s="39">
        <v>46138</v>
      </c>
    </row>
    <row r="1579" spans="11:12" x14ac:dyDescent="0.2">
      <c r="K1579" s="39">
        <v>46139</v>
      </c>
      <c r="L1579" s="39">
        <v>46139</v>
      </c>
    </row>
    <row r="1580" spans="11:12" x14ac:dyDescent="0.2">
      <c r="K1580" s="39">
        <v>46140</v>
      </c>
      <c r="L1580" s="39">
        <v>46140</v>
      </c>
    </row>
    <row r="1581" spans="11:12" x14ac:dyDescent="0.2">
      <c r="K1581" s="39">
        <v>46141</v>
      </c>
      <c r="L1581" s="39">
        <v>46141</v>
      </c>
    </row>
    <row r="1582" spans="11:12" x14ac:dyDescent="0.2">
      <c r="K1582" s="39">
        <v>46142</v>
      </c>
      <c r="L1582" s="39">
        <v>46142</v>
      </c>
    </row>
    <row r="1583" spans="11:12" x14ac:dyDescent="0.2">
      <c r="K1583" s="39">
        <v>46143</v>
      </c>
      <c r="L1583" s="39">
        <v>46143</v>
      </c>
    </row>
    <row r="1584" spans="11:12" x14ac:dyDescent="0.2">
      <c r="K1584" s="39">
        <v>46144</v>
      </c>
      <c r="L1584" s="39">
        <v>46144</v>
      </c>
    </row>
    <row r="1585" spans="11:12" x14ac:dyDescent="0.2">
      <c r="K1585" s="39">
        <v>46145</v>
      </c>
      <c r="L1585" s="39">
        <v>46145</v>
      </c>
    </row>
    <row r="1586" spans="11:12" x14ac:dyDescent="0.2">
      <c r="K1586" s="39">
        <v>46146</v>
      </c>
      <c r="L1586" s="39">
        <v>46146</v>
      </c>
    </row>
    <row r="1587" spans="11:12" x14ac:dyDescent="0.2">
      <c r="K1587" s="39">
        <v>46147</v>
      </c>
      <c r="L1587" s="39">
        <v>46147</v>
      </c>
    </row>
    <row r="1588" spans="11:12" x14ac:dyDescent="0.2">
      <c r="K1588" s="39">
        <v>46148</v>
      </c>
      <c r="L1588" s="39">
        <v>46148</v>
      </c>
    </row>
    <row r="1589" spans="11:12" x14ac:dyDescent="0.2">
      <c r="K1589" s="39">
        <v>46149</v>
      </c>
      <c r="L1589" s="39">
        <v>46149</v>
      </c>
    </row>
    <row r="1590" spans="11:12" x14ac:dyDescent="0.2">
      <c r="K1590" s="39">
        <v>46150</v>
      </c>
      <c r="L1590" s="39">
        <v>46150</v>
      </c>
    </row>
    <row r="1591" spans="11:12" x14ac:dyDescent="0.2">
      <c r="K1591" s="39">
        <v>46151</v>
      </c>
      <c r="L1591" s="39">
        <v>46151</v>
      </c>
    </row>
    <row r="1592" spans="11:12" x14ac:dyDescent="0.2">
      <c r="K1592" s="39">
        <v>46152</v>
      </c>
      <c r="L1592" s="39">
        <v>46152</v>
      </c>
    </row>
    <row r="1593" spans="11:12" x14ac:dyDescent="0.2">
      <c r="K1593" s="39">
        <v>46153</v>
      </c>
      <c r="L1593" s="39">
        <v>46153</v>
      </c>
    </row>
    <row r="1594" spans="11:12" x14ac:dyDescent="0.2">
      <c r="K1594" s="39">
        <v>46154</v>
      </c>
      <c r="L1594" s="39">
        <v>46154</v>
      </c>
    </row>
    <row r="1595" spans="11:12" x14ac:dyDescent="0.2">
      <c r="K1595" s="39">
        <v>46155</v>
      </c>
      <c r="L1595" s="39">
        <v>46155</v>
      </c>
    </row>
    <row r="1596" spans="11:12" x14ac:dyDescent="0.2">
      <c r="K1596" s="39">
        <v>46156</v>
      </c>
      <c r="L1596" s="39">
        <v>46156</v>
      </c>
    </row>
    <row r="1597" spans="11:12" x14ac:dyDescent="0.2">
      <c r="K1597" s="39">
        <v>46157</v>
      </c>
      <c r="L1597" s="39">
        <v>46157</v>
      </c>
    </row>
    <row r="1598" spans="11:12" x14ac:dyDescent="0.2">
      <c r="K1598" s="39">
        <v>46158</v>
      </c>
      <c r="L1598" s="39">
        <v>46158</v>
      </c>
    </row>
    <row r="1599" spans="11:12" x14ac:dyDescent="0.2">
      <c r="K1599" s="39">
        <v>46159</v>
      </c>
      <c r="L1599" s="39">
        <v>46159</v>
      </c>
    </row>
    <row r="1600" spans="11:12" x14ac:dyDescent="0.2">
      <c r="K1600" s="39">
        <v>46160</v>
      </c>
      <c r="L1600" s="39">
        <v>46160</v>
      </c>
    </row>
    <row r="1601" spans="11:12" x14ac:dyDescent="0.2">
      <c r="K1601" s="39">
        <v>46161</v>
      </c>
      <c r="L1601" s="39">
        <v>46161</v>
      </c>
    </row>
    <row r="1602" spans="11:12" x14ac:dyDescent="0.2">
      <c r="K1602" s="39">
        <v>46162</v>
      </c>
      <c r="L1602" s="39">
        <v>46162</v>
      </c>
    </row>
    <row r="1603" spans="11:12" x14ac:dyDescent="0.2">
      <c r="K1603" s="39">
        <v>46163</v>
      </c>
      <c r="L1603" s="39">
        <v>46163</v>
      </c>
    </row>
    <row r="1604" spans="11:12" x14ac:dyDescent="0.2">
      <c r="K1604" s="39">
        <v>46164</v>
      </c>
      <c r="L1604" s="39">
        <v>46164</v>
      </c>
    </row>
    <row r="1605" spans="11:12" x14ac:dyDescent="0.2">
      <c r="K1605" s="39">
        <v>46165</v>
      </c>
      <c r="L1605" s="39">
        <v>46165</v>
      </c>
    </row>
    <row r="1606" spans="11:12" x14ac:dyDescent="0.2">
      <c r="K1606" s="39">
        <v>46166</v>
      </c>
      <c r="L1606" s="39">
        <v>46166</v>
      </c>
    </row>
    <row r="1607" spans="11:12" x14ac:dyDescent="0.2">
      <c r="K1607" s="39">
        <v>46167</v>
      </c>
      <c r="L1607" s="39">
        <v>46167</v>
      </c>
    </row>
    <row r="1608" spans="11:12" x14ac:dyDescent="0.2">
      <c r="K1608" s="39">
        <v>46168</v>
      </c>
      <c r="L1608" s="39">
        <v>46168</v>
      </c>
    </row>
    <row r="1609" spans="11:12" x14ac:dyDescent="0.2">
      <c r="K1609" s="39">
        <v>46169</v>
      </c>
      <c r="L1609" s="39">
        <v>46169</v>
      </c>
    </row>
    <row r="1610" spans="11:12" x14ac:dyDescent="0.2">
      <c r="K1610" s="39">
        <v>46170</v>
      </c>
      <c r="L1610" s="39">
        <v>46170</v>
      </c>
    </row>
    <row r="1611" spans="11:12" x14ac:dyDescent="0.2">
      <c r="K1611" s="39">
        <v>46171</v>
      </c>
      <c r="L1611" s="39">
        <v>46171</v>
      </c>
    </row>
    <row r="1612" spans="11:12" x14ac:dyDescent="0.2">
      <c r="K1612" s="39">
        <v>46172</v>
      </c>
      <c r="L1612" s="39">
        <v>46172</v>
      </c>
    </row>
    <row r="1613" spans="11:12" x14ac:dyDescent="0.2">
      <c r="K1613" s="39">
        <v>46173</v>
      </c>
      <c r="L1613" s="39">
        <v>46173</v>
      </c>
    </row>
    <row r="1614" spans="11:12" x14ac:dyDescent="0.2">
      <c r="K1614" s="39">
        <v>46174</v>
      </c>
      <c r="L1614" s="39">
        <v>46174</v>
      </c>
    </row>
    <row r="1615" spans="11:12" x14ac:dyDescent="0.2">
      <c r="K1615" s="39">
        <v>46175</v>
      </c>
      <c r="L1615" s="39">
        <v>46175</v>
      </c>
    </row>
    <row r="1616" spans="11:12" x14ac:dyDescent="0.2">
      <c r="K1616" s="39">
        <v>46176</v>
      </c>
      <c r="L1616" s="39">
        <v>46176</v>
      </c>
    </row>
    <row r="1617" spans="11:12" x14ac:dyDescent="0.2">
      <c r="K1617" s="39">
        <v>46177</v>
      </c>
      <c r="L1617" s="39">
        <v>46177</v>
      </c>
    </row>
    <row r="1618" spans="11:12" x14ac:dyDescent="0.2">
      <c r="K1618" s="39">
        <v>46178</v>
      </c>
      <c r="L1618" s="39">
        <v>46178</v>
      </c>
    </row>
    <row r="1619" spans="11:12" x14ac:dyDescent="0.2">
      <c r="K1619" s="39">
        <v>46179</v>
      </c>
      <c r="L1619" s="39">
        <v>46179</v>
      </c>
    </row>
    <row r="1620" spans="11:12" x14ac:dyDescent="0.2">
      <c r="K1620" s="39">
        <v>46180</v>
      </c>
      <c r="L1620" s="39">
        <v>46180</v>
      </c>
    </row>
    <row r="1621" spans="11:12" x14ac:dyDescent="0.2">
      <c r="K1621" s="39">
        <v>46181</v>
      </c>
      <c r="L1621" s="39">
        <v>46181</v>
      </c>
    </row>
    <row r="1622" spans="11:12" x14ac:dyDescent="0.2">
      <c r="K1622" s="39">
        <v>46182</v>
      </c>
      <c r="L1622" s="39">
        <v>46182</v>
      </c>
    </row>
    <row r="1623" spans="11:12" x14ac:dyDescent="0.2">
      <c r="K1623" s="39">
        <v>46183</v>
      </c>
      <c r="L1623" s="39">
        <v>46183</v>
      </c>
    </row>
    <row r="1624" spans="11:12" x14ac:dyDescent="0.2">
      <c r="K1624" s="39">
        <v>46184</v>
      </c>
      <c r="L1624" s="39">
        <v>46184</v>
      </c>
    </row>
    <row r="1625" spans="11:12" x14ac:dyDescent="0.2">
      <c r="K1625" s="39">
        <v>46185</v>
      </c>
      <c r="L1625" s="39">
        <v>46185</v>
      </c>
    </row>
    <row r="1626" spans="11:12" x14ac:dyDescent="0.2">
      <c r="K1626" s="39">
        <v>46186</v>
      </c>
      <c r="L1626" s="39">
        <v>46186</v>
      </c>
    </row>
    <row r="1627" spans="11:12" x14ac:dyDescent="0.2">
      <c r="K1627" s="39">
        <v>46187</v>
      </c>
      <c r="L1627" s="39">
        <v>46187</v>
      </c>
    </row>
    <row r="1628" spans="11:12" x14ac:dyDescent="0.2">
      <c r="K1628" s="39">
        <v>46188</v>
      </c>
      <c r="L1628" s="39">
        <v>46188</v>
      </c>
    </row>
    <row r="1629" spans="11:12" x14ac:dyDescent="0.2">
      <c r="K1629" s="39">
        <v>46189</v>
      </c>
      <c r="L1629" s="39">
        <v>46189</v>
      </c>
    </row>
    <row r="1630" spans="11:12" x14ac:dyDescent="0.2">
      <c r="K1630" s="39">
        <v>46190</v>
      </c>
      <c r="L1630" s="39">
        <v>46190</v>
      </c>
    </row>
    <row r="1631" spans="11:12" x14ac:dyDescent="0.2">
      <c r="K1631" s="39">
        <v>46191</v>
      </c>
      <c r="L1631" s="39">
        <v>46191</v>
      </c>
    </row>
    <row r="1632" spans="11:12" x14ac:dyDescent="0.2">
      <c r="K1632" s="39">
        <v>46192</v>
      </c>
      <c r="L1632" s="39">
        <v>46192</v>
      </c>
    </row>
    <row r="1633" spans="11:12" x14ac:dyDescent="0.2">
      <c r="K1633" s="39">
        <v>46193</v>
      </c>
      <c r="L1633" s="39">
        <v>46193</v>
      </c>
    </row>
    <row r="1634" spans="11:12" x14ac:dyDescent="0.2">
      <c r="K1634" s="39">
        <v>46194</v>
      </c>
      <c r="L1634" s="39">
        <v>46194</v>
      </c>
    </row>
    <row r="1635" spans="11:12" x14ac:dyDescent="0.2">
      <c r="K1635" s="39">
        <v>46195</v>
      </c>
      <c r="L1635" s="39">
        <v>46195</v>
      </c>
    </row>
    <row r="1636" spans="11:12" x14ac:dyDescent="0.2">
      <c r="K1636" s="39">
        <v>46196</v>
      </c>
      <c r="L1636" s="39">
        <v>46196</v>
      </c>
    </row>
    <row r="1637" spans="11:12" x14ac:dyDescent="0.2">
      <c r="K1637" s="39">
        <v>46197</v>
      </c>
      <c r="L1637" s="39">
        <v>46197</v>
      </c>
    </row>
    <row r="1638" spans="11:12" x14ac:dyDescent="0.2">
      <c r="K1638" s="39">
        <v>46198</v>
      </c>
      <c r="L1638" s="39">
        <v>46198</v>
      </c>
    </row>
    <row r="1639" spans="11:12" x14ac:dyDescent="0.2">
      <c r="K1639" s="39">
        <v>46199</v>
      </c>
      <c r="L1639" s="39">
        <v>46199</v>
      </c>
    </row>
    <row r="1640" spans="11:12" x14ac:dyDescent="0.2">
      <c r="K1640" s="39">
        <v>46200</v>
      </c>
      <c r="L1640" s="39">
        <v>46200</v>
      </c>
    </row>
    <row r="1641" spans="11:12" x14ac:dyDescent="0.2">
      <c r="K1641" s="39">
        <v>46201</v>
      </c>
      <c r="L1641" s="39">
        <v>46201</v>
      </c>
    </row>
    <row r="1642" spans="11:12" x14ac:dyDescent="0.2">
      <c r="K1642" s="39">
        <v>46202</v>
      </c>
      <c r="L1642" s="39">
        <v>46202</v>
      </c>
    </row>
    <row r="1643" spans="11:12" x14ac:dyDescent="0.2">
      <c r="K1643" s="39">
        <v>46203</v>
      </c>
      <c r="L1643" s="39">
        <v>46203</v>
      </c>
    </row>
    <row r="1644" spans="11:12" x14ac:dyDescent="0.2">
      <c r="K1644" s="39">
        <v>46204</v>
      </c>
      <c r="L1644" s="39">
        <v>46204</v>
      </c>
    </row>
    <row r="1645" spans="11:12" x14ac:dyDescent="0.2">
      <c r="K1645" s="39">
        <v>46205</v>
      </c>
      <c r="L1645" s="39">
        <v>46205</v>
      </c>
    </row>
    <row r="1646" spans="11:12" x14ac:dyDescent="0.2">
      <c r="K1646" s="39">
        <v>46206</v>
      </c>
      <c r="L1646" s="39">
        <v>46206</v>
      </c>
    </row>
    <row r="1647" spans="11:12" x14ac:dyDescent="0.2">
      <c r="K1647" s="39">
        <v>46207</v>
      </c>
      <c r="L1647" s="39">
        <v>46207</v>
      </c>
    </row>
    <row r="1648" spans="11:12" x14ac:dyDescent="0.2">
      <c r="K1648" s="39">
        <v>46208</v>
      </c>
      <c r="L1648" s="39">
        <v>46208</v>
      </c>
    </row>
    <row r="1649" spans="11:12" x14ac:dyDescent="0.2">
      <c r="K1649" s="39">
        <v>46209</v>
      </c>
      <c r="L1649" s="39">
        <v>46209</v>
      </c>
    </row>
    <row r="1650" spans="11:12" x14ac:dyDescent="0.2">
      <c r="K1650" s="39">
        <v>46210</v>
      </c>
      <c r="L1650" s="39">
        <v>46210</v>
      </c>
    </row>
    <row r="1651" spans="11:12" x14ac:dyDescent="0.2">
      <c r="K1651" s="39">
        <v>46211</v>
      </c>
      <c r="L1651" s="39">
        <v>46211</v>
      </c>
    </row>
    <row r="1652" spans="11:12" x14ac:dyDescent="0.2">
      <c r="K1652" s="39">
        <v>46212</v>
      </c>
      <c r="L1652" s="39">
        <v>46212</v>
      </c>
    </row>
    <row r="1653" spans="11:12" x14ac:dyDescent="0.2">
      <c r="K1653" s="39">
        <v>46213</v>
      </c>
      <c r="L1653" s="39">
        <v>46213</v>
      </c>
    </row>
    <row r="1654" spans="11:12" x14ac:dyDescent="0.2">
      <c r="K1654" s="39">
        <v>46214</v>
      </c>
      <c r="L1654" s="39">
        <v>46214</v>
      </c>
    </row>
    <row r="1655" spans="11:12" x14ac:dyDescent="0.2">
      <c r="K1655" s="39">
        <v>46215</v>
      </c>
      <c r="L1655" s="39">
        <v>46215</v>
      </c>
    </row>
    <row r="1656" spans="11:12" x14ac:dyDescent="0.2">
      <c r="K1656" s="39">
        <v>46216</v>
      </c>
      <c r="L1656" s="39">
        <v>46216</v>
      </c>
    </row>
    <row r="1657" spans="11:12" x14ac:dyDescent="0.2">
      <c r="K1657" s="39">
        <v>46217</v>
      </c>
      <c r="L1657" s="39">
        <v>46217</v>
      </c>
    </row>
    <row r="1658" spans="11:12" x14ac:dyDescent="0.2">
      <c r="K1658" s="39">
        <v>46218</v>
      </c>
      <c r="L1658" s="39">
        <v>46218</v>
      </c>
    </row>
    <row r="1659" spans="11:12" x14ac:dyDescent="0.2">
      <c r="K1659" s="39">
        <v>46219</v>
      </c>
      <c r="L1659" s="39">
        <v>46219</v>
      </c>
    </row>
    <row r="1660" spans="11:12" x14ac:dyDescent="0.2">
      <c r="K1660" s="39">
        <v>46220</v>
      </c>
      <c r="L1660" s="39">
        <v>46220</v>
      </c>
    </row>
    <row r="1661" spans="11:12" x14ac:dyDescent="0.2">
      <c r="K1661" s="39">
        <v>46221</v>
      </c>
      <c r="L1661" s="39">
        <v>46221</v>
      </c>
    </row>
    <row r="1662" spans="11:12" x14ac:dyDescent="0.2">
      <c r="K1662" s="39">
        <v>46222</v>
      </c>
      <c r="L1662" s="39">
        <v>46222</v>
      </c>
    </row>
    <row r="1663" spans="11:12" x14ac:dyDescent="0.2">
      <c r="K1663" s="39">
        <v>46223</v>
      </c>
      <c r="L1663" s="39">
        <v>46223</v>
      </c>
    </row>
    <row r="1664" spans="11:12" x14ac:dyDescent="0.2">
      <c r="K1664" s="39">
        <v>46224</v>
      </c>
      <c r="L1664" s="39">
        <v>46224</v>
      </c>
    </row>
    <row r="1665" spans="11:12" x14ac:dyDescent="0.2">
      <c r="K1665" s="39">
        <v>46225</v>
      </c>
      <c r="L1665" s="39">
        <v>46225</v>
      </c>
    </row>
    <row r="1666" spans="11:12" x14ac:dyDescent="0.2">
      <c r="K1666" s="39">
        <v>46226</v>
      </c>
      <c r="L1666" s="39">
        <v>46226</v>
      </c>
    </row>
    <row r="1667" spans="11:12" x14ac:dyDescent="0.2">
      <c r="K1667" s="39">
        <v>46227</v>
      </c>
      <c r="L1667" s="39">
        <v>46227</v>
      </c>
    </row>
    <row r="1668" spans="11:12" x14ac:dyDescent="0.2">
      <c r="K1668" s="39">
        <v>46228</v>
      </c>
      <c r="L1668" s="39">
        <v>46228</v>
      </c>
    </row>
    <row r="1669" spans="11:12" x14ac:dyDescent="0.2">
      <c r="K1669" s="39">
        <v>46229</v>
      </c>
      <c r="L1669" s="39">
        <v>46229</v>
      </c>
    </row>
    <row r="1670" spans="11:12" x14ac:dyDescent="0.2">
      <c r="K1670" s="39">
        <v>46230</v>
      </c>
      <c r="L1670" s="39">
        <v>46230</v>
      </c>
    </row>
    <row r="1671" spans="11:12" x14ac:dyDescent="0.2">
      <c r="K1671" s="39">
        <v>46231</v>
      </c>
      <c r="L1671" s="39">
        <v>46231</v>
      </c>
    </row>
    <row r="1672" spans="11:12" x14ac:dyDescent="0.2">
      <c r="K1672" s="39">
        <v>46232</v>
      </c>
      <c r="L1672" s="39">
        <v>46232</v>
      </c>
    </row>
    <row r="1673" spans="11:12" x14ac:dyDescent="0.2">
      <c r="K1673" s="39">
        <v>46233</v>
      </c>
      <c r="L1673" s="39">
        <v>46233</v>
      </c>
    </row>
    <row r="1674" spans="11:12" x14ac:dyDescent="0.2">
      <c r="K1674" s="39">
        <v>46234</v>
      </c>
      <c r="L1674" s="39">
        <v>46234</v>
      </c>
    </row>
    <row r="1675" spans="11:12" x14ac:dyDescent="0.2">
      <c r="K1675" s="39">
        <v>46235</v>
      </c>
      <c r="L1675" s="39">
        <v>46235</v>
      </c>
    </row>
    <row r="1676" spans="11:12" x14ac:dyDescent="0.2">
      <c r="K1676" s="39">
        <v>46236</v>
      </c>
      <c r="L1676" s="39">
        <v>46236</v>
      </c>
    </row>
    <row r="1677" spans="11:12" x14ac:dyDescent="0.2">
      <c r="K1677" s="39">
        <v>46237</v>
      </c>
      <c r="L1677" s="39">
        <v>46237</v>
      </c>
    </row>
    <row r="1678" spans="11:12" x14ac:dyDescent="0.2">
      <c r="K1678" s="39">
        <v>46238</v>
      </c>
      <c r="L1678" s="39">
        <v>46238</v>
      </c>
    </row>
    <row r="1679" spans="11:12" x14ac:dyDescent="0.2">
      <c r="K1679" s="39">
        <v>46239</v>
      </c>
      <c r="L1679" s="39">
        <v>46239</v>
      </c>
    </row>
    <row r="1680" spans="11:12" x14ac:dyDescent="0.2">
      <c r="K1680" s="39">
        <v>46240</v>
      </c>
      <c r="L1680" s="39">
        <v>46240</v>
      </c>
    </row>
    <row r="1681" spans="11:12" x14ac:dyDescent="0.2">
      <c r="K1681" s="39">
        <v>46241</v>
      </c>
      <c r="L1681" s="39">
        <v>46241</v>
      </c>
    </row>
    <row r="1682" spans="11:12" x14ac:dyDescent="0.2">
      <c r="K1682" s="39">
        <v>46242</v>
      </c>
      <c r="L1682" s="39">
        <v>46242</v>
      </c>
    </row>
    <row r="1683" spans="11:12" x14ac:dyDescent="0.2">
      <c r="K1683" s="39">
        <v>46243</v>
      </c>
      <c r="L1683" s="39">
        <v>46243</v>
      </c>
    </row>
    <row r="1684" spans="11:12" x14ac:dyDescent="0.2">
      <c r="K1684" s="39">
        <v>46244</v>
      </c>
      <c r="L1684" s="39">
        <v>46244</v>
      </c>
    </row>
    <row r="1685" spans="11:12" x14ac:dyDescent="0.2">
      <c r="K1685" s="39">
        <v>46245</v>
      </c>
      <c r="L1685" s="39">
        <v>46245</v>
      </c>
    </row>
    <row r="1686" spans="11:12" x14ac:dyDescent="0.2">
      <c r="K1686" s="39">
        <v>46246</v>
      </c>
      <c r="L1686" s="39">
        <v>46246</v>
      </c>
    </row>
    <row r="1687" spans="11:12" x14ac:dyDescent="0.2">
      <c r="K1687" s="39">
        <v>46247</v>
      </c>
      <c r="L1687" s="39">
        <v>46247</v>
      </c>
    </row>
    <row r="1688" spans="11:12" x14ac:dyDescent="0.2">
      <c r="K1688" s="39">
        <v>46248</v>
      </c>
      <c r="L1688" s="39">
        <v>46248</v>
      </c>
    </row>
    <row r="1689" spans="11:12" x14ac:dyDescent="0.2">
      <c r="K1689" s="39">
        <v>46249</v>
      </c>
      <c r="L1689" s="39">
        <v>46249</v>
      </c>
    </row>
    <row r="1690" spans="11:12" x14ac:dyDescent="0.2">
      <c r="K1690" s="39">
        <v>46250</v>
      </c>
      <c r="L1690" s="39">
        <v>46250</v>
      </c>
    </row>
    <row r="1691" spans="11:12" x14ac:dyDescent="0.2">
      <c r="K1691" s="39">
        <v>46251</v>
      </c>
      <c r="L1691" s="39">
        <v>46251</v>
      </c>
    </row>
    <row r="1692" spans="11:12" x14ac:dyDescent="0.2">
      <c r="K1692" s="39">
        <v>46252</v>
      </c>
      <c r="L1692" s="39">
        <v>46252</v>
      </c>
    </row>
    <row r="1693" spans="11:12" x14ac:dyDescent="0.2">
      <c r="K1693" s="39">
        <v>46253</v>
      </c>
      <c r="L1693" s="39">
        <v>46253</v>
      </c>
    </row>
    <row r="1694" spans="11:12" x14ac:dyDescent="0.2">
      <c r="K1694" s="39">
        <v>46254</v>
      </c>
      <c r="L1694" s="39">
        <v>46254</v>
      </c>
    </row>
    <row r="1695" spans="11:12" x14ac:dyDescent="0.2">
      <c r="K1695" s="39">
        <v>46255</v>
      </c>
      <c r="L1695" s="39">
        <v>46255</v>
      </c>
    </row>
    <row r="1696" spans="11:12" x14ac:dyDescent="0.2">
      <c r="K1696" s="39">
        <v>46256</v>
      </c>
      <c r="L1696" s="39">
        <v>46256</v>
      </c>
    </row>
    <row r="1697" spans="11:12" x14ac:dyDescent="0.2">
      <c r="K1697" s="39">
        <v>46257</v>
      </c>
      <c r="L1697" s="39">
        <v>46257</v>
      </c>
    </row>
    <row r="1698" spans="11:12" x14ac:dyDescent="0.2">
      <c r="K1698" s="39">
        <v>46258</v>
      </c>
      <c r="L1698" s="39">
        <v>46258</v>
      </c>
    </row>
    <row r="1699" spans="11:12" x14ac:dyDescent="0.2">
      <c r="K1699" s="39">
        <v>46259</v>
      </c>
      <c r="L1699" s="39">
        <v>46259</v>
      </c>
    </row>
    <row r="1700" spans="11:12" x14ac:dyDescent="0.2">
      <c r="K1700" s="39">
        <v>46260</v>
      </c>
      <c r="L1700" s="39">
        <v>46260</v>
      </c>
    </row>
    <row r="1701" spans="11:12" x14ac:dyDescent="0.2">
      <c r="K1701" s="39">
        <v>46261</v>
      </c>
      <c r="L1701" s="39">
        <v>46261</v>
      </c>
    </row>
    <row r="1702" spans="11:12" x14ac:dyDescent="0.2">
      <c r="K1702" s="39">
        <v>46262</v>
      </c>
      <c r="L1702" s="39">
        <v>46262</v>
      </c>
    </row>
    <row r="1703" spans="11:12" x14ac:dyDescent="0.2">
      <c r="K1703" s="39">
        <v>46263</v>
      </c>
      <c r="L1703" s="39">
        <v>46263</v>
      </c>
    </row>
    <row r="1704" spans="11:12" x14ac:dyDescent="0.2">
      <c r="K1704" s="39">
        <v>46264</v>
      </c>
      <c r="L1704" s="39">
        <v>46264</v>
      </c>
    </row>
    <row r="1705" spans="11:12" x14ac:dyDescent="0.2">
      <c r="K1705" s="39">
        <v>46265</v>
      </c>
      <c r="L1705" s="39">
        <v>46265</v>
      </c>
    </row>
    <row r="1706" spans="11:12" x14ac:dyDescent="0.2">
      <c r="K1706" s="39">
        <v>46266</v>
      </c>
      <c r="L1706" s="39">
        <v>46266</v>
      </c>
    </row>
    <row r="1707" spans="11:12" x14ac:dyDescent="0.2">
      <c r="K1707" s="39">
        <v>46267</v>
      </c>
      <c r="L1707" s="39">
        <v>46267</v>
      </c>
    </row>
    <row r="1708" spans="11:12" x14ac:dyDescent="0.2">
      <c r="K1708" s="39">
        <v>46268</v>
      </c>
      <c r="L1708" s="39">
        <v>46268</v>
      </c>
    </row>
    <row r="1709" spans="11:12" x14ac:dyDescent="0.2">
      <c r="K1709" s="39">
        <v>46269</v>
      </c>
      <c r="L1709" s="39">
        <v>46269</v>
      </c>
    </row>
    <row r="1710" spans="11:12" x14ac:dyDescent="0.2">
      <c r="K1710" s="39">
        <v>46270</v>
      </c>
      <c r="L1710" s="39">
        <v>46270</v>
      </c>
    </row>
    <row r="1711" spans="11:12" x14ac:dyDescent="0.2">
      <c r="K1711" s="39">
        <v>46271</v>
      </c>
      <c r="L1711" s="39">
        <v>46271</v>
      </c>
    </row>
    <row r="1712" spans="11:12" x14ac:dyDescent="0.2">
      <c r="K1712" s="39">
        <v>46272</v>
      </c>
      <c r="L1712" s="39">
        <v>46272</v>
      </c>
    </row>
    <row r="1713" spans="11:12" x14ac:dyDescent="0.2">
      <c r="K1713" s="39">
        <v>46273</v>
      </c>
      <c r="L1713" s="39">
        <v>46273</v>
      </c>
    </row>
    <row r="1714" spans="11:12" x14ac:dyDescent="0.2">
      <c r="K1714" s="39">
        <v>46274</v>
      </c>
      <c r="L1714" s="39">
        <v>46274</v>
      </c>
    </row>
    <row r="1715" spans="11:12" x14ac:dyDescent="0.2">
      <c r="K1715" s="39">
        <v>46275</v>
      </c>
      <c r="L1715" s="39">
        <v>46275</v>
      </c>
    </row>
    <row r="1716" spans="11:12" x14ac:dyDescent="0.2">
      <c r="K1716" s="39">
        <v>46276</v>
      </c>
      <c r="L1716" s="39">
        <v>46276</v>
      </c>
    </row>
    <row r="1717" spans="11:12" x14ac:dyDescent="0.2">
      <c r="K1717" s="39">
        <v>46277</v>
      </c>
      <c r="L1717" s="39">
        <v>46277</v>
      </c>
    </row>
    <row r="1718" spans="11:12" x14ac:dyDescent="0.2">
      <c r="K1718" s="39">
        <v>46278</v>
      </c>
      <c r="L1718" s="39">
        <v>46278</v>
      </c>
    </row>
    <row r="1719" spans="11:12" x14ac:dyDescent="0.2">
      <c r="K1719" s="39">
        <v>46279</v>
      </c>
      <c r="L1719" s="39">
        <v>46279</v>
      </c>
    </row>
    <row r="1720" spans="11:12" x14ac:dyDescent="0.2">
      <c r="K1720" s="39">
        <v>46280</v>
      </c>
      <c r="L1720" s="39">
        <v>46280</v>
      </c>
    </row>
    <row r="1721" spans="11:12" x14ac:dyDescent="0.2">
      <c r="K1721" s="39">
        <v>46281</v>
      </c>
      <c r="L1721" s="39">
        <v>46281</v>
      </c>
    </row>
    <row r="1722" spans="11:12" x14ac:dyDescent="0.2">
      <c r="K1722" s="39">
        <v>46282</v>
      </c>
      <c r="L1722" s="39">
        <v>46282</v>
      </c>
    </row>
    <row r="1723" spans="11:12" x14ac:dyDescent="0.2">
      <c r="K1723" s="39">
        <v>46283</v>
      </c>
      <c r="L1723" s="39">
        <v>46283</v>
      </c>
    </row>
    <row r="1724" spans="11:12" x14ac:dyDescent="0.2">
      <c r="K1724" s="39">
        <v>46284</v>
      </c>
      <c r="L1724" s="39">
        <v>46284</v>
      </c>
    </row>
    <row r="1725" spans="11:12" x14ac:dyDescent="0.2">
      <c r="K1725" s="39">
        <v>46285</v>
      </c>
      <c r="L1725" s="39">
        <v>46285</v>
      </c>
    </row>
    <row r="1726" spans="11:12" x14ac:dyDescent="0.2">
      <c r="K1726" s="39">
        <v>46286</v>
      </c>
      <c r="L1726" s="39">
        <v>46286</v>
      </c>
    </row>
    <row r="1727" spans="11:12" x14ac:dyDescent="0.2">
      <c r="K1727" s="39">
        <v>46287</v>
      </c>
      <c r="L1727" s="39">
        <v>46287</v>
      </c>
    </row>
    <row r="1728" spans="11:12" x14ac:dyDescent="0.2">
      <c r="K1728" s="39">
        <v>46288</v>
      </c>
      <c r="L1728" s="39">
        <v>46288</v>
      </c>
    </row>
    <row r="1729" spans="11:12" x14ac:dyDescent="0.2">
      <c r="K1729" s="39">
        <v>46289</v>
      </c>
      <c r="L1729" s="39">
        <v>46289</v>
      </c>
    </row>
    <row r="1730" spans="11:12" x14ac:dyDescent="0.2">
      <c r="K1730" s="39">
        <v>46290</v>
      </c>
      <c r="L1730" s="39">
        <v>46290</v>
      </c>
    </row>
    <row r="1731" spans="11:12" x14ac:dyDescent="0.2">
      <c r="K1731" s="39">
        <v>46291</v>
      </c>
      <c r="L1731" s="39">
        <v>46291</v>
      </c>
    </row>
    <row r="1732" spans="11:12" x14ac:dyDescent="0.2">
      <c r="K1732" s="39">
        <v>46292</v>
      </c>
      <c r="L1732" s="39">
        <v>46292</v>
      </c>
    </row>
    <row r="1733" spans="11:12" x14ac:dyDescent="0.2">
      <c r="K1733" s="39">
        <v>46293</v>
      </c>
      <c r="L1733" s="39">
        <v>46293</v>
      </c>
    </row>
    <row r="1734" spans="11:12" x14ac:dyDescent="0.2">
      <c r="K1734" s="39">
        <v>46294</v>
      </c>
      <c r="L1734" s="39">
        <v>46294</v>
      </c>
    </row>
    <row r="1735" spans="11:12" x14ac:dyDescent="0.2">
      <c r="K1735" s="39">
        <v>46295</v>
      </c>
      <c r="L1735" s="39">
        <v>46295</v>
      </c>
    </row>
    <row r="1736" spans="11:12" x14ac:dyDescent="0.2">
      <c r="K1736" s="39">
        <v>46296</v>
      </c>
      <c r="L1736" s="39">
        <v>46296</v>
      </c>
    </row>
    <row r="1737" spans="11:12" x14ac:dyDescent="0.2">
      <c r="K1737" s="39">
        <v>46297</v>
      </c>
      <c r="L1737" s="39">
        <v>46297</v>
      </c>
    </row>
    <row r="1738" spans="11:12" x14ac:dyDescent="0.2">
      <c r="K1738" s="39">
        <v>46298</v>
      </c>
      <c r="L1738" s="39">
        <v>46298</v>
      </c>
    </row>
    <row r="1739" spans="11:12" x14ac:dyDescent="0.2">
      <c r="K1739" s="39">
        <v>46299</v>
      </c>
      <c r="L1739" s="39">
        <v>46299</v>
      </c>
    </row>
    <row r="1740" spans="11:12" x14ac:dyDescent="0.2">
      <c r="K1740" s="39">
        <v>46300</v>
      </c>
      <c r="L1740" s="39">
        <v>46300</v>
      </c>
    </row>
    <row r="1741" spans="11:12" x14ac:dyDescent="0.2">
      <c r="K1741" s="39">
        <v>46301</v>
      </c>
      <c r="L1741" s="39">
        <v>46301</v>
      </c>
    </row>
    <row r="1742" spans="11:12" x14ac:dyDescent="0.2">
      <c r="K1742" s="39">
        <v>46302</v>
      </c>
      <c r="L1742" s="39">
        <v>46302</v>
      </c>
    </row>
    <row r="1743" spans="11:12" x14ac:dyDescent="0.2">
      <c r="K1743" s="39">
        <v>46303</v>
      </c>
      <c r="L1743" s="39">
        <v>46303</v>
      </c>
    </row>
    <row r="1744" spans="11:12" x14ac:dyDescent="0.2">
      <c r="K1744" s="39">
        <v>46304</v>
      </c>
      <c r="L1744" s="39">
        <v>46304</v>
      </c>
    </row>
    <row r="1745" spans="11:12" x14ac:dyDescent="0.2">
      <c r="K1745" s="39">
        <v>46305</v>
      </c>
      <c r="L1745" s="39">
        <v>46305</v>
      </c>
    </row>
    <row r="1746" spans="11:12" x14ac:dyDescent="0.2">
      <c r="K1746" s="39">
        <v>46306</v>
      </c>
      <c r="L1746" s="39">
        <v>46306</v>
      </c>
    </row>
    <row r="1747" spans="11:12" x14ac:dyDescent="0.2">
      <c r="K1747" s="39">
        <v>46307</v>
      </c>
      <c r="L1747" s="39">
        <v>46307</v>
      </c>
    </row>
    <row r="1748" spans="11:12" x14ac:dyDescent="0.2">
      <c r="K1748" s="39">
        <v>46308</v>
      </c>
      <c r="L1748" s="39">
        <v>46308</v>
      </c>
    </row>
    <row r="1749" spans="11:12" x14ac:dyDescent="0.2">
      <c r="K1749" s="39">
        <v>46309</v>
      </c>
      <c r="L1749" s="39">
        <v>46309</v>
      </c>
    </row>
    <row r="1750" spans="11:12" x14ac:dyDescent="0.2">
      <c r="K1750" s="39">
        <v>46310</v>
      </c>
      <c r="L1750" s="39">
        <v>46310</v>
      </c>
    </row>
    <row r="1751" spans="11:12" x14ac:dyDescent="0.2">
      <c r="K1751" s="39">
        <v>46311</v>
      </c>
      <c r="L1751" s="39">
        <v>46311</v>
      </c>
    </row>
    <row r="1752" spans="11:12" x14ac:dyDescent="0.2">
      <c r="K1752" s="39">
        <v>46312</v>
      </c>
      <c r="L1752" s="39">
        <v>46312</v>
      </c>
    </row>
    <row r="1753" spans="11:12" x14ac:dyDescent="0.2">
      <c r="K1753" s="39">
        <v>46313</v>
      </c>
      <c r="L1753" s="39">
        <v>46313</v>
      </c>
    </row>
    <row r="1754" spans="11:12" x14ac:dyDescent="0.2">
      <c r="K1754" s="39">
        <v>46314</v>
      </c>
      <c r="L1754" s="39">
        <v>46314</v>
      </c>
    </row>
    <row r="1755" spans="11:12" x14ac:dyDescent="0.2">
      <c r="K1755" s="39">
        <v>46315</v>
      </c>
      <c r="L1755" s="39">
        <v>46315</v>
      </c>
    </row>
    <row r="1756" spans="11:12" x14ac:dyDescent="0.2">
      <c r="K1756" s="39">
        <v>46316</v>
      </c>
      <c r="L1756" s="39">
        <v>46316</v>
      </c>
    </row>
    <row r="1757" spans="11:12" x14ac:dyDescent="0.2">
      <c r="K1757" s="39">
        <v>46317</v>
      </c>
      <c r="L1757" s="39">
        <v>46317</v>
      </c>
    </row>
    <row r="1758" spans="11:12" x14ac:dyDescent="0.2">
      <c r="K1758" s="39">
        <v>46318</v>
      </c>
      <c r="L1758" s="39">
        <v>46318</v>
      </c>
    </row>
    <row r="1759" spans="11:12" x14ac:dyDescent="0.2">
      <c r="K1759" s="39">
        <v>46319</v>
      </c>
      <c r="L1759" s="39">
        <v>46319</v>
      </c>
    </row>
    <row r="1760" spans="11:12" x14ac:dyDescent="0.2">
      <c r="K1760" s="39">
        <v>46320</v>
      </c>
      <c r="L1760" s="39">
        <v>46320</v>
      </c>
    </row>
    <row r="1761" spans="11:12" x14ac:dyDescent="0.2">
      <c r="K1761" s="39">
        <v>46321</v>
      </c>
      <c r="L1761" s="39">
        <v>46321</v>
      </c>
    </row>
    <row r="1762" spans="11:12" x14ac:dyDescent="0.2">
      <c r="K1762" s="39">
        <v>46322</v>
      </c>
      <c r="L1762" s="39">
        <v>46322</v>
      </c>
    </row>
    <row r="1763" spans="11:12" x14ac:dyDescent="0.2">
      <c r="K1763" s="39">
        <v>46323</v>
      </c>
      <c r="L1763" s="39">
        <v>46323</v>
      </c>
    </row>
    <row r="1764" spans="11:12" x14ac:dyDescent="0.2">
      <c r="K1764" s="39">
        <v>46324</v>
      </c>
      <c r="L1764" s="39">
        <v>46324</v>
      </c>
    </row>
    <row r="1765" spans="11:12" x14ac:dyDescent="0.2">
      <c r="K1765" s="39">
        <v>46325</v>
      </c>
      <c r="L1765" s="39">
        <v>46325</v>
      </c>
    </row>
    <row r="1766" spans="11:12" x14ac:dyDescent="0.2">
      <c r="K1766" s="39">
        <v>46326</v>
      </c>
      <c r="L1766" s="39">
        <v>46326</v>
      </c>
    </row>
    <row r="1767" spans="11:12" x14ac:dyDescent="0.2">
      <c r="K1767" s="39">
        <v>46327</v>
      </c>
      <c r="L1767" s="39">
        <v>46327</v>
      </c>
    </row>
    <row r="1768" spans="11:12" x14ac:dyDescent="0.2">
      <c r="K1768" s="39">
        <v>46328</v>
      </c>
      <c r="L1768" s="39">
        <v>46328</v>
      </c>
    </row>
    <row r="1769" spans="11:12" x14ac:dyDescent="0.2">
      <c r="K1769" s="39">
        <v>46329</v>
      </c>
      <c r="L1769" s="39">
        <v>46329</v>
      </c>
    </row>
    <row r="1770" spans="11:12" x14ac:dyDescent="0.2">
      <c r="K1770" s="39">
        <v>46330</v>
      </c>
      <c r="L1770" s="39">
        <v>46330</v>
      </c>
    </row>
    <row r="1771" spans="11:12" x14ac:dyDescent="0.2">
      <c r="K1771" s="39">
        <v>46331</v>
      </c>
      <c r="L1771" s="39">
        <v>46331</v>
      </c>
    </row>
    <row r="1772" spans="11:12" x14ac:dyDescent="0.2">
      <c r="K1772" s="39">
        <v>46332</v>
      </c>
      <c r="L1772" s="39">
        <v>46332</v>
      </c>
    </row>
    <row r="1773" spans="11:12" x14ac:dyDescent="0.2">
      <c r="K1773" s="39">
        <v>46333</v>
      </c>
      <c r="L1773" s="39">
        <v>46333</v>
      </c>
    </row>
    <row r="1774" spans="11:12" x14ac:dyDescent="0.2">
      <c r="K1774" s="39">
        <v>46334</v>
      </c>
      <c r="L1774" s="39">
        <v>46334</v>
      </c>
    </row>
    <row r="1775" spans="11:12" x14ac:dyDescent="0.2">
      <c r="K1775" s="39">
        <v>46335</v>
      </c>
      <c r="L1775" s="39">
        <v>46335</v>
      </c>
    </row>
    <row r="1776" spans="11:12" x14ac:dyDescent="0.2">
      <c r="K1776" s="39">
        <v>46336</v>
      </c>
      <c r="L1776" s="39">
        <v>46336</v>
      </c>
    </row>
    <row r="1777" spans="11:12" x14ac:dyDescent="0.2">
      <c r="K1777" s="39">
        <v>46337</v>
      </c>
      <c r="L1777" s="39">
        <v>46337</v>
      </c>
    </row>
    <row r="1778" spans="11:12" x14ac:dyDescent="0.2">
      <c r="K1778" s="39">
        <v>46338</v>
      </c>
      <c r="L1778" s="39">
        <v>46338</v>
      </c>
    </row>
    <row r="1779" spans="11:12" x14ac:dyDescent="0.2">
      <c r="K1779" s="39">
        <v>46339</v>
      </c>
      <c r="L1779" s="39">
        <v>46339</v>
      </c>
    </row>
    <row r="1780" spans="11:12" x14ac:dyDescent="0.2">
      <c r="K1780" s="39">
        <v>46340</v>
      </c>
      <c r="L1780" s="39">
        <v>46340</v>
      </c>
    </row>
    <row r="1781" spans="11:12" x14ac:dyDescent="0.2">
      <c r="K1781" s="39">
        <v>46341</v>
      </c>
      <c r="L1781" s="39">
        <v>46341</v>
      </c>
    </row>
    <row r="1782" spans="11:12" x14ac:dyDescent="0.2">
      <c r="K1782" s="39">
        <v>46342</v>
      </c>
      <c r="L1782" s="39">
        <v>46342</v>
      </c>
    </row>
    <row r="1783" spans="11:12" x14ac:dyDescent="0.2">
      <c r="K1783" s="39">
        <v>46343</v>
      </c>
      <c r="L1783" s="39">
        <v>46343</v>
      </c>
    </row>
    <row r="1784" spans="11:12" x14ac:dyDescent="0.2">
      <c r="K1784" s="39">
        <v>46344</v>
      </c>
      <c r="L1784" s="39">
        <v>46344</v>
      </c>
    </row>
    <row r="1785" spans="11:12" x14ac:dyDescent="0.2">
      <c r="K1785" s="39">
        <v>46345</v>
      </c>
      <c r="L1785" s="39">
        <v>46345</v>
      </c>
    </row>
    <row r="1786" spans="11:12" x14ac:dyDescent="0.2">
      <c r="K1786" s="39">
        <v>46346</v>
      </c>
      <c r="L1786" s="39">
        <v>46346</v>
      </c>
    </row>
    <row r="1787" spans="11:12" x14ac:dyDescent="0.2">
      <c r="K1787" s="39">
        <v>46347</v>
      </c>
      <c r="L1787" s="39">
        <v>46347</v>
      </c>
    </row>
    <row r="1788" spans="11:12" x14ac:dyDescent="0.2">
      <c r="K1788" s="39">
        <v>46348</v>
      </c>
      <c r="L1788" s="39">
        <v>46348</v>
      </c>
    </row>
    <row r="1789" spans="11:12" x14ac:dyDescent="0.2">
      <c r="K1789" s="39">
        <v>46349</v>
      </c>
      <c r="L1789" s="39">
        <v>46349</v>
      </c>
    </row>
    <row r="1790" spans="11:12" x14ac:dyDescent="0.2">
      <c r="K1790" s="39">
        <v>46350</v>
      </c>
      <c r="L1790" s="39">
        <v>46350</v>
      </c>
    </row>
    <row r="1791" spans="11:12" x14ac:dyDescent="0.2">
      <c r="K1791" s="39">
        <v>46351</v>
      </c>
      <c r="L1791" s="39">
        <v>46351</v>
      </c>
    </row>
    <row r="1792" spans="11:12" x14ac:dyDescent="0.2">
      <c r="K1792" s="39">
        <v>46352</v>
      </c>
      <c r="L1792" s="39">
        <v>46352</v>
      </c>
    </row>
    <row r="1793" spans="11:12" x14ac:dyDescent="0.2">
      <c r="K1793" s="39">
        <v>46353</v>
      </c>
      <c r="L1793" s="39">
        <v>46353</v>
      </c>
    </row>
    <row r="1794" spans="11:12" x14ac:dyDescent="0.2">
      <c r="K1794" s="39">
        <v>46354</v>
      </c>
      <c r="L1794" s="39">
        <v>46354</v>
      </c>
    </row>
    <row r="1795" spans="11:12" x14ac:dyDescent="0.2">
      <c r="K1795" s="39">
        <v>46355</v>
      </c>
      <c r="L1795" s="39">
        <v>46355</v>
      </c>
    </row>
    <row r="1796" spans="11:12" x14ac:dyDescent="0.2">
      <c r="K1796" s="39">
        <v>46356</v>
      </c>
      <c r="L1796" s="39">
        <v>46356</v>
      </c>
    </row>
    <row r="1797" spans="11:12" x14ac:dyDescent="0.2">
      <c r="K1797" s="39">
        <v>46357</v>
      </c>
      <c r="L1797" s="39">
        <v>46357</v>
      </c>
    </row>
    <row r="1798" spans="11:12" x14ac:dyDescent="0.2">
      <c r="K1798" s="39">
        <v>46358</v>
      </c>
      <c r="L1798" s="39">
        <v>46358</v>
      </c>
    </row>
    <row r="1799" spans="11:12" x14ac:dyDescent="0.2">
      <c r="K1799" s="39">
        <v>46359</v>
      </c>
      <c r="L1799" s="39">
        <v>46359</v>
      </c>
    </row>
    <row r="1800" spans="11:12" x14ac:dyDescent="0.2">
      <c r="K1800" s="39">
        <v>46360</v>
      </c>
      <c r="L1800" s="39">
        <v>46360</v>
      </c>
    </row>
    <row r="1801" spans="11:12" x14ac:dyDescent="0.2">
      <c r="K1801" s="39">
        <v>46361</v>
      </c>
      <c r="L1801" s="39">
        <v>46361</v>
      </c>
    </row>
    <row r="1802" spans="11:12" x14ac:dyDescent="0.2">
      <c r="K1802" s="39">
        <v>46362</v>
      </c>
      <c r="L1802" s="39">
        <v>46362</v>
      </c>
    </row>
    <row r="1803" spans="11:12" x14ac:dyDescent="0.2">
      <c r="K1803" s="39">
        <v>46363</v>
      </c>
      <c r="L1803" s="39">
        <v>46363</v>
      </c>
    </row>
    <row r="1804" spans="11:12" x14ac:dyDescent="0.2">
      <c r="K1804" s="39">
        <v>46364</v>
      </c>
      <c r="L1804" s="39">
        <v>46364</v>
      </c>
    </row>
    <row r="1805" spans="11:12" x14ac:dyDescent="0.2">
      <c r="K1805" s="39">
        <v>46365</v>
      </c>
      <c r="L1805" s="39">
        <v>46365</v>
      </c>
    </row>
    <row r="1806" spans="11:12" x14ac:dyDescent="0.2">
      <c r="K1806" s="39">
        <v>46366</v>
      </c>
      <c r="L1806" s="39">
        <v>46366</v>
      </c>
    </row>
    <row r="1807" spans="11:12" x14ac:dyDescent="0.2">
      <c r="K1807" s="39">
        <v>46367</v>
      </c>
      <c r="L1807" s="39">
        <v>46367</v>
      </c>
    </row>
    <row r="1808" spans="11:12" x14ac:dyDescent="0.2">
      <c r="K1808" s="39">
        <v>46368</v>
      </c>
      <c r="L1808" s="39">
        <v>46368</v>
      </c>
    </row>
    <row r="1809" spans="11:12" x14ac:dyDescent="0.2">
      <c r="K1809" s="39">
        <v>46369</v>
      </c>
      <c r="L1809" s="39">
        <v>46369</v>
      </c>
    </row>
    <row r="1810" spans="11:12" x14ac:dyDescent="0.2">
      <c r="K1810" s="39">
        <v>46370</v>
      </c>
      <c r="L1810" s="39">
        <v>46370</v>
      </c>
    </row>
    <row r="1811" spans="11:12" x14ac:dyDescent="0.2">
      <c r="K1811" s="39">
        <v>46371</v>
      </c>
      <c r="L1811" s="39">
        <v>46371</v>
      </c>
    </row>
    <row r="1812" spans="11:12" x14ac:dyDescent="0.2">
      <c r="K1812" s="39">
        <v>46372</v>
      </c>
      <c r="L1812" s="39">
        <v>46372</v>
      </c>
    </row>
    <row r="1813" spans="11:12" x14ac:dyDescent="0.2">
      <c r="K1813" s="39">
        <v>46373</v>
      </c>
      <c r="L1813" s="39">
        <v>46373</v>
      </c>
    </row>
    <row r="1814" spans="11:12" x14ac:dyDescent="0.2">
      <c r="K1814" s="39">
        <v>46374</v>
      </c>
      <c r="L1814" s="39">
        <v>46374</v>
      </c>
    </row>
    <row r="1815" spans="11:12" x14ac:dyDescent="0.2">
      <c r="K1815" s="39">
        <v>46375</v>
      </c>
      <c r="L1815" s="39">
        <v>46375</v>
      </c>
    </row>
    <row r="1816" spans="11:12" x14ac:dyDescent="0.2">
      <c r="K1816" s="39">
        <v>46376</v>
      </c>
      <c r="L1816" s="39">
        <v>46376</v>
      </c>
    </row>
    <row r="1817" spans="11:12" x14ac:dyDescent="0.2">
      <c r="K1817" s="39">
        <v>46377</v>
      </c>
      <c r="L1817" s="39">
        <v>46377</v>
      </c>
    </row>
    <row r="1818" spans="11:12" x14ac:dyDescent="0.2">
      <c r="K1818" s="39">
        <v>46378</v>
      </c>
      <c r="L1818" s="39">
        <v>46378</v>
      </c>
    </row>
    <row r="1819" spans="11:12" x14ac:dyDescent="0.2">
      <c r="K1819" s="39">
        <v>46379</v>
      </c>
      <c r="L1819" s="39">
        <v>46379</v>
      </c>
    </row>
    <row r="1820" spans="11:12" x14ac:dyDescent="0.2">
      <c r="K1820" s="39">
        <v>46380</v>
      </c>
      <c r="L1820" s="39">
        <v>46380</v>
      </c>
    </row>
    <row r="1821" spans="11:12" x14ac:dyDescent="0.2">
      <c r="K1821" s="39">
        <v>46381</v>
      </c>
      <c r="L1821" s="39">
        <v>46381</v>
      </c>
    </row>
    <row r="1822" spans="11:12" x14ac:dyDescent="0.2">
      <c r="K1822" s="39">
        <v>46382</v>
      </c>
      <c r="L1822" s="39">
        <v>46382</v>
      </c>
    </row>
    <row r="1823" spans="11:12" x14ac:dyDescent="0.2">
      <c r="K1823" s="39">
        <v>46383</v>
      </c>
      <c r="L1823" s="39">
        <v>46383</v>
      </c>
    </row>
    <row r="1824" spans="11:12" x14ac:dyDescent="0.2">
      <c r="K1824" s="39">
        <v>46384</v>
      </c>
      <c r="L1824" s="39">
        <v>46384</v>
      </c>
    </row>
    <row r="1825" spans="11:12" x14ac:dyDescent="0.2">
      <c r="K1825" s="39">
        <v>46385</v>
      </c>
      <c r="L1825" s="39">
        <v>46385</v>
      </c>
    </row>
    <row r="1826" spans="11:12" x14ac:dyDescent="0.2">
      <c r="K1826" s="39">
        <v>46386</v>
      </c>
      <c r="L1826" s="39">
        <v>46386</v>
      </c>
    </row>
    <row r="1827" spans="11:12" x14ac:dyDescent="0.2">
      <c r="K1827" s="39">
        <v>46387</v>
      </c>
      <c r="L1827" s="39">
        <v>46387</v>
      </c>
    </row>
    <row r="1828" spans="11:12" x14ac:dyDescent="0.2">
      <c r="K1828" s="39">
        <v>46388</v>
      </c>
      <c r="L1828" s="39">
        <v>46388</v>
      </c>
    </row>
    <row r="1829" spans="11:12" x14ac:dyDescent="0.2">
      <c r="K1829" s="39">
        <v>46389</v>
      </c>
      <c r="L1829" s="39">
        <v>46389</v>
      </c>
    </row>
    <row r="1830" spans="11:12" x14ac:dyDescent="0.2">
      <c r="K1830" s="39">
        <v>46390</v>
      </c>
      <c r="L1830" s="39">
        <v>46390</v>
      </c>
    </row>
    <row r="1831" spans="11:12" x14ac:dyDescent="0.2">
      <c r="K1831" s="39">
        <v>46391</v>
      </c>
      <c r="L1831" s="39">
        <v>46391</v>
      </c>
    </row>
    <row r="1832" spans="11:12" x14ac:dyDescent="0.2">
      <c r="K1832" s="39">
        <v>46392</v>
      </c>
      <c r="L1832" s="39">
        <v>46392</v>
      </c>
    </row>
    <row r="1833" spans="11:12" x14ac:dyDescent="0.2">
      <c r="K1833" s="39">
        <v>46393</v>
      </c>
      <c r="L1833" s="39">
        <v>46393</v>
      </c>
    </row>
    <row r="1834" spans="11:12" x14ac:dyDescent="0.2">
      <c r="K1834" s="39">
        <v>46394</v>
      </c>
      <c r="L1834" s="39">
        <v>46394</v>
      </c>
    </row>
    <row r="1835" spans="11:12" x14ac:dyDescent="0.2">
      <c r="K1835" s="39">
        <v>46395</v>
      </c>
      <c r="L1835" s="39">
        <v>46395</v>
      </c>
    </row>
    <row r="1836" spans="11:12" x14ac:dyDescent="0.2">
      <c r="K1836" s="39">
        <v>46396</v>
      </c>
      <c r="L1836" s="39">
        <v>46396</v>
      </c>
    </row>
    <row r="1837" spans="11:12" x14ac:dyDescent="0.2">
      <c r="K1837" s="39">
        <v>46397</v>
      </c>
      <c r="L1837" s="39">
        <v>46397</v>
      </c>
    </row>
    <row r="1838" spans="11:12" x14ac:dyDescent="0.2">
      <c r="K1838" s="39">
        <v>46398</v>
      </c>
      <c r="L1838" s="39">
        <v>46398</v>
      </c>
    </row>
    <row r="1839" spans="11:12" x14ac:dyDescent="0.2">
      <c r="K1839" s="39">
        <v>46399</v>
      </c>
      <c r="L1839" s="39">
        <v>46399</v>
      </c>
    </row>
    <row r="1840" spans="11:12" x14ac:dyDescent="0.2">
      <c r="K1840" s="39">
        <v>46400</v>
      </c>
      <c r="L1840" s="39">
        <v>46400</v>
      </c>
    </row>
    <row r="1841" spans="11:12" x14ac:dyDescent="0.2">
      <c r="K1841" s="39">
        <v>46401</v>
      </c>
      <c r="L1841" s="39">
        <v>46401</v>
      </c>
    </row>
    <row r="1842" spans="11:12" x14ac:dyDescent="0.2">
      <c r="K1842" s="39">
        <v>46402</v>
      </c>
      <c r="L1842" s="39">
        <v>46402</v>
      </c>
    </row>
    <row r="1843" spans="11:12" x14ac:dyDescent="0.2">
      <c r="K1843" s="39">
        <v>46403</v>
      </c>
      <c r="L1843" s="39">
        <v>46403</v>
      </c>
    </row>
    <row r="1844" spans="11:12" x14ac:dyDescent="0.2">
      <c r="K1844" s="39">
        <v>46404</v>
      </c>
      <c r="L1844" s="39">
        <v>46404</v>
      </c>
    </row>
    <row r="1845" spans="11:12" x14ac:dyDescent="0.2">
      <c r="K1845" s="39">
        <v>46405</v>
      </c>
      <c r="L1845" s="39">
        <v>46405</v>
      </c>
    </row>
    <row r="1846" spans="11:12" x14ac:dyDescent="0.2">
      <c r="K1846" s="39">
        <v>46406</v>
      </c>
      <c r="L1846" s="39">
        <v>46406</v>
      </c>
    </row>
    <row r="1847" spans="11:12" x14ac:dyDescent="0.2">
      <c r="K1847" s="39">
        <v>46407</v>
      </c>
      <c r="L1847" s="39">
        <v>46407</v>
      </c>
    </row>
    <row r="1848" spans="11:12" x14ac:dyDescent="0.2">
      <c r="K1848" s="39">
        <v>46408</v>
      </c>
      <c r="L1848" s="39">
        <v>46408</v>
      </c>
    </row>
    <row r="1849" spans="11:12" x14ac:dyDescent="0.2">
      <c r="K1849" s="39">
        <v>46409</v>
      </c>
      <c r="L1849" s="39">
        <v>46409</v>
      </c>
    </row>
    <row r="1850" spans="11:12" x14ac:dyDescent="0.2">
      <c r="K1850" s="39">
        <v>46410</v>
      </c>
      <c r="L1850" s="39">
        <v>46410</v>
      </c>
    </row>
    <row r="1851" spans="11:12" x14ac:dyDescent="0.2">
      <c r="K1851" s="39">
        <v>46411</v>
      </c>
      <c r="L1851" s="39">
        <v>46411</v>
      </c>
    </row>
    <row r="1852" spans="11:12" x14ac:dyDescent="0.2">
      <c r="K1852" s="39">
        <v>46412</v>
      </c>
      <c r="L1852" s="39">
        <v>46412</v>
      </c>
    </row>
    <row r="1853" spans="11:12" x14ac:dyDescent="0.2">
      <c r="K1853" s="39">
        <v>46413</v>
      </c>
      <c r="L1853" s="39">
        <v>46413</v>
      </c>
    </row>
    <row r="1854" spans="11:12" x14ac:dyDescent="0.2">
      <c r="K1854" s="39">
        <v>46414</v>
      </c>
      <c r="L1854" s="39">
        <v>46414</v>
      </c>
    </row>
    <row r="1855" spans="11:12" x14ac:dyDescent="0.2">
      <c r="K1855" s="39">
        <v>46415</v>
      </c>
      <c r="L1855" s="39">
        <v>46415</v>
      </c>
    </row>
    <row r="1856" spans="11:12" x14ac:dyDescent="0.2">
      <c r="K1856" s="39">
        <v>46416</v>
      </c>
      <c r="L1856" s="39">
        <v>46416</v>
      </c>
    </row>
    <row r="1857" spans="11:12" x14ac:dyDescent="0.2">
      <c r="K1857" s="39">
        <v>46417</v>
      </c>
      <c r="L1857" s="39">
        <v>46417</v>
      </c>
    </row>
    <row r="1858" spans="11:12" x14ac:dyDescent="0.2">
      <c r="K1858" s="39">
        <v>46418</v>
      </c>
      <c r="L1858" s="39">
        <v>46418</v>
      </c>
    </row>
    <row r="1859" spans="11:12" x14ac:dyDescent="0.2">
      <c r="K1859" s="39">
        <v>46419</v>
      </c>
      <c r="L1859" s="39">
        <v>46419</v>
      </c>
    </row>
    <row r="1860" spans="11:12" x14ac:dyDescent="0.2">
      <c r="K1860" s="39">
        <v>46420</v>
      </c>
      <c r="L1860" s="39">
        <v>46420</v>
      </c>
    </row>
    <row r="1861" spans="11:12" x14ac:dyDescent="0.2">
      <c r="K1861" s="39">
        <v>46421</v>
      </c>
      <c r="L1861" s="39">
        <v>46421</v>
      </c>
    </row>
    <row r="1862" spans="11:12" x14ac:dyDescent="0.2">
      <c r="K1862" s="39">
        <v>46422</v>
      </c>
      <c r="L1862" s="39">
        <v>46422</v>
      </c>
    </row>
    <row r="1863" spans="11:12" x14ac:dyDescent="0.2">
      <c r="K1863" s="39">
        <v>46423</v>
      </c>
      <c r="L1863" s="39">
        <v>46423</v>
      </c>
    </row>
    <row r="1864" spans="11:12" x14ac:dyDescent="0.2">
      <c r="K1864" s="39">
        <v>46424</v>
      </c>
      <c r="L1864" s="39">
        <v>46424</v>
      </c>
    </row>
    <row r="1865" spans="11:12" x14ac:dyDescent="0.2">
      <c r="K1865" s="39">
        <v>46425</v>
      </c>
      <c r="L1865" s="39">
        <v>46425</v>
      </c>
    </row>
    <row r="1866" spans="11:12" x14ac:dyDescent="0.2">
      <c r="K1866" s="39">
        <v>46426</v>
      </c>
      <c r="L1866" s="39">
        <v>46426</v>
      </c>
    </row>
    <row r="1867" spans="11:12" x14ac:dyDescent="0.2">
      <c r="K1867" s="39">
        <v>46427</v>
      </c>
      <c r="L1867" s="39">
        <v>46427</v>
      </c>
    </row>
    <row r="1868" spans="11:12" x14ac:dyDescent="0.2">
      <c r="K1868" s="39">
        <v>46428</v>
      </c>
      <c r="L1868" s="39">
        <v>46428</v>
      </c>
    </row>
    <row r="1869" spans="11:12" x14ac:dyDescent="0.2">
      <c r="K1869" s="39">
        <v>46429</v>
      </c>
      <c r="L1869" s="39">
        <v>46429</v>
      </c>
    </row>
    <row r="1870" spans="11:12" x14ac:dyDescent="0.2">
      <c r="K1870" s="39">
        <v>46430</v>
      </c>
      <c r="L1870" s="39">
        <v>46430</v>
      </c>
    </row>
    <row r="1871" spans="11:12" x14ac:dyDescent="0.2">
      <c r="K1871" s="39">
        <v>46431</v>
      </c>
      <c r="L1871" s="39">
        <v>46431</v>
      </c>
    </row>
    <row r="1872" spans="11:12" x14ac:dyDescent="0.2">
      <c r="K1872" s="39">
        <v>46432</v>
      </c>
      <c r="L1872" s="39">
        <v>46432</v>
      </c>
    </row>
    <row r="1873" spans="11:12" x14ac:dyDescent="0.2">
      <c r="K1873" s="39">
        <v>46433</v>
      </c>
      <c r="L1873" s="39">
        <v>46433</v>
      </c>
    </row>
    <row r="1874" spans="11:12" x14ac:dyDescent="0.2">
      <c r="K1874" s="39">
        <v>46434</v>
      </c>
      <c r="L1874" s="39">
        <v>46434</v>
      </c>
    </row>
    <row r="1875" spans="11:12" x14ac:dyDescent="0.2">
      <c r="K1875" s="39">
        <v>46435</v>
      </c>
      <c r="L1875" s="39">
        <v>46435</v>
      </c>
    </row>
    <row r="1876" spans="11:12" x14ac:dyDescent="0.2">
      <c r="K1876" s="39">
        <v>46436</v>
      </c>
      <c r="L1876" s="39">
        <v>46436</v>
      </c>
    </row>
    <row r="1877" spans="11:12" x14ac:dyDescent="0.2">
      <c r="K1877" s="39">
        <v>46437</v>
      </c>
      <c r="L1877" s="39">
        <v>46437</v>
      </c>
    </row>
    <row r="1878" spans="11:12" x14ac:dyDescent="0.2">
      <c r="K1878" s="39">
        <v>46438</v>
      </c>
      <c r="L1878" s="39">
        <v>46438</v>
      </c>
    </row>
    <row r="1879" spans="11:12" x14ac:dyDescent="0.2">
      <c r="K1879" s="39">
        <v>46439</v>
      </c>
      <c r="L1879" s="39">
        <v>46439</v>
      </c>
    </row>
    <row r="1880" spans="11:12" x14ac:dyDescent="0.2">
      <c r="K1880" s="39">
        <v>46440</v>
      </c>
      <c r="L1880" s="39">
        <v>46440</v>
      </c>
    </row>
    <row r="1881" spans="11:12" x14ac:dyDescent="0.2">
      <c r="K1881" s="39">
        <v>46441</v>
      </c>
      <c r="L1881" s="39">
        <v>46441</v>
      </c>
    </row>
    <row r="1882" spans="11:12" x14ac:dyDescent="0.2">
      <c r="K1882" s="39">
        <v>46442</v>
      </c>
      <c r="L1882" s="39">
        <v>46442</v>
      </c>
    </row>
    <row r="1883" spans="11:12" x14ac:dyDescent="0.2">
      <c r="K1883" s="39">
        <v>46443</v>
      </c>
      <c r="L1883" s="39">
        <v>46443</v>
      </c>
    </row>
    <row r="1884" spans="11:12" x14ac:dyDescent="0.2">
      <c r="K1884" s="39">
        <v>46444</v>
      </c>
      <c r="L1884" s="39">
        <v>46444</v>
      </c>
    </row>
    <row r="1885" spans="11:12" x14ac:dyDescent="0.2">
      <c r="K1885" s="39">
        <v>46445</v>
      </c>
      <c r="L1885" s="39">
        <v>46445</v>
      </c>
    </row>
    <row r="1886" spans="11:12" x14ac:dyDescent="0.2">
      <c r="K1886" s="39">
        <v>46446</v>
      </c>
      <c r="L1886" s="39">
        <v>46446</v>
      </c>
    </row>
    <row r="1887" spans="11:12" x14ac:dyDescent="0.2">
      <c r="K1887" s="39">
        <v>46447</v>
      </c>
      <c r="L1887" s="39">
        <v>46447</v>
      </c>
    </row>
    <row r="1888" spans="11:12" x14ac:dyDescent="0.2">
      <c r="K1888" s="39">
        <v>46448</v>
      </c>
      <c r="L1888" s="39">
        <v>46448</v>
      </c>
    </row>
    <row r="1889" spans="11:12" x14ac:dyDescent="0.2">
      <c r="K1889" s="39">
        <v>46449</v>
      </c>
      <c r="L1889" s="39">
        <v>46449</v>
      </c>
    </row>
    <row r="1890" spans="11:12" x14ac:dyDescent="0.2">
      <c r="K1890" s="39">
        <v>46450</v>
      </c>
      <c r="L1890" s="39">
        <v>46450</v>
      </c>
    </row>
    <row r="1891" spans="11:12" x14ac:dyDescent="0.2">
      <c r="K1891" s="39">
        <v>46451</v>
      </c>
      <c r="L1891" s="39">
        <v>46451</v>
      </c>
    </row>
    <row r="1892" spans="11:12" x14ac:dyDescent="0.2">
      <c r="K1892" s="39">
        <v>46452</v>
      </c>
      <c r="L1892" s="39">
        <v>46452</v>
      </c>
    </row>
    <row r="1893" spans="11:12" x14ac:dyDescent="0.2">
      <c r="K1893" s="39">
        <v>46453</v>
      </c>
      <c r="L1893" s="39">
        <v>46453</v>
      </c>
    </row>
    <row r="1894" spans="11:12" x14ac:dyDescent="0.2">
      <c r="K1894" s="39">
        <v>46454</v>
      </c>
      <c r="L1894" s="39">
        <v>46454</v>
      </c>
    </row>
    <row r="1895" spans="11:12" x14ac:dyDescent="0.2">
      <c r="K1895" s="39">
        <v>46455</v>
      </c>
      <c r="L1895" s="39">
        <v>46455</v>
      </c>
    </row>
    <row r="1896" spans="11:12" x14ac:dyDescent="0.2">
      <c r="K1896" s="39">
        <v>46456</v>
      </c>
      <c r="L1896" s="39">
        <v>46456</v>
      </c>
    </row>
    <row r="1897" spans="11:12" x14ac:dyDescent="0.2">
      <c r="K1897" s="39">
        <v>46457</v>
      </c>
      <c r="L1897" s="39">
        <v>46457</v>
      </c>
    </row>
    <row r="1898" spans="11:12" x14ac:dyDescent="0.2">
      <c r="K1898" s="39">
        <v>46458</v>
      </c>
      <c r="L1898" s="39">
        <v>46458</v>
      </c>
    </row>
    <row r="1899" spans="11:12" x14ac:dyDescent="0.2">
      <c r="K1899" s="39">
        <v>46459</v>
      </c>
      <c r="L1899" s="39">
        <v>46459</v>
      </c>
    </row>
    <row r="1900" spans="11:12" x14ac:dyDescent="0.2">
      <c r="K1900" s="39">
        <v>46460</v>
      </c>
      <c r="L1900" s="39">
        <v>46460</v>
      </c>
    </row>
    <row r="1901" spans="11:12" x14ac:dyDescent="0.2">
      <c r="K1901" s="39">
        <v>46461</v>
      </c>
      <c r="L1901" s="39">
        <v>46461</v>
      </c>
    </row>
    <row r="1902" spans="11:12" x14ac:dyDescent="0.2">
      <c r="K1902" s="39">
        <v>46462</v>
      </c>
      <c r="L1902" s="39">
        <v>46462</v>
      </c>
    </row>
    <row r="1903" spans="11:12" x14ac:dyDescent="0.2">
      <c r="K1903" s="39">
        <v>46463</v>
      </c>
      <c r="L1903" s="39">
        <v>46463</v>
      </c>
    </row>
    <row r="1904" spans="11:12" x14ac:dyDescent="0.2">
      <c r="K1904" s="39">
        <v>46464</v>
      </c>
      <c r="L1904" s="39">
        <v>46464</v>
      </c>
    </row>
    <row r="1905" spans="11:12" x14ac:dyDescent="0.2">
      <c r="K1905" s="39">
        <v>46465</v>
      </c>
      <c r="L1905" s="39">
        <v>46465</v>
      </c>
    </row>
    <row r="1906" spans="11:12" x14ac:dyDescent="0.2">
      <c r="K1906" s="39">
        <v>46466</v>
      </c>
      <c r="L1906" s="39">
        <v>46466</v>
      </c>
    </row>
    <row r="1907" spans="11:12" x14ac:dyDescent="0.2">
      <c r="K1907" s="39">
        <v>46467</v>
      </c>
      <c r="L1907" s="39">
        <v>46467</v>
      </c>
    </row>
    <row r="1908" spans="11:12" x14ac:dyDescent="0.2">
      <c r="K1908" s="39">
        <v>46468</v>
      </c>
      <c r="L1908" s="39">
        <v>46468</v>
      </c>
    </row>
    <row r="1909" spans="11:12" x14ac:dyDescent="0.2">
      <c r="K1909" s="39">
        <v>46469</v>
      </c>
      <c r="L1909" s="39">
        <v>46469</v>
      </c>
    </row>
    <row r="1910" spans="11:12" x14ac:dyDescent="0.2">
      <c r="K1910" s="39">
        <v>46470</v>
      </c>
      <c r="L1910" s="39">
        <v>46470</v>
      </c>
    </row>
    <row r="1911" spans="11:12" x14ac:dyDescent="0.2">
      <c r="K1911" s="39">
        <v>46471</v>
      </c>
      <c r="L1911" s="39">
        <v>46471</v>
      </c>
    </row>
    <row r="1912" spans="11:12" x14ac:dyDescent="0.2">
      <c r="K1912" s="39">
        <v>46472</v>
      </c>
      <c r="L1912" s="39">
        <v>46472</v>
      </c>
    </row>
    <row r="1913" spans="11:12" x14ac:dyDescent="0.2">
      <c r="K1913" s="39">
        <v>46473</v>
      </c>
      <c r="L1913" s="39">
        <v>46473</v>
      </c>
    </row>
    <row r="1914" spans="11:12" x14ac:dyDescent="0.2">
      <c r="K1914" s="39">
        <v>46474</v>
      </c>
      <c r="L1914" s="39">
        <v>46474</v>
      </c>
    </row>
    <row r="1915" spans="11:12" x14ac:dyDescent="0.2">
      <c r="K1915" s="39">
        <v>46475</v>
      </c>
      <c r="L1915" s="39">
        <v>46475</v>
      </c>
    </row>
    <row r="1916" spans="11:12" x14ac:dyDescent="0.2">
      <c r="K1916" s="39">
        <v>46476</v>
      </c>
      <c r="L1916" s="39">
        <v>46476</v>
      </c>
    </row>
    <row r="1917" spans="11:12" x14ac:dyDescent="0.2">
      <c r="K1917" s="39">
        <v>46477</v>
      </c>
      <c r="L1917" s="39">
        <v>46477</v>
      </c>
    </row>
    <row r="1918" spans="11:12" x14ac:dyDescent="0.2">
      <c r="K1918" s="39">
        <v>46478</v>
      </c>
      <c r="L1918" s="39">
        <v>46478</v>
      </c>
    </row>
    <row r="1919" spans="11:12" x14ac:dyDescent="0.2">
      <c r="K1919" s="39">
        <v>46479</v>
      </c>
      <c r="L1919" s="39">
        <v>46479</v>
      </c>
    </row>
    <row r="1920" spans="11:12" x14ac:dyDescent="0.2">
      <c r="K1920" s="39">
        <v>46480</v>
      </c>
      <c r="L1920" s="39">
        <v>46480</v>
      </c>
    </row>
    <row r="1921" spans="11:12" x14ac:dyDescent="0.2">
      <c r="K1921" s="39">
        <v>46481</v>
      </c>
      <c r="L1921" s="39">
        <v>46481</v>
      </c>
    </row>
    <row r="1922" spans="11:12" x14ac:dyDescent="0.2">
      <c r="K1922" s="39">
        <v>46482</v>
      </c>
      <c r="L1922" s="39">
        <v>46482</v>
      </c>
    </row>
    <row r="1923" spans="11:12" x14ac:dyDescent="0.2">
      <c r="K1923" s="39">
        <v>46483</v>
      </c>
      <c r="L1923" s="39">
        <v>46483</v>
      </c>
    </row>
    <row r="1924" spans="11:12" x14ac:dyDescent="0.2">
      <c r="K1924" s="39">
        <v>46484</v>
      </c>
      <c r="L1924" s="39">
        <v>46484</v>
      </c>
    </row>
    <row r="1925" spans="11:12" x14ac:dyDescent="0.2">
      <c r="K1925" s="39">
        <v>46485</v>
      </c>
      <c r="L1925" s="39">
        <v>46485</v>
      </c>
    </row>
    <row r="1926" spans="11:12" x14ac:dyDescent="0.2">
      <c r="K1926" s="39">
        <v>46486</v>
      </c>
      <c r="L1926" s="39">
        <v>46486</v>
      </c>
    </row>
    <row r="1927" spans="11:12" x14ac:dyDescent="0.2">
      <c r="K1927" s="39">
        <v>46487</v>
      </c>
      <c r="L1927" s="39">
        <v>46487</v>
      </c>
    </row>
    <row r="1928" spans="11:12" x14ac:dyDescent="0.2">
      <c r="K1928" s="39">
        <v>46488</v>
      </c>
      <c r="L1928" s="39">
        <v>46488</v>
      </c>
    </row>
    <row r="1929" spans="11:12" x14ac:dyDescent="0.2">
      <c r="K1929" s="39">
        <v>46489</v>
      </c>
      <c r="L1929" s="39">
        <v>46489</v>
      </c>
    </row>
    <row r="1930" spans="11:12" x14ac:dyDescent="0.2">
      <c r="K1930" s="39">
        <v>46490</v>
      </c>
      <c r="L1930" s="39">
        <v>46490</v>
      </c>
    </row>
    <row r="1931" spans="11:12" x14ac:dyDescent="0.2">
      <c r="K1931" s="39">
        <v>46491</v>
      </c>
      <c r="L1931" s="39">
        <v>46491</v>
      </c>
    </row>
    <row r="1932" spans="11:12" x14ac:dyDescent="0.2">
      <c r="K1932" s="39">
        <v>46492</v>
      </c>
      <c r="L1932" s="39">
        <v>46492</v>
      </c>
    </row>
    <row r="1933" spans="11:12" x14ac:dyDescent="0.2">
      <c r="K1933" s="39">
        <v>46493</v>
      </c>
      <c r="L1933" s="39">
        <v>46493</v>
      </c>
    </row>
    <row r="1934" spans="11:12" x14ac:dyDescent="0.2">
      <c r="K1934" s="39">
        <v>46494</v>
      </c>
      <c r="L1934" s="39">
        <v>46494</v>
      </c>
    </row>
    <row r="1935" spans="11:12" x14ac:dyDescent="0.2">
      <c r="K1935" s="39">
        <v>46495</v>
      </c>
      <c r="L1935" s="39">
        <v>46495</v>
      </c>
    </row>
    <row r="1936" spans="11:12" x14ac:dyDescent="0.2">
      <c r="K1936" s="39">
        <v>46496</v>
      </c>
      <c r="L1936" s="39">
        <v>46496</v>
      </c>
    </row>
    <row r="1937" spans="11:12" x14ac:dyDescent="0.2">
      <c r="K1937" s="39">
        <v>46497</v>
      </c>
      <c r="L1937" s="39">
        <v>46497</v>
      </c>
    </row>
    <row r="1938" spans="11:12" x14ac:dyDescent="0.2">
      <c r="K1938" s="39">
        <v>46498</v>
      </c>
      <c r="L1938" s="39">
        <v>46498</v>
      </c>
    </row>
    <row r="1939" spans="11:12" x14ac:dyDescent="0.2">
      <c r="K1939" s="39">
        <v>46499</v>
      </c>
      <c r="L1939" s="39">
        <v>46499</v>
      </c>
    </row>
    <row r="1940" spans="11:12" x14ac:dyDescent="0.2">
      <c r="K1940" s="39">
        <v>46500</v>
      </c>
      <c r="L1940" s="39">
        <v>46500</v>
      </c>
    </row>
    <row r="1941" spans="11:12" x14ac:dyDescent="0.2">
      <c r="K1941" s="39">
        <v>46501</v>
      </c>
      <c r="L1941" s="39">
        <v>46501</v>
      </c>
    </row>
    <row r="1942" spans="11:12" x14ac:dyDescent="0.2">
      <c r="K1942" s="39">
        <v>46502</v>
      </c>
      <c r="L1942" s="39">
        <v>46502</v>
      </c>
    </row>
    <row r="1943" spans="11:12" x14ac:dyDescent="0.2">
      <c r="K1943" s="39">
        <v>46503</v>
      </c>
      <c r="L1943" s="39">
        <v>46503</v>
      </c>
    </row>
    <row r="1944" spans="11:12" x14ac:dyDescent="0.2">
      <c r="K1944" s="39">
        <v>46504</v>
      </c>
      <c r="L1944" s="39">
        <v>46504</v>
      </c>
    </row>
    <row r="1945" spans="11:12" x14ac:dyDescent="0.2">
      <c r="K1945" s="39">
        <v>46505</v>
      </c>
      <c r="L1945" s="39">
        <v>46505</v>
      </c>
    </row>
    <row r="1946" spans="11:12" x14ac:dyDescent="0.2">
      <c r="K1946" s="39">
        <v>46506</v>
      </c>
      <c r="L1946" s="39">
        <v>46506</v>
      </c>
    </row>
    <row r="1947" spans="11:12" x14ac:dyDescent="0.2">
      <c r="K1947" s="39">
        <v>46507</v>
      </c>
      <c r="L1947" s="39">
        <v>46507</v>
      </c>
    </row>
    <row r="1948" spans="11:12" x14ac:dyDescent="0.2">
      <c r="K1948" s="39">
        <v>46508</v>
      </c>
      <c r="L1948" s="39">
        <v>46508</v>
      </c>
    </row>
    <row r="1949" spans="11:12" x14ac:dyDescent="0.2">
      <c r="K1949" s="39">
        <v>46509</v>
      </c>
      <c r="L1949" s="39">
        <v>46509</v>
      </c>
    </row>
    <row r="1950" spans="11:12" x14ac:dyDescent="0.2">
      <c r="K1950" s="39">
        <v>46510</v>
      </c>
      <c r="L1950" s="39">
        <v>46510</v>
      </c>
    </row>
    <row r="1951" spans="11:12" x14ac:dyDescent="0.2">
      <c r="K1951" s="39">
        <v>46511</v>
      </c>
      <c r="L1951" s="39">
        <v>46511</v>
      </c>
    </row>
    <row r="1952" spans="11:12" x14ac:dyDescent="0.2">
      <c r="K1952" s="39">
        <v>46512</v>
      </c>
      <c r="L1952" s="39">
        <v>46512</v>
      </c>
    </row>
    <row r="1953" spans="11:12" x14ac:dyDescent="0.2">
      <c r="K1953" s="39">
        <v>46513</v>
      </c>
      <c r="L1953" s="39">
        <v>46513</v>
      </c>
    </row>
    <row r="1954" spans="11:12" x14ac:dyDescent="0.2">
      <c r="K1954" s="39">
        <v>46514</v>
      </c>
      <c r="L1954" s="39">
        <v>46514</v>
      </c>
    </row>
    <row r="1955" spans="11:12" x14ac:dyDescent="0.2">
      <c r="K1955" s="39">
        <v>46515</v>
      </c>
      <c r="L1955" s="39">
        <v>46515</v>
      </c>
    </row>
    <row r="1956" spans="11:12" x14ac:dyDescent="0.2">
      <c r="K1956" s="39">
        <v>46516</v>
      </c>
      <c r="L1956" s="39">
        <v>46516</v>
      </c>
    </row>
    <row r="1957" spans="11:12" x14ac:dyDescent="0.2">
      <c r="K1957" s="39">
        <v>46517</v>
      </c>
      <c r="L1957" s="39">
        <v>46517</v>
      </c>
    </row>
    <row r="1958" spans="11:12" x14ac:dyDescent="0.2">
      <c r="K1958" s="39">
        <v>46518</v>
      </c>
      <c r="L1958" s="39">
        <v>46518</v>
      </c>
    </row>
    <row r="1959" spans="11:12" x14ac:dyDescent="0.2">
      <c r="K1959" s="39">
        <v>46519</v>
      </c>
      <c r="L1959" s="39">
        <v>46519</v>
      </c>
    </row>
    <row r="1960" spans="11:12" x14ac:dyDescent="0.2">
      <c r="K1960" s="39">
        <v>46520</v>
      </c>
      <c r="L1960" s="39">
        <v>46520</v>
      </c>
    </row>
    <row r="1961" spans="11:12" x14ac:dyDescent="0.2">
      <c r="K1961" s="39">
        <v>46521</v>
      </c>
      <c r="L1961" s="39">
        <v>46521</v>
      </c>
    </row>
    <row r="1962" spans="11:12" x14ac:dyDescent="0.2">
      <c r="K1962" s="39">
        <v>46522</v>
      </c>
      <c r="L1962" s="39">
        <v>46522</v>
      </c>
    </row>
    <row r="1963" spans="11:12" x14ac:dyDescent="0.2">
      <c r="K1963" s="39">
        <v>46523</v>
      </c>
      <c r="L1963" s="39">
        <v>46523</v>
      </c>
    </row>
    <row r="1964" spans="11:12" x14ac:dyDescent="0.2">
      <c r="K1964" s="39">
        <v>46524</v>
      </c>
      <c r="L1964" s="39">
        <v>46524</v>
      </c>
    </row>
    <row r="1965" spans="11:12" x14ac:dyDescent="0.2">
      <c r="K1965" s="39">
        <v>46525</v>
      </c>
      <c r="L1965" s="39">
        <v>46525</v>
      </c>
    </row>
    <row r="1966" spans="11:12" x14ac:dyDescent="0.2">
      <c r="K1966" s="39">
        <v>46526</v>
      </c>
      <c r="L1966" s="39">
        <v>46526</v>
      </c>
    </row>
    <row r="1967" spans="11:12" x14ac:dyDescent="0.2">
      <c r="K1967" s="39">
        <v>46527</v>
      </c>
      <c r="L1967" s="39">
        <v>46527</v>
      </c>
    </row>
    <row r="1968" spans="11:12" x14ac:dyDescent="0.2">
      <c r="K1968" s="39">
        <v>46528</v>
      </c>
      <c r="L1968" s="39">
        <v>46528</v>
      </c>
    </row>
    <row r="1969" spans="11:12" x14ac:dyDescent="0.2">
      <c r="K1969" s="39">
        <v>46529</v>
      </c>
      <c r="L1969" s="39">
        <v>46529</v>
      </c>
    </row>
    <row r="1970" spans="11:12" x14ac:dyDescent="0.2">
      <c r="K1970" s="39">
        <v>46530</v>
      </c>
      <c r="L1970" s="39">
        <v>46530</v>
      </c>
    </row>
    <row r="1971" spans="11:12" x14ac:dyDescent="0.2">
      <c r="K1971" s="39">
        <v>46531</v>
      </c>
      <c r="L1971" s="39">
        <v>46531</v>
      </c>
    </row>
    <row r="1972" spans="11:12" x14ac:dyDescent="0.2">
      <c r="K1972" s="39">
        <v>46532</v>
      </c>
      <c r="L1972" s="39">
        <v>46532</v>
      </c>
    </row>
    <row r="1973" spans="11:12" x14ac:dyDescent="0.2">
      <c r="K1973" s="39">
        <v>46533</v>
      </c>
      <c r="L1973" s="39">
        <v>46533</v>
      </c>
    </row>
    <row r="1974" spans="11:12" x14ac:dyDescent="0.2">
      <c r="K1974" s="39">
        <v>46534</v>
      </c>
      <c r="L1974" s="39">
        <v>46534</v>
      </c>
    </row>
    <row r="1975" spans="11:12" x14ac:dyDescent="0.2">
      <c r="K1975" s="39">
        <v>46535</v>
      </c>
      <c r="L1975" s="39">
        <v>46535</v>
      </c>
    </row>
    <row r="1976" spans="11:12" x14ac:dyDescent="0.2">
      <c r="K1976" s="39">
        <v>46536</v>
      </c>
      <c r="L1976" s="39">
        <v>46536</v>
      </c>
    </row>
    <row r="1977" spans="11:12" x14ac:dyDescent="0.2">
      <c r="K1977" s="39">
        <v>46537</v>
      </c>
      <c r="L1977" s="39">
        <v>46537</v>
      </c>
    </row>
    <row r="1978" spans="11:12" x14ac:dyDescent="0.2">
      <c r="K1978" s="39">
        <v>46538</v>
      </c>
      <c r="L1978" s="39">
        <v>46538</v>
      </c>
    </row>
    <row r="1979" spans="11:12" x14ac:dyDescent="0.2">
      <c r="K1979" s="39">
        <v>46539</v>
      </c>
      <c r="L1979" s="39">
        <v>46539</v>
      </c>
    </row>
    <row r="1980" spans="11:12" x14ac:dyDescent="0.2">
      <c r="K1980" s="39">
        <v>46540</v>
      </c>
      <c r="L1980" s="39">
        <v>46540</v>
      </c>
    </row>
    <row r="1981" spans="11:12" x14ac:dyDescent="0.2">
      <c r="K1981" s="39">
        <v>46541</v>
      </c>
      <c r="L1981" s="39">
        <v>46541</v>
      </c>
    </row>
    <row r="1982" spans="11:12" x14ac:dyDescent="0.2">
      <c r="K1982" s="39">
        <v>46542</v>
      </c>
      <c r="L1982" s="39">
        <v>46542</v>
      </c>
    </row>
    <row r="1983" spans="11:12" x14ac:dyDescent="0.2">
      <c r="K1983" s="39">
        <v>46543</v>
      </c>
      <c r="L1983" s="39">
        <v>46543</v>
      </c>
    </row>
    <row r="1984" spans="11:12" x14ac:dyDescent="0.2">
      <c r="K1984" s="39">
        <v>46544</v>
      </c>
      <c r="L1984" s="39">
        <v>46544</v>
      </c>
    </row>
    <row r="1985" spans="11:12" x14ac:dyDescent="0.2">
      <c r="K1985" s="39">
        <v>46545</v>
      </c>
      <c r="L1985" s="39">
        <v>46545</v>
      </c>
    </row>
    <row r="1986" spans="11:12" x14ac:dyDescent="0.2">
      <c r="K1986" s="39">
        <v>46546</v>
      </c>
      <c r="L1986" s="39">
        <v>46546</v>
      </c>
    </row>
    <row r="1987" spans="11:12" x14ac:dyDescent="0.2">
      <c r="K1987" s="39">
        <v>46547</v>
      </c>
      <c r="L1987" s="39">
        <v>46547</v>
      </c>
    </row>
    <row r="1988" spans="11:12" x14ac:dyDescent="0.2">
      <c r="K1988" s="39">
        <v>46548</v>
      </c>
      <c r="L1988" s="39">
        <v>46548</v>
      </c>
    </row>
    <row r="1989" spans="11:12" x14ac:dyDescent="0.2">
      <c r="K1989" s="39">
        <v>46549</v>
      </c>
      <c r="L1989" s="39">
        <v>46549</v>
      </c>
    </row>
    <row r="1990" spans="11:12" x14ac:dyDescent="0.2">
      <c r="K1990" s="39">
        <v>46550</v>
      </c>
      <c r="L1990" s="39">
        <v>46550</v>
      </c>
    </row>
    <row r="1991" spans="11:12" x14ac:dyDescent="0.2">
      <c r="K1991" s="39">
        <v>46551</v>
      </c>
      <c r="L1991" s="39">
        <v>46551</v>
      </c>
    </row>
    <row r="1992" spans="11:12" x14ac:dyDescent="0.2">
      <c r="K1992" s="39">
        <v>46552</v>
      </c>
      <c r="L1992" s="39">
        <v>46552</v>
      </c>
    </row>
    <row r="1993" spans="11:12" x14ac:dyDescent="0.2">
      <c r="K1993" s="39">
        <v>46553</v>
      </c>
      <c r="L1993" s="39">
        <v>46553</v>
      </c>
    </row>
    <row r="1994" spans="11:12" x14ac:dyDescent="0.2">
      <c r="K1994" s="39">
        <v>46554</v>
      </c>
      <c r="L1994" s="39">
        <v>46554</v>
      </c>
    </row>
    <row r="1995" spans="11:12" x14ac:dyDescent="0.2">
      <c r="K1995" s="39">
        <v>46555</v>
      </c>
      <c r="L1995" s="39">
        <v>46555</v>
      </c>
    </row>
    <row r="1996" spans="11:12" x14ac:dyDescent="0.2">
      <c r="K1996" s="39">
        <v>46556</v>
      </c>
      <c r="L1996" s="39">
        <v>46556</v>
      </c>
    </row>
    <row r="1997" spans="11:12" x14ac:dyDescent="0.2">
      <c r="K1997" s="39">
        <v>46557</v>
      </c>
      <c r="L1997" s="39">
        <v>46557</v>
      </c>
    </row>
    <row r="1998" spans="11:12" x14ac:dyDescent="0.2">
      <c r="K1998" s="39">
        <v>46558</v>
      </c>
      <c r="L1998" s="39">
        <v>46558</v>
      </c>
    </row>
    <row r="1999" spans="11:12" x14ac:dyDescent="0.2">
      <c r="K1999" s="39">
        <v>46559</v>
      </c>
      <c r="L1999" s="39">
        <v>46559</v>
      </c>
    </row>
    <row r="2000" spans="11:12" x14ac:dyDescent="0.2">
      <c r="K2000" s="39">
        <v>46560</v>
      </c>
      <c r="L2000" s="39">
        <v>46560</v>
      </c>
    </row>
    <row r="2001" spans="11:12" x14ac:dyDescent="0.2">
      <c r="K2001" s="39">
        <v>46561</v>
      </c>
      <c r="L2001" s="39">
        <v>46561</v>
      </c>
    </row>
    <row r="2002" spans="11:12" x14ac:dyDescent="0.2">
      <c r="K2002" s="39">
        <v>46562</v>
      </c>
      <c r="L2002" s="39">
        <v>46562</v>
      </c>
    </row>
    <row r="2003" spans="11:12" x14ac:dyDescent="0.2">
      <c r="K2003" s="39">
        <v>46563</v>
      </c>
      <c r="L2003" s="39">
        <v>46563</v>
      </c>
    </row>
    <row r="2004" spans="11:12" x14ac:dyDescent="0.2">
      <c r="K2004" s="39">
        <v>46564</v>
      </c>
      <c r="L2004" s="39">
        <v>46564</v>
      </c>
    </row>
    <row r="2005" spans="11:12" x14ac:dyDescent="0.2">
      <c r="K2005" s="39">
        <v>46565</v>
      </c>
      <c r="L2005" s="39">
        <v>46565</v>
      </c>
    </row>
    <row r="2006" spans="11:12" x14ac:dyDescent="0.2">
      <c r="K2006" s="39">
        <v>46566</v>
      </c>
      <c r="L2006" s="39">
        <v>46566</v>
      </c>
    </row>
    <row r="2007" spans="11:12" x14ac:dyDescent="0.2">
      <c r="K2007" s="39">
        <v>46567</v>
      </c>
      <c r="L2007" s="39">
        <v>46567</v>
      </c>
    </row>
    <row r="2008" spans="11:12" x14ac:dyDescent="0.2">
      <c r="K2008" s="39">
        <v>46568</v>
      </c>
      <c r="L2008" s="39">
        <v>46568</v>
      </c>
    </row>
    <row r="2009" spans="11:12" x14ac:dyDescent="0.2">
      <c r="K2009" s="39">
        <v>46569</v>
      </c>
      <c r="L2009" s="39">
        <v>46569</v>
      </c>
    </row>
    <row r="2010" spans="11:12" x14ac:dyDescent="0.2">
      <c r="K2010" s="39">
        <v>46570</v>
      </c>
      <c r="L2010" s="39">
        <v>46570</v>
      </c>
    </row>
    <row r="2011" spans="11:12" x14ac:dyDescent="0.2">
      <c r="K2011" s="39">
        <v>46571</v>
      </c>
      <c r="L2011" s="39">
        <v>46571</v>
      </c>
    </row>
    <row r="2012" spans="11:12" x14ac:dyDescent="0.2">
      <c r="K2012" s="39">
        <v>46572</v>
      </c>
      <c r="L2012" s="39">
        <v>46572</v>
      </c>
    </row>
    <row r="2013" spans="11:12" x14ac:dyDescent="0.2">
      <c r="K2013" s="39">
        <v>46573</v>
      </c>
      <c r="L2013" s="39">
        <v>46573</v>
      </c>
    </row>
    <row r="2014" spans="11:12" x14ac:dyDescent="0.2">
      <c r="K2014" s="39">
        <v>46574</v>
      </c>
      <c r="L2014" s="39">
        <v>46574</v>
      </c>
    </row>
    <row r="2015" spans="11:12" x14ac:dyDescent="0.2">
      <c r="K2015" s="39">
        <v>46575</v>
      </c>
      <c r="L2015" s="39">
        <v>46575</v>
      </c>
    </row>
    <row r="2016" spans="11:12" x14ac:dyDescent="0.2">
      <c r="K2016" s="39">
        <v>46576</v>
      </c>
      <c r="L2016" s="39">
        <v>46576</v>
      </c>
    </row>
    <row r="2017" spans="11:12" x14ac:dyDescent="0.2">
      <c r="K2017" s="39">
        <v>46577</v>
      </c>
      <c r="L2017" s="39">
        <v>46577</v>
      </c>
    </row>
    <row r="2018" spans="11:12" x14ac:dyDescent="0.2">
      <c r="K2018" s="39">
        <v>46578</v>
      </c>
      <c r="L2018" s="39">
        <v>46578</v>
      </c>
    </row>
    <row r="2019" spans="11:12" x14ac:dyDescent="0.2">
      <c r="K2019" s="39">
        <v>46579</v>
      </c>
      <c r="L2019" s="39">
        <v>46579</v>
      </c>
    </row>
    <row r="2020" spans="11:12" x14ac:dyDescent="0.2">
      <c r="K2020" s="39">
        <v>46580</v>
      </c>
      <c r="L2020" s="39">
        <v>46580</v>
      </c>
    </row>
    <row r="2021" spans="11:12" x14ac:dyDescent="0.2">
      <c r="K2021" s="39">
        <v>46581</v>
      </c>
      <c r="L2021" s="39">
        <v>46581</v>
      </c>
    </row>
    <row r="2022" spans="11:12" x14ac:dyDescent="0.2">
      <c r="K2022" s="39">
        <v>46582</v>
      </c>
      <c r="L2022" s="39">
        <v>46582</v>
      </c>
    </row>
    <row r="2023" spans="11:12" x14ac:dyDescent="0.2">
      <c r="K2023" s="39">
        <v>46583</v>
      </c>
      <c r="L2023" s="39">
        <v>46583</v>
      </c>
    </row>
    <row r="2024" spans="11:12" x14ac:dyDescent="0.2">
      <c r="K2024" s="39">
        <v>46584</v>
      </c>
      <c r="L2024" s="39">
        <v>46584</v>
      </c>
    </row>
    <row r="2025" spans="11:12" x14ac:dyDescent="0.2">
      <c r="K2025" s="39">
        <v>46585</v>
      </c>
      <c r="L2025" s="39">
        <v>46585</v>
      </c>
    </row>
    <row r="2026" spans="11:12" x14ac:dyDescent="0.2">
      <c r="K2026" s="39">
        <v>46586</v>
      </c>
      <c r="L2026" s="39">
        <v>46586</v>
      </c>
    </row>
    <row r="2027" spans="11:12" x14ac:dyDescent="0.2">
      <c r="K2027" s="39">
        <v>46587</v>
      </c>
      <c r="L2027" s="39">
        <v>46587</v>
      </c>
    </row>
    <row r="2028" spans="11:12" x14ac:dyDescent="0.2">
      <c r="K2028" s="39">
        <v>46588</v>
      </c>
      <c r="L2028" s="39">
        <v>46588</v>
      </c>
    </row>
    <row r="2029" spans="11:12" x14ac:dyDescent="0.2">
      <c r="K2029" s="39">
        <v>46589</v>
      </c>
      <c r="L2029" s="39">
        <v>46589</v>
      </c>
    </row>
    <row r="2030" spans="11:12" x14ac:dyDescent="0.2">
      <c r="K2030" s="39">
        <v>46590</v>
      </c>
      <c r="L2030" s="39">
        <v>46590</v>
      </c>
    </row>
    <row r="2031" spans="11:12" x14ac:dyDescent="0.2">
      <c r="K2031" s="39">
        <v>46591</v>
      </c>
      <c r="L2031" s="39">
        <v>46591</v>
      </c>
    </row>
    <row r="2032" spans="11:12" x14ac:dyDescent="0.2">
      <c r="K2032" s="39">
        <v>46592</v>
      </c>
      <c r="L2032" s="39">
        <v>46592</v>
      </c>
    </row>
    <row r="2033" spans="11:12" x14ac:dyDescent="0.2">
      <c r="K2033" s="39">
        <v>46593</v>
      </c>
      <c r="L2033" s="39">
        <v>46593</v>
      </c>
    </row>
    <row r="2034" spans="11:12" x14ac:dyDescent="0.2">
      <c r="K2034" s="39">
        <v>46594</v>
      </c>
      <c r="L2034" s="39">
        <v>46594</v>
      </c>
    </row>
    <row r="2035" spans="11:12" x14ac:dyDescent="0.2">
      <c r="K2035" s="39">
        <v>46595</v>
      </c>
      <c r="L2035" s="39">
        <v>46595</v>
      </c>
    </row>
    <row r="2036" spans="11:12" x14ac:dyDescent="0.2">
      <c r="K2036" s="39">
        <v>46596</v>
      </c>
      <c r="L2036" s="39">
        <v>46596</v>
      </c>
    </row>
    <row r="2037" spans="11:12" x14ac:dyDescent="0.2">
      <c r="K2037" s="39">
        <v>46597</v>
      </c>
      <c r="L2037" s="39">
        <v>46597</v>
      </c>
    </row>
    <row r="2038" spans="11:12" x14ac:dyDescent="0.2">
      <c r="K2038" s="39">
        <v>46598</v>
      </c>
      <c r="L2038" s="39">
        <v>46598</v>
      </c>
    </row>
    <row r="2039" spans="11:12" x14ac:dyDescent="0.2">
      <c r="K2039" s="39">
        <v>46599</v>
      </c>
      <c r="L2039" s="39">
        <v>46599</v>
      </c>
    </row>
    <row r="2040" spans="11:12" x14ac:dyDescent="0.2">
      <c r="K2040" s="39">
        <v>46600</v>
      </c>
      <c r="L2040" s="39">
        <v>46600</v>
      </c>
    </row>
    <row r="2041" spans="11:12" x14ac:dyDescent="0.2">
      <c r="K2041" s="39">
        <v>46601</v>
      </c>
      <c r="L2041" s="39">
        <v>46601</v>
      </c>
    </row>
    <row r="2042" spans="11:12" x14ac:dyDescent="0.2">
      <c r="K2042" s="39">
        <v>46602</v>
      </c>
      <c r="L2042" s="39">
        <v>46602</v>
      </c>
    </row>
    <row r="2043" spans="11:12" x14ac:dyDescent="0.2">
      <c r="K2043" s="39">
        <v>46603</v>
      </c>
      <c r="L2043" s="39">
        <v>46603</v>
      </c>
    </row>
    <row r="2044" spans="11:12" x14ac:dyDescent="0.2">
      <c r="K2044" s="39">
        <v>46604</v>
      </c>
      <c r="L2044" s="39">
        <v>46604</v>
      </c>
    </row>
    <row r="2045" spans="11:12" x14ac:dyDescent="0.2">
      <c r="K2045" s="39">
        <v>46605</v>
      </c>
      <c r="L2045" s="39">
        <v>46605</v>
      </c>
    </row>
    <row r="2046" spans="11:12" x14ac:dyDescent="0.2">
      <c r="K2046" s="39">
        <v>46606</v>
      </c>
      <c r="L2046" s="39">
        <v>46606</v>
      </c>
    </row>
    <row r="2047" spans="11:12" x14ac:dyDescent="0.2">
      <c r="K2047" s="39">
        <v>46607</v>
      </c>
      <c r="L2047" s="39">
        <v>46607</v>
      </c>
    </row>
    <row r="2048" spans="11:12" x14ac:dyDescent="0.2">
      <c r="K2048" s="39">
        <v>46608</v>
      </c>
      <c r="L2048" s="39">
        <v>46608</v>
      </c>
    </row>
    <row r="2049" spans="11:12" x14ac:dyDescent="0.2">
      <c r="K2049" s="39">
        <v>46609</v>
      </c>
      <c r="L2049" s="39">
        <v>46609</v>
      </c>
    </row>
    <row r="2050" spans="11:12" x14ac:dyDescent="0.2">
      <c r="K2050" s="39">
        <v>46610</v>
      </c>
      <c r="L2050" s="39">
        <v>46610</v>
      </c>
    </row>
    <row r="2051" spans="11:12" x14ac:dyDescent="0.2">
      <c r="K2051" s="39">
        <v>46611</v>
      </c>
      <c r="L2051" s="39">
        <v>46611</v>
      </c>
    </row>
    <row r="2052" spans="11:12" x14ac:dyDescent="0.2">
      <c r="K2052" s="39">
        <v>46612</v>
      </c>
      <c r="L2052" s="39">
        <v>46612</v>
      </c>
    </row>
    <row r="2053" spans="11:12" x14ac:dyDescent="0.2">
      <c r="K2053" s="39">
        <v>46613</v>
      </c>
      <c r="L2053" s="39">
        <v>46613</v>
      </c>
    </row>
    <row r="2054" spans="11:12" x14ac:dyDescent="0.2">
      <c r="K2054" s="39">
        <v>46614</v>
      </c>
      <c r="L2054" s="39">
        <v>46614</v>
      </c>
    </row>
    <row r="2055" spans="11:12" x14ac:dyDescent="0.2">
      <c r="K2055" s="39">
        <v>46615</v>
      </c>
      <c r="L2055" s="39">
        <v>46615</v>
      </c>
    </row>
    <row r="2056" spans="11:12" x14ac:dyDescent="0.2">
      <c r="K2056" s="39">
        <v>46616</v>
      </c>
      <c r="L2056" s="39">
        <v>46616</v>
      </c>
    </row>
    <row r="2057" spans="11:12" x14ac:dyDescent="0.2">
      <c r="K2057" s="39">
        <v>46617</v>
      </c>
      <c r="L2057" s="39">
        <v>46617</v>
      </c>
    </row>
    <row r="2058" spans="11:12" x14ac:dyDescent="0.2">
      <c r="K2058" s="39">
        <v>46618</v>
      </c>
      <c r="L2058" s="39">
        <v>46618</v>
      </c>
    </row>
    <row r="2059" spans="11:12" x14ac:dyDescent="0.2">
      <c r="K2059" s="39">
        <v>46619</v>
      </c>
      <c r="L2059" s="39">
        <v>46619</v>
      </c>
    </row>
    <row r="2060" spans="11:12" x14ac:dyDescent="0.2">
      <c r="K2060" s="39">
        <v>46620</v>
      </c>
      <c r="L2060" s="39">
        <v>46620</v>
      </c>
    </row>
    <row r="2061" spans="11:12" x14ac:dyDescent="0.2">
      <c r="K2061" s="39">
        <v>46621</v>
      </c>
      <c r="L2061" s="39">
        <v>46621</v>
      </c>
    </row>
    <row r="2062" spans="11:12" x14ac:dyDescent="0.2">
      <c r="K2062" s="39">
        <v>46622</v>
      </c>
      <c r="L2062" s="39">
        <v>46622</v>
      </c>
    </row>
    <row r="2063" spans="11:12" x14ac:dyDescent="0.2">
      <c r="K2063" s="39">
        <v>46623</v>
      </c>
      <c r="L2063" s="39">
        <v>46623</v>
      </c>
    </row>
    <row r="2064" spans="11:12" x14ac:dyDescent="0.2">
      <c r="K2064" s="39">
        <v>46624</v>
      </c>
      <c r="L2064" s="39">
        <v>46624</v>
      </c>
    </row>
  </sheetData>
  <sortState xmlns:xlrd2="http://schemas.microsoft.com/office/spreadsheetml/2017/richdata2" ref="D30:D42">
    <sortCondition ref="D30:D42"/>
  </sortState>
  <mergeCells count="2">
    <mergeCell ref="A28:H28"/>
    <mergeCell ref="A1:I1"/>
  </mergeCells>
  <phoneticPr fontId="76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9F234-FF29-439B-9A42-843A87AF737D}">
  <sheetPr>
    <tabColor rgb="FFFFFF00"/>
  </sheetPr>
  <dimension ref="A1:M27"/>
  <sheetViews>
    <sheetView workbookViewId="0">
      <selection activeCell="J33" sqref="J33"/>
    </sheetView>
  </sheetViews>
  <sheetFormatPr baseColWidth="10" defaultRowHeight="12.75" x14ac:dyDescent="0.2"/>
  <cols>
    <col min="1" max="1" width="17.5703125" bestFit="1" customWidth="1"/>
    <col min="2" max="2" width="8" bestFit="1" customWidth="1"/>
    <col min="3" max="3" width="12.7109375" bestFit="1" customWidth="1"/>
    <col min="5" max="5" width="22.28515625" bestFit="1" customWidth="1"/>
    <col min="6" max="6" width="27.140625" bestFit="1" customWidth="1"/>
    <col min="7" max="7" width="12.42578125" bestFit="1" customWidth="1"/>
    <col min="8" max="8" width="13" style="355" bestFit="1" customWidth="1"/>
    <col min="9" max="9" width="9.140625" style="371" bestFit="1" customWidth="1"/>
    <col min="10" max="10" width="27.28515625" bestFit="1" customWidth="1"/>
    <col min="11" max="11" width="11.42578125" style="371"/>
  </cols>
  <sheetData>
    <row r="1" spans="1:13" ht="15.75" thickBot="1" x14ac:dyDescent="0.25">
      <c r="A1" s="742" t="s">
        <v>788</v>
      </c>
      <c r="B1" s="743"/>
      <c r="C1" s="744"/>
      <c r="E1" s="742" t="s">
        <v>788</v>
      </c>
      <c r="F1" s="743"/>
      <c r="G1" s="744"/>
      <c r="H1" s="364"/>
    </row>
    <row r="2" spans="1:13" ht="15" x14ac:dyDescent="0.25">
      <c r="A2" s="745" t="s">
        <v>779</v>
      </c>
      <c r="B2" s="746"/>
      <c r="C2" s="338" t="s">
        <v>411</v>
      </c>
      <c r="E2" s="745" t="s">
        <v>779</v>
      </c>
      <c r="F2" s="746"/>
      <c r="G2" s="338" t="s">
        <v>409</v>
      </c>
      <c r="H2" s="365"/>
    </row>
    <row r="3" spans="1:13" ht="15" x14ac:dyDescent="0.25">
      <c r="A3" s="747" t="s">
        <v>780</v>
      </c>
      <c r="B3" s="748"/>
      <c r="C3" s="339">
        <v>567200</v>
      </c>
      <c r="E3" s="747" t="s">
        <v>780</v>
      </c>
      <c r="F3" s="748"/>
      <c r="G3" s="357">
        <v>52150</v>
      </c>
      <c r="H3" s="366"/>
    </row>
    <row r="4" spans="1:13" ht="15" x14ac:dyDescent="0.25">
      <c r="A4" s="757" t="s">
        <v>784</v>
      </c>
      <c r="B4" s="758"/>
      <c r="C4" s="340">
        <v>33500</v>
      </c>
      <c r="E4" s="341" t="s">
        <v>781</v>
      </c>
      <c r="F4" s="342">
        <v>3.2791999999999999</v>
      </c>
      <c r="G4" s="343">
        <f>(+G3)*F4</f>
        <v>171010.28</v>
      </c>
      <c r="H4" s="362"/>
    </row>
    <row r="5" spans="1:13" ht="15" x14ac:dyDescent="0.25">
      <c r="A5" s="341" t="s">
        <v>781</v>
      </c>
      <c r="B5" s="342">
        <v>3.2557999999999998</v>
      </c>
      <c r="C5" s="343">
        <f>(C4+C3)*B5</f>
        <v>1955759.0599999998</v>
      </c>
      <c r="E5" s="749" t="s">
        <v>782</v>
      </c>
      <c r="F5" s="750"/>
      <c r="G5" s="343">
        <v>2147.2429999999999</v>
      </c>
      <c r="H5" s="362"/>
    </row>
    <row r="6" spans="1:13" ht="15" x14ac:dyDescent="0.25">
      <c r="A6" s="749" t="s">
        <v>782</v>
      </c>
      <c r="B6" s="750"/>
      <c r="C6" s="343">
        <f>19518.219+4736.954+18+1482.679+34.481+73.817+900+100+329</f>
        <v>27193.15</v>
      </c>
      <c r="E6" s="749" t="s">
        <v>787</v>
      </c>
      <c r="F6" s="750"/>
      <c r="G6" s="343">
        <f>1079.08+35</f>
        <v>1114.08</v>
      </c>
      <c r="H6" s="362"/>
    </row>
    <row r="7" spans="1:13" ht="15" x14ac:dyDescent="0.25">
      <c r="A7" s="749" t="s">
        <v>783</v>
      </c>
      <c r="B7" s="750"/>
      <c r="C7" s="343">
        <f>250.6+965.9+0.6</f>
        <v>1217.0999999999999</v>
      </c>
      <c r="E7" s="753" t="s">
        <v>789</v>
      </c>
      <c r="F7" s="754"/>
      <c r="G7" s="346">
        <v>290.60000000000002</v>
      </c>
      <c r="H7" s="362"/>
    </row>
    <row r="8" spans="1:13" ht="15.75" thickBot="1" x14ac:dyDescent="0.3">
      <c r="A8" s="749" t="s">
        <v>787</v>
      </c>
      <c r="B8" s="750"/>
      <c r="C8" s="343">
        <v>3100.6</v>
      </c>
      <c r="E8" s="755" t="s">
        <v>785</v>
      </c>
      <c r="F8" s="756"/>
      <c r="G8" s="344">
        <v>160.75</v>
      </c>
      <c r="H8" s="362"/>
    </row>
    <row r="9" spans="1:13" ht="15.75" thickBot="1" x14ac:dyDescent="0.3">
      <c r="A9" s="753" t="s">
        <v>789</v>
      </c>
      <c r="B9" s="754"/>
      <c r="C9" s="346">
        <f>485.6</f>
        <v>485.6</v>
      </c>
      <c r="E9" s="751" t="s">
        <v>786</v>
      </c>
      <c r="F9" s="752"/>
      <c r="G9" s="345">
        <f>SUM(G4:G8)</f>
        <v>174722.95299999998</v>
      </c>
      <c r="H9" s="363"/>
      <c r="M9" s="356"/>
    </row>
    <row r="10" spans="1:13" ht="15" x14ac:dyDescent="0.25">
      <c r="A10" s="753" t="s">
        <v>790</v>
      </c>
      <c r="B10" s="754"/>
      <c r="C10" s="346">
        <v>19000.599999999999</v>
      </c>
    </row>
    <row r="11" spans="1:13" ht="15.75" thickBot="1" x14ac:dyDescent="0.3">
      <c r="A11" s="755" t="s">
        <v>785</v>
      </c>
      <c r="B11" s="756"/>
      <c r="C11" s="344">
        <f>1579.75-89.25</f>
        <v>1490.5</v>
      </c>
    </row>
    <row r="12" spans="1:13" ht="15.75" thickBot="1" x14ac:dyDescent="0.3">
      <c r="A12" s="751" t="s">
        <v>786</v>
      </c>
      <c r="B12" s="752"/>
      <c r="C12" s="345">
        <f>SUM(C5:C11)</f>
        <v>2008246.61</v>
      </c>
    </row>
    <row r="13" spans="1:13" ht="13.5" thickBot="1" x14ac:dyDescent="0.25"/>
    <row r="14" spans="1:13" ht="13.5" thickBot="1" x14ac:dyDescent="0.25">
      <c r="A14" s="720" t="s">
        <v>791</v>
      </c>
      <c r="B14" s="721"/>
      <c r="C14" s="347">
        <f>C12*0.56</f>
        <v>1124618.1016000002</v>
      </c>
    </row>
    <row r="15" spans="1:13" ht="13.5" thickBot="1" x14ac:dyDescent="0.25">
      <c r="C15" s="350">
        <v>1120000</v>
      </c>
    </row>
    <row r="17" spans="5:12" ht="13.5" thickBot="1" x14ac:dyDescent="0.25"/>
    <row r="18" spans="5:12" ht="13.5" thickBot="1" x14ac:dyDescent="0.25">
      <c r="E18" s="720" t="s">
        <v>816</v>
      </c>
      <c r="F18" s="721"/>
      <c r="G18" s="721"/>
      <c r="H18" s="721"/>
      <c r="I18" s="722"/>
      <c r="J18" s="719" t="s">
        <v>824</v>
      </c>
      <c r="K18" s="719"/>
    </row>
    <row r="19" spans="5:12" x14ac:dyDescent="0.2">
      <c r="E19" s="723" t="s">
        <v>817</v>
      </c>
      <c r="F19" s="369" t="s">
        <v>818</v>
      </c>
      <c r="G19" s="377">
        <f>567200+C4</f>
        <v>600700</v>
      </c>
      <c r="H19" s="370">
        <f>G19*3.26</f>
        <v>1958281.9999999998</v>
      </c>
      <c r="I19" s="725">
        <v>2660000</v>
      </c>
      <c r="J19" s="736" t="s">
        <v>825</v>
      </c>
      <c r="K19" s="738">
        <v>1500000</v>
      </c>
      <c r="L19" s="713">
        <f>K19/K27</f>
        <v>0.44247787610619471</v>
      </c>
    </row>
    <row r="20" spans="5:12" x14ac:dyDescent="0.2">
      <c r="E20" s="724"/>
      <c r="F20" s="367" t="s">
        <v>819</v>
      </c>
      <c r="G20" s="378">
        <v>79600</v>
      </c>
      <c r="H20" s="368">
        <f>G20*3.1</f>
        <v>246760</v>
      </c>
      <c r="I20" s="726"/>
      <c r="J20" s="737"/>
      <c r="K20" s="739"/>
      <c r="L20" s="714"/>
    </row>
    <row r="21" spans="5:12" x14ac:dyDescent="0.2">
      <c r="E21" s="724"/>
      <c r="F21" s="367" t="s">
        <v>820</v>
      </c>
      <c r="G21" s="376">
        <v>52150</v>
      </c>
      <c r="H21" s="368">
        <f>G21*3.4</f>
        <v>177310</v>
      </c>
      <c r="I21" s="726"/>
      <c r="J21" s="737"/>
      <c r="K21" s="739"/>
      <c r="L21" s="714"/>
    </row>
    <row r="22" spans="5:12" x14ac:dyDescent="0.2">
      <c r="E22" s="724"/>
      <c r="F22" s="367" t="s">
        <v>820</v>
      </c>
      <c r="G22" s="376">
        <v>69550</v>
      </c>
      <c r="H22" s="368">
        <f>G22*3.4</f>
        <v>236470</v>
      </c>
      <c r="I22" s="726"/>
      <c r="J22" s="737"/>
      <c r="K22" s="739"/>
      <c r="L22" s="714"/>
    </row>
    <row r="23" spans="5:12" x14ac:dyDescent="0.2">
      <c r="E23" s="724"/>
      <c r="F23" s="367" t="s">
        <v>830</v>
      </c>
      <c r="G23" s="376">
        <v>12000</v>
      </c>
      <c r="H23" s="368">
        <f>G23*3.4</f>
        <v>40800</v>
      </c>
      <c r="I23" s="726"/>
      <c r="J23" s="737"/>
      <c r="K23" s="739"/>
      <c r="L23" s="714"/>
    </row>
    <row r="24" spans="5:12" x14ac:dyDescent="0.2">
      <c r="E24" s="727" t="s">
        <v>821</v>
      </c>
      <c r="F24" s="728"/>
      <c r="G24" s="728"/>
      <c r="H24" s="729"/>
      <c r="I24" s="372">
        <v>300000</v>
      </c>
      <c r="J24" s="737" t="s">
        <v>826</v>
      </c>
      <c r="K24" s="739">
        <v>1890000</v>
      </c>
      <c r="L24" s="714">
        <f>K24/K27</f>
        <v>0.55752212389380529</v>
      </c>
    </row>
    <row r="25" spans="5:12" x14ac:dyDescent="0.2">
      <c r="E25" s="730" t="s">
        <v>822</v>
      </c>
      <c r="F25" s="731"/>
      <c r="G25" s="731"/>
      <c r="H25" s="732"/>
      <c r="I25" s="372">
        <v>150000</v>
      </c>
      <c r="J25" s="737"/>
      <c r="K25" s="739"/>
      <c r="L25" s="714"/>
    </row>
    <row r="26" spans="5:12" ht="13.5" thickBot="1" x14ac:dyDescent="0.25">
      <c r="E26" s="733" t="s">
        <v>823</v>
      </c>
      <c r="F26" s="734"/>
      <c r="G26" s="734"/>
      <c r="H26" s="735"/>
      <c r="I26" s="380">
        <v>280000</v>
      </c>
      <c r="J26" s="741"/>
      <c r="K26" s="740"/>
      <c r="L26" s="715"/>
    </row>
    <row r="27" spans="5:12" ht="13.5" thickBot="1" x14ac:dyDescent="0.25">
      <c r="E27" s="716" t="s">
        <v>786</v>
      </c>
      <c r="F27" s="717"/>
      <c r="G27" s="717"/>
      <c r="H27" s="718"/>
      <c r="I27" s="379">
        <f>SUM(I19:I26)</f>
        <v>3390000</v>
      </c>
      <c r="J27" s="373" t="s">
        <v>786</v>
      </c>
      <c r="K27" s="374">
        <f>SUM(K19:K26)</f>
        <v>3390000</v>
      </c>
    </row>
  </sheetData>
  <mergeCells count="34">
    <mergeCell ref="A14:B14"/>
    <mergeCell ref="A1:C1"/>
    <mergeCell ref="A2:B2"/>
    <mergeCell ref="A3:B3"/>
    <mergeCell ref="A4:B4"/>
    <mergeCell ref="A9:B9"/>
    <mergeCell ref="A6:B6"/>
    <mergeCell ref="A7:B7"/>
    <mergeCell ref="A8:B8"/>
    <mergeCell ref="A11:B11"/>
    <mergeCell ref="A12:B12"/>
    <mergeCell ref="A10:B10"/>
    <mergeCell ref="E1:G1"/>
    <mergeCell ref="E2:F2"/>
    <mergeCell ref="E3:F3"/>
    <mergeCell ref="E5:F5"/>
    <mergeCell ref="E9:F9"/>
    <mergeCell ref="E6:F6"/>
    <mergeCell ref="E7:F7"/>
    <mergeCell ref="E8:F8"/>
    <mergeCell ref="L19:L23"/>
    <mergeCell ref="L24:L26"/>
    <mergeCell ref="E27:H27"/>
    <mergeCell ref="J18:K18"/>
    <mergeCell ref="E18:I18"/>
    <mergeCell ref="E19:E23"/>
    <mergeCell ref="I19:I23"/>
    <mergeCell ref="E24:H24"/>
    <mergeCell ref="E25:H25"/>
    <mergeCell ref="E26:H26"/>
    <mergeCell ref="J19:J23"/>
    <mergeCell ref="K19:K23"/>
    <mergeCell ref="K24:K26"/>
    <mergeCell ref="J24:J26"/>
  </mergeCells>
  <pageMargins left="0.7" right="0.7" top="0.75" bottom="0.75" header="0.3" footer="0.3"/>
  <pageSetup paperSize="9" orientation="landscape" horizontalDpi="180" verticalDpi="18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DD35D-04E8-4A0D-8E37-E0B74375DCE9}">
  <dimension ref="A1:E5"/>
  <sheetViews>
    <sheetView workbookViewId="0">
      <selection activeCell="G34" sqref="G34"/>
    </sheetView>
  </sheetViews>
  <sheetFormatPr baseColWidth="10" defaultRowHeight="12.75" x14ac:dyDescent="0.2"/>
  <cols>
    <col min="1" max="1" width="26.5703125" bestFit="1" customWidth="1"/>
    <col min="2" max="2" width="14.140625" bestFit="1" customWidth="1"/>
    <col min="3" max="3" width="19.140625" bestFit="1" customWidth="1"/>
    <col min="4" max="4" width="14.28515625" bestFit="1" customWidth="1"/>
    <col min="5" max="5" width="6.5703125" bestFit="1" customWidth="1"/>
  </cols>
  <sheetData>
    <row r="1" spans="1:5" ht="15" thickBot="1" x14ac:dyDescent="0.25">
      <c r="A1" s="381" t="s">
        <v>831</v>
      </c>
      <c r="B1" s="382" t="s">
        <v>832</v>
      </c>
      <c r="C1" s="381" t="s">
        <v>831</v>
      </c>
      <c r="D1" s="382" t="s">
        <v>836</v>
      </c>
      <c r="E1" s="382" t="s">
        <v>837</v>
      </c>
    </row>
    <row r="2" spans="1:5" ht="16.5" thickBot="1" x14ac:dyDescent="0.3">
      <c r="A2" s="383" t="s">
        <v>833</v>
      </c>
      <c r="B2" s="388">
        <v>560</v>
      </c>
      <c r="C2" s="383" t="s">
        <v>838</v>
      </c>
      <c r="D2" s="391">
        <v>560</v>
      </c>
      <c r="E2" s="385">
        <v>0.24</v>
      </c>
    </row>
    <row r="3" spans="1:5" ht="16.5" thickBot="1" x14ac:dyDescent="0.3">
      <c r="A3" s="383" t="s">
        <v>834</v>
      </c>
      <c r="B3" s="389">
        <v>1725</v>
      </c>
      <c r="C3" s="383"/>
      <c r="D3" s="391"/>
      <c r="E3" s="385"/>
    </row>
    <row r="4" spans="1:5" ht="15.75" thickBot="1" x14ac:dyDescent="0.3">
      <c r="A4" s="383" t="s">
        <v>835</v>
      </c>
      <c r="B4" s="388">
        <v>15</v>
      </c>
      <c r="C4" s="383" t="s">
        <v>839</v>
      </c>
      <c r="D4" s="392">
        <v>1740</v>
      </c>
      <c r="E4" s="386">
        <v>0.76</v>
      </c>
    </row>
    <row r="5" spans="1:5" ht="15" thickBot="1" x14ac:dyDescent="0.25">
      <c r="A5" s="384" t="s">
        <v>786</v>
      </c>
      <c r="B5" s="390">
        <v>2300</v>
      </c>
      <c r="C5" s="384" t="s">
        <v>786</v>
      </c>
      <c r="D5" s="393">
        <v>2300</v>
      </c>
      <c r="E5" s="387"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4</vt:i4>
      </vt:variant>
    </vt:vector>
  </HeadingPairs>
  <TitlesOfParts>
    <vt:vector size="22" baseType="lpstr">
      <vt:lpstr>Summary Sheet</vt:lpstr>
      <vt:lpstr>Vertical_Cash_flow</vt:lpstr>
      <vt:lpstr>Maturing receivables</vt:lpstr>
      <vt:lpstr>AR invoice ageing</vt:lpstr>
      <vt:lpstr>Escompte tracking</vt:lpstr>
      <vt:lpstr>Sourcing &amp; MRP payments</vt:lpstr>
      <vt:lpstr>CAPEX payments</vt:lpstr>
      <vt:lpstr>Other Operational payments</vt:lpstr>
      <vt:lpstr>Bank &amp; Lease SNA</vt:lpstr>
      <vt:lpstr>Bank &amp; Lease SND</vt:lpstr>
      <vt:lpstr>intergroup companies</vt:lpstr>
      <vt:lpstr>MCNE</vt:lpstr>
      <vt:lpstr>Loans Overview</vt:lpstr>
      <vt:lpstr>CAPEX schedule</vt:lpstr>
      <vt:lpstr>Agreed Sourcing plan</vt:lpstr>
      <vt:lpstr>Mapping</vt:lpstr>
      <vt:lpstr>CMT</vt:lpstr>
      <vt:lpstr>Feuil1</vt:lpstr>
      <vt:lpstr>Vertical_Cash_flow!Impression_des_titres</vt:lpstr>
      <vt:lpstr>CMT!Zone_d_impression</vt:lpstr>
      <vt:lpstr>'intergroup companies'!Zone_d_impression</vt:lpstr>
      <vt:lpstr>MCNE!Zone_d_impression</vt:lpstr>
    </vt:vector>
  </TitlesOfParts>
  <Company>Prista Oil PLC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Anelia Vasileva</dc:creator>
  <cp:lastModifiedBy>Mohamed Limaeim</cp:lastModifiedBy>
  <cp:lastPrinted>2024-05-09T09:33:02Z</cp:lastPrinted>
  <dcterms:created xsi:type="dcterms:W3CDTF">2012-06-21T13:45:31Z</dcterms:created>
  <dcterms:modified xsi:type="dcterms:W3CDTF">2024-05-29T08:48:27Z</dcterms:modified>
</cp:coreProperties>
</file>